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65" windowWidth="15945" windowHeight="13740" tabRatio="885"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Sheet1"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住宅0207" sheetId="65" r:id="rId31"/>
    <sheet name="案例0207" sheetId="64" r:id="rId32"/>
    <sheet name="基准地价修正" sheetId="43"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30" hidden="1">'比较法-住宅0207'!$A$1:$L$49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30">'比较法-住宅0207'!$A$1:$K$54,'比较法-住宅0207'!$A$57:$M$131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0">'比较法-住宅0207'!$B$88:$M$88</definedName>
    <definedName name="住宅朝向">'比较法-住宅'!$B$88:$M$88</definedName>
    <definedName name="住宅房型" localSheetId="30">'比较法-住宅0207'!$B$118:$M$118</definedName>
    <definedName name="住宅房型">'比较法-住宅'!$B$118:$M$118</definedName>
    <definedName name="住宅公共部分装修" localSheetId="30">'比较法-住宅0207'!$B$109:$M$109</definedName>
    <definedName name="住宅公共部分装修">'比较法-住宅'!$B$109:$M$109</definedName>
    <definedName name="住宅基础设施水平" localSheetId="30">'比较法-住宅0207'!$B$116:$M$116</definedName>
    <definedName name="住宅基础设施水平">'比较法-住宅'!$B$116:$M$116</definedName>
    <definedName name="住宅建筑结构" localSheetId="30">'比较法-住宅0207'!$B$105:$M$105</definedName>
    <definedName name="住宅建筑结构">'比较法-住宅'!$B$105:$M$105</definedName>
    <definedName name="住宅建筑类型" localSheetId="30">'比较法-住宅0207'!$B$100:$M$100</definedName>
    <definedName name="住宅建筑类型">'比较法-住宅'!$B$100:$M$100</definedName>
    <definedName name="住宅建筑品质" localSheetId="30">'比较法-住宅0207'!$B$107:$M$107</definedName>
    <definedName name="住宅建筑品质">'比较法-住宅'!$B$107:$M$107</definedName>
    <definedName name="住宅交易情况" localSheetId="30">'比较法-住宅0207'!$A$61:$M$61</definedName>
    <definedName name="住宅交易情况">'比较法-住宅'!$A$61:$M$61</definedName>
    <definedName name="住宅楼层" localSheetId="30">'比较法-住宅0207'!$B$86:$M$86</definedName>
    <definedName name="住宅楼层">'比较法-住宅'!$B$86:$M$86</definedName>
    <definedName name="住宅内部装修" localSheetId="30">'比较法-住宅0207'!$B$122:$M$122</definedName>
    <definedName name="住宅内部装修">'比较法-住宅'!$B$122:$M$122</definedName>
    <definedName name="住宅物业管理" localSheetId="30">'比较法-住宅0207'!$B$114:$M$114</definedName>
    <definedName name="住宅物业管理">'比较法-住宅'!$B$114:$M$114</definedName>
    <definedName name="住宅用途" localSheetId="30">'比较法-住宅0207'!$B$63:$M$63</definedName>
    <definedName name="住宅用途">'比较法-住宅'!$B$63:$M$63</definedName>
    <definedName name="住宅主力户型面积" localSheetId="30">'比较法-住宅0207'!$B$120:$M$120</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5" i="65" l="1"/>
  <c r="J142" i="65"/>
  <c r="J140" i="65"/>
  <c r="K145" i="65" s="1"/>
  <c r="K139" i="65"/>
  <c r="K141" i="65" s="1"/>
  <c r="B130" i="65"/>
  <c r="B128" i="65"/>
  <c r="B126" i="65"/>
  <c r="D125" i="65"/>
  <c r="E125" i="65" s="1"/>
  <c r="F125" i="65" s="1"/>
  <c r="G125" i="65" s="1"/>
  <c r="D123" i="65"/>
  <c r="E123" i="65" s="1"/>
  <c r="F123" i="65" s="1"/>
  <c r="G123" i="65" s="1"/>
  <c r="H123" i="65" s="1"/>
  <c r="I123" i="65" s="1"/>
  <c r="J123" i="65" s="1"/>
  <c r="K123" i="65" s="1"/>
  <c r="L123" i="65" s="1"/>
  <c r="M123" i="65" s="1"/>
  <c r="D119" i="65"/>
  <c r="E119" i="65" s="1"/>
  <c r="F119" i="65" s="1"/>
  <c r="G119" i="65" s="1"/>
  <c r="H119" i="65" s="1"/>
  <c r="I119" i="65" s="1"/>
  <c r="J119" i="65" s="1"/>
  <c r="K119" i="65" s="1"/>
  <c r="L119" i="65" s="1"/>
  <c r="M119" i="65" s="1"/>
  <c r="D117" i="65"/>
  <c r="E117" i="65" s="1"/>
  <c r="F117" i="65" s="1"/>
  <c r="G117" i="65" s="1"/>
  <c r="D115" i="65"/>
  <c r="E115" i="65" s="1"/>
  <c r="F115" i="65" s="1"/>
  <c r="G115" i="65" s="1"/>
  <c r="H115" i="65" s="1"/>
  <c r="I115" i="65" s="1"/>
  <c r="J115" i="65" s="1"/>
  <c r="K115" i="65" s="1"/>
  <c r="L115" i="65" s="1"/>
  <c r="M115" i="65" s="1"/>
  <c r="D113" i="65"/>
  <c r="E113" i="65" s="1"/>
  <c r="F113" i="65" s="1"/>
  <c r="G113" i="65" s="1"/>
  <c r="H113" i="65" s="1"/>
  <c r="H111" i="65"/>
  <c r="G111" i="65"/>
  <c r="F111" i="65"/>
  <c r="E111" i="65"/>
  <c r="D111" i="65"/>
  <c r="C111" i="65"/>
  <c r="D110" i="65"/>
  <c r="E110" i="65" s="1"/>
  <c r="F110" i="65" s="1"/>
  <c r="G110" i="65" s="1"/>
  <c r="H110" i="65" s="1"/>
  <c r="I110" i="65" s="1"/>
  <c r="J110" i="65" s="1"/>
  <c r="K110" i="65" s="1"/>
  <c r="L110" i="65" s="1"/>
  <c r="M110" i="65" s="1"/>
  <c r="D108" i="65"/>
  <c r="E108" i="65" s="1"/>
  <c r="F108" i="65" s="1"/>
  <c r="G108" i="65" s="1"/>
  <c r="H108" i="65" s="1"/>
  <c r="I108" i="65" s="1"/>
  <c r="J108" i="65" s="1"/>
  <c r="K108" i="65" s="1"/>
  <c r="L108" i="65" s="1"/>
  <c r="M108" i="65" s="1"/>
  <c r="D106" i="65"/>
  <c r="E106" i="65" s="1"/>
  <c r="F106" i="65" s="1"/>
  <c r="G106" i="65" s="1"/>
  <c r="H106" i="65" s="1"/>
  <c r="I106" i="65" s="1"/>
  <c r="J106" i="65" s="1"/>
  <c r="K106" i="65" s="1"/>
  <c r="L106" i="65" s="1"/>
  <c r="M106" i="65" s="1"/>
  <c r="M102" i="65"/>
  <c r="L102" i="65"/>
  <c r="K102" i="65"/>
  <c r="J102" i="65"/>
  <c r="I102" i="65"/>
  <c r="H102" i="65"/>
  <c r="G102" i="65"/>
  <c r="F102" i="65"/>
  <c r="E102" i="65"/>
  <c r="D102" i="65"/>
  <c r="C102" i="65"/>
  <c r="D101" i="65"/>
  <c r="E101" i="65" s="1"/>
  <c r="F101" i="65" s="1"/>
  <c r="G101" i="65" s="1"/>
  <c r="H101" i="65" s="1"/>
  <c r="I101" i="65" s="1"/>
  <c r="J101" i="65" s="1"/>
  <c r="K101" i="65" s="1"/>
  <c r="L101" i="65" s="1"/>
  <c r="M101" i="65" s="1"/>
  <c r="B98" i="65"/>
  <c r="B96" i="65"/>
  <c r="B94" i="65"/>
  <c r="B92" i="65"/>
  <c r="B90" i="65"/>
  <c r="D89" i="65"/>
  <c r="E89" i="65" s="1"/>
  <c r="F89" i="65" s="1"/>
  <c r="G89" i="65" s="1"/>
  <c r="H89" i="65" s="1"/>
  <c r="I89" i="65" s="1"/>
  <c r="J89" i="65" s="1"/>
  <c r="K89" i="65" s="1"/>
  <c r="L89" i="65" s="1"/>
  <c r="M89" i="65" s="1"/>
  <c r="M87" i="65"/>
  <c r="L87" i="65"/>
  <c r="K87" i="65"/>
  <c r="J87" i="65"/>
  <c r="I87" i="65"/>
  <c r="H87" i="65"/>
  <c r="G87" i="65"/>
  <c r="F87" i="65"/>
  <c r="E87" i="65"/>
  <c r="D87" i="65"/>
  <c r="D85" i="65"/>
  <c r="E85" i="65" s="1"/>
  <c r="F85" i="65" s="1"/>
  <c r="G85" i="65" s="1"/>
  <c r="D83" i="65"/>
  <c r="E83" i="65" s="1"/>
  <c r="F83" i="65" s="1"/>
  <c r="G83" i="65" s="1"/>
  <c r="D81" i="65"/>
  <c r="E81" i="65" s="1"/>
  <c r="F81" i="65" s="1"/>
  <c r="G81" i="65" s="1"/>
  <c r="D79" i="65"/>
  <c r="E79" i="65" s="1"/>
  <c r="F79" i="65" s="1"/>
  <c r="G79" i="65" s="1"/>
  <c r="D77" i="65"/>
  <c r="E77" i="65" s="1"/>
  <c r="F77" i="65" s="1"/>
  <c r="G77" i="65" s="1"/>
  <c r="B74" i="65"/>
  <c r="B72" i="65"/>
  <c r="B70" i="65"/>
  <c r="D69" i="65"/>
  <c r="E69" i="65" s="1"/>
  <c r="F69" i="65" s="1"/>
  <c r="G69" i="65" s="1"/>
  <c r="H69" i="65" s="1"/>
  <c r="I69" i="65" s="1"/>
  <c r="J69" i="65" s="1"/>
  <c r="K69" i="65" s="1"/>
  <c r="L69" i="65" s="1"/>
  <c r="M69" i="65" s="1"/>
  <c r="M67" i="65"/>
  <c r="L67" i="65"/>
  <c r="K67" i="65"/>
  <c r="J67" i="65"/>
  <c r="I67" i="65"/>
  <c r="H67" i="65"/>
  <c r="G67" i="65"/>
  <c r="F67" i="65"/>
  <c r="E67" i="65"/>
  <c r="D67" i="65"/>
  <c r="C67" i="65"/>
  <c r="D66" i="65"/>
  <c r="E66" i="65" s="1"/>
  <c r="F66" i="65" s="1"/>
  <c r="G66" i="65" s="1"/>
  <c r="H66" i="65" s="1"/>
  <c r="I66" i="65" s="1"/>
  <c r="C63" i="65"/>
  <c r="I54" i="65"/>
  <c r="J54" i="65" s="1"/>
  <c r="G54" i="65"/>
  <c r="H54" i="65" s="1"/>
  <c r="E54" i="65"/>
  <c r="F54" i="65" s="1"/>
  <c r="P49" i="65"/>
  <c r="P48" i="65"/>
  <c r="K48" i="65"/>
  <c r="V47" i="65"/>
  <c r="T47" i="65"/>
  <c r="R47" i="65"/>
  <c r="P47" i="65"/>
  <c r="Q46" i="65"/>
  <c r="Z46" i="65" s="1"/>
  <c r="J46" i="65"/>
  <c r="AC46" i="65" s="1"/>
  <c r="H46" i="65"/>
  <c r="AB46" i="65" s="1"/>
  <c r="F46" i="65"/>
  <c r="AA46" i="65" s="1"/>
  <c r="Q45" i="65"/>
  <c r="Z45" i="65" s="1"/>
  <c r="J45" i="65"/>
  <c r="AC45" i="65" s="1"/>
  <c r="H45" i="65"/>
  <c r="AB45" i="65" s="1"/>
  <c r="F45" i="65"/>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J37" i="65"/>
  <c r="AC37" i="65" s="1"/>
  <c r="F37" i="65"/>
  <c r="H37" i="65"/>
  <c r="AC36" i="65"/>
  <c r="W36" i="65"/>
  <c r="Q36" i="65"/>
  <c r="Z36" i="65" s="1"/>
  <c r="J36" i="65"/>
  <c r="H36" i="65"/>
  <c r="AB36" i="65" s="1"/>
  <c r="F36" i="65"/>
  <c r="AA36" i="65" s="1"/>
  <c r="Q35" i="65"/>
  <c r="Z35" i="65" s="1"/>
  <c r="J35" i="65"/>
  <c r="AC35" i="65" s="1"/>
  <c r="H35" i="65"/>
  <c r="AB35" i="65" s="1"/>
  <c r="F35" i="65"/>
  <c r="AA35" i="65" s="1"/>
  <c r="AC34" i="65"/>
  <c r="W34" i="65"/>
  <c r="Q34" i="65"/>
  <c r="Z34" i="65" s="1"/>
  <c r="J34" i="65"/>
  <c r="H34" i="65"/>
  <c r="AB34" i="65" s="1"/>
  <c r="F34" i="65"/>
  <c r="AA34" i="65" s="1"/>
  <c r="U33" i="65"/>
  <c r="Q33" i="65"/>
  <c r="Z33" i="65" s="1"/>
  <c r="I33" i="65"/>
  <c r="J33" i="65" s="1"/>
  <c r="G33" i="65"/>
  <c r="H33" i="65" s="1"/>
  <c r="AB33" i="65" s="1"/>
  <c r="E33" i="65"/>
  <c r="F33" i="65" s="1"/>
  <c r="C33" i="65"/>
  <c r="Q32" i="65"/>
  <c r="Z32" i="65" s="1"/>
  <c r="J32" i="65"/>
  <c r="AC32" i="65" s="1"/>
  <c r="H32" i="65"/>
  <c r="AB32" i="65" s="1"/>
  <c r="F32" i="65"/>
  <c r="AA32" i="65" s="1"/>
  <c r="Q31" i="65"/>
  <c r="Z31" i="65" s="1"/>
  <c r="J31" i="65"/>
  <c r="AC31" i="65" s="1"/>
  <c r="H31" i="65"/>
  <c r="AB31" i="65" s="1"/>
  <c r="F31" i="65"/>
  <c r="AA31" i="65" s="1"/>
  <c r="AC30" i="65"/>
  <c r="W30" i="65"/>
  <c r="Q30" i="65"/>
  <c r="Z30" i="65" s="1"/>
  <c r="J30" i="65"/>
  <c r="H30" i="65"/>
  <c r="AB30" i="65" s="1"/>
  <c r="F30" i="65"/>
  <c r="AA30" i="65" s="1"/>
  <c r="AB29" i="65"/>
  <c r="U29" i="65"/>
  <c r="Q29" i="65"/>
  <c r="Z29" i="65" s="1"/>
  <c r="J29" i="65"/>
  <c r="AC29" i="65" s="1"/>
  <c r="H29" i="65"/>
  <c r="F29" i="65"/>
  <c r="AA29" i="65" s="1"/>
  <c r="Q28" i="65"/>
  <c r="Z28" i="65" s="1"/>
  <c r="J28" i="65"/>
  <c r="AC28" i="65" s="1"/>
  <c r="H28" i="65"/>
  <c r="AB28" i="65" s="1"/>
  <c r="F28" i="65"/>
  <c r="AA28" i="65" s="1"/>
  <c r="Q27" i="65"/>
  <c r="Z27" i="65" s="1"/>
  <c r="J27" i="65"/>
  <c r="AC27" i="65" s="1"/>
  <c r="H27" i="65"/>
  <c r="AB27" i="65" s="1"/>
  <c r="F27" i="65"/>
  <c r="AA27" i="65" s="1"/>
  <c r="AC26" i="65"/>
  <c r="W26" i="65"/>
  <c r="Q26" i="65"/>
  <c r="Z26" i="65" s="1"/>
  <c r="J26" i="65"/>
  <c r="H26" i="65"/>
  <c r="AB26" i="65" s="1"/>
  <c r="F26" i="65"/>
  <c r="AA26" i="65" s="1"/>
  <c r="AB25" i="65"/>
  <c r="U25" i="65"/>
  <c r="Q25" i="65"/>
  <c r="Z25" i="65" s="1"/>
  <c r="J25" i="65"/>
  <c r="AC25" i="65" s="1"/>
  <c r="H25" i="65"/>
  <c r="F25" i="65"/>
  <c r="AA25" i="65" s="1"/>
  <c r="Q23" i="65"/>
  <c r="Z23" i="65" s="1"/>
  <c r="J23" i="65"/>
  <c r="AC23" i="65" s="1"/>
  <c r="H23" i="65"/>
  <c r="AB23" i="65" s="1"/>
  <c r="F23" i="65"/>
  <c r="AA23" i="65" s="1"/>
  <c r="C23" i="65"/>
  <c r="AC21" i="65"/>
  <c r="W21" i="65"/>
  <c r="Q21" i="65"/>
  <c r="Z21" i="65" s="1"/>
  <c r="J21" i="65"/>
  <c r="H21" i="65"/>
  <c r="AB21" i="65" s="1"/>
  <c r="F21" i="65"/>
  <c r="AA21" i="65" s="1"/>
  <c r="C21" i="65"/>
  <c r="Q19" i="65"/>
  <c r="Z19" i="65" s="1"/>
  <c r="J19" i="65"/>
  <c r="AC19" i="65" s="1"/>
  <c r="H19" i="65"/>
  <c r="AB19" i="65" s="1"/>
  <c r="F19" i="65"/>
  <c r="AA19" i="65" s="1"/>
  <c r="C19" i="65"/>
  <c r="AC17" i="65"/>
  <c r="Q17" i="65"/>
  <c r="Z17" i="65" s="1"/>
  <c r="J17" i="65"/>
  <c r="W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W8" i="65"/>
  <c r="J8" i="65"/>
  <c r="AC8" i="65" s="1"/>
  <c r="H8" i="65"/>
  <c r="AB8" i="65" s="1"/>
  <c r="F8" i="65"/>
  <c r="S8" i="65" s="1"/>
  <c r="I7" i="65"/>
  <c r="G7" i="65"/>
  <c r="D3" i="65"/>
  <c r="C2" i="65"/>
  <c r="E2" i="65"/>
  <c r="F2" i="65" l="1"/>
  <c r="U8" i="65"/>
  <c r="AA8" i="65"/>
  <c r="U9" i="65"/>
  <c r="S10" i="65"/>
  <c r="W10" i="65"/>
  <c r="U11" i="65"/>
  <c r="S12" i="65"/>
  <c r="W12" i="65"/>
  <c r="U13" i="65"/>
  <c r="S14" i="65"/>
  <c r="W14" i="65"/>
  <c r="S15" i="65"/>
  <c r="W15" i="65"/>
  <c r="S17" i="65"/>
  <c r="W19" i="65"/>
  <c r="S21" i="65"/>
  <c r="W23" i="65"/>
  <c r="S26" i="65"/>
  <c r="U27" i="65"/>
  <c r="W28" i="65"/>
  <c r="S30" i="65"/>
  <c r="U31" i="65"/>
  <c r="W32" i="65"/>
  <c r="AA33" i="65"/>
  <c r="S33" i="65"/>
  <c r="AC33" i="65"/>
  <c r="W33" i="65"/>
  <c r="S36" i="65"/>
  <c r="AB37" i="65"/>
  <c r="U37" i="65"/>
  <c r="S9" i="65"/>
  <c r="W9" i="65"/>
  <c r="U10" i="65"/>
  <c r="S11" i="65"/>
  <c r="W11" i="65"/>
  <c r="U12" i="65"/>
  <c r="S13" i="65"/>
  <c r="W13" i="65"/>
  <c r="U14" i="65"/>
  <c r="U15" i="65"/>
  <c r="U17" i="65"/>
  <c r="S19" i="65"/>
  <c r="S23" i="65"/>
  <c r="S28" i="65"/>
  <c r="S32" i="65"/>
  <c r="S34" i="65"/>
  <c r="U35" i="65"/>
  <c r="AA37" i="65"/>
  <c r="S37" i="65"/>
  <c r="U19" i="65"/>
  <c r="U21" i="65"/>
  <c r="U23" i="65"/>
  <c r="S25" i="65"/>
  <c r="W25" i="65"/>
  <c r="U26" i="65"/>
  <c r="S27" i="65"/>
  <c r="W27" i="65"/>
  <c r="U28" i="65"/>
  <c r="S29" i="65"/>
  <c r="W29" i="65"/>
  <c r="U30" i="65"/>
  <c r="S31" i="65"/>
  <c r="W31" i="65"/>
  <c r="U32" i="65"/>
  <c r="U34" i="65"/>
  <c r="S35" i="65"/>
  <c r="W35" i="65"/>
  <c r="U36" i="65"/>
  <c r="S38" i="65"/>
  <c r="W38" i="65"/>
  <c r="U39" i="65"/>
  <c r="S40" i="65"/>
  <c r="W40" i="65"/>
  <c r="U41" i="65"/>
  <c r="S42" i="65"/>
  <c r="W42" i="65"/>
  <c r="U43" i="65"/>
  <c r="S44" i="65"/>
  <c r="W44" i="65"/>
  <c r="W37" i="65"/>
  <c r="U38" i="65"/>
  <c r="S39" i="65"/>
  <c r="W39" i="65"/>
  <c r="U40" i="65"/>
  <c r="S41" i="65"/>
  <c r="W41" i="65"/>
  <c r="U42" i="65"/>
  <c r="S43" i="65"/>
  <c r="W43" i="65"/>
  <c r="U44" i="65"/>
  <c r="AA45" i="65"/>
  <c r="S45" i="65"/>
  <c r="U45" i="65"/>
  <c r="W45" i="65"/>
  <c r="U46" i="65"/>
  <c r="K143" i="65"/>
  <c r="S46" i="65"/>
  <c r="W46" i="65"/>
  <c r="K144" i="65"/>
  <c r="D5" i="9"/>
  <c r="I7" i="21" l="1"/>
  <c r="G7" i="21"/>
  <c r="I33" i="21"/>
  <c r="G33" i="21"/>
  <c r="E33" i="21"/>
  <c r="C37" i="21"/>
  <c r="C33" i="21"/>
  <c r="B42" i="1"/>
  <c r="C2" i="63"/>
  <c r="C3" i="63"/>
  <c r="C4" i="63"/>
  <c r="C5" i="63"/>
  <c r="C1" i="63"/>
  <c r="E13" i="1"/>
  <c r="E17" i="1"/>
  <c r="AH5" i="59"/>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AB10" i="59" s="1"/>
  <c r="P9" i="59"/>
  <c r="P10" i="59"/>
  <c r="AA10" i="59" s="1"/>
  <c r="O9" i="59"/>
  <c r="N9" i="59"/>
  <c r="X5" i="59" s="1"/>
  <c r="B2" i="48"/>
  <c r="O11" i="59"/>
  <c r="Y11" i="59" s="1"/>
  <c r="O12" i="59"/>
  <c r="Y12" i="59" s="1"/>
  <c r="N11" i="59"/>
  <c r="N12" i="59"/>
  <c r="AH10" i="59"/>
  <c r="AG10" i="59"/>
  <c r="AE10" i="59"/>
  <c r="AF10" i="59"/>
  <c r="AD10" i="59"/>
  <c r="Q11" i="59"/>
  <c r="AB9" i="59" s="1"/>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X10" i="59" s="1"/>
  <c r="L3" i="59"/>
  <c r="AH3" i="59" s="1"/>
  <c r="K3" i="59"/>
  <c r="AG3" i="59" s="1"/>
  <c r="J3" i="59"/>
  <c r="AE3" i="59" s="1"/>
  <c r="I3" i="59"/>
  <c r="AD3" i="59" s="1"/>
  <c r="AH14" i="59"/>
  <c r="AG14" i="59"/>
  <c r="AE14" i="59"/>
  <c r="AF14" i="59"/>
  <c r="AD14" i="59"/>
  <c r="Q14" i="59"/>
  <c r="Q15" i="59"/>
  <c r="P14" i="59"/>
  <c r="AA14" i="59" s="1"/>
  <c r="P15" i="59"/>
  <c r="O14" i="59"/>
  <c r="O15" i="59"/>
  <c r="N14" i="59"/>
  <c r="X14" i="59" s="1"/>
  <c r="N15" i="59"/>
  <c r="N16" i="59"/>
  <c r="O16" i="59"/>
  <c r="Y14" i="59" s="1"/>
  <c r="Z14" i="59" s="1"/>
  <c r="P16" i="59"/>
  <c r="E16" i="59" s="1"/>
  <c r="E15" i="59" s="1"/>
  <c r="E14" i="59" s="1"/>
  <c r="E13" i="59" s="1"/>
  <c r="E12" i="59" s="1"/>
  <c r="E11" i="59" s="1"/>
  <c r="E10" i="59" s="1"/>
  <c r="E9" i="59" s="1"/>
  <c r="Q16" i="59"/>
  <c r="AD15" i="59"/>
  <c r="AE15" i="59"/>
  <c r="AF15" i="59"/>
  <c r="AG15" i="59"/>
  <c r="AH15" i="59"/>
  <c r="M19" i="43"/>
  <c r="M48" i="15"/>
  <c r="B2" i="1"/>
  <c r="B24" i="1"/>
  <c r="J50" i="15"/>
  <c r="J51" i="15"/>
  <c r="B26" i="1"/>
  <c r="AH16" i="59"/>
  <c r="AG16" i="59"/>
  <c r="AE16" i="59"/>
  <c r="AF16" i="59"/>
  <c r="AD16" i="59"/>
  <c r="AH17" i="59"/>
  <c r="AG17" i="59"/>
  <c r="AE17" i="59"/>
  <c r="AF17" i="59" s="1"/>
  <c r="AD17" i="59"/>
  <c r="Q17" i="59"/>
  <c r="AB3" i="59" s="1"/>
  <c r="P17" i="59"/>
  <c r="O17" i="59"/>
  <c r="Y17" i="59" s="1"/>
  <c r="Z17" i="59" s="1"/>
  <c r="N17" i="59"/>
  <c r="X17" i="59" s="1"/>
  <c r="Q18" i="59"/>
  <c r="P18" i="59"/>
  <c r="O18" i="59"/>
  <c r="N18" i="59"/>
  <c r="X18" i="59" s="1"/>
  <c r="D18" i="59"/>
  <c r="E17" i="59"/>
  <c r="F17" i="59"/>
  <c r="V17" i="59" s="1"/>
  <c r="C17" i="59"/>
  <c r="C16" i="59" s="1"/>
  <c r="A2" i="50"/>
  <c r="B16" i="60" s="1"/>
  <c r="D17" i="59"/>
  <c r="K60" i="15"/>
  <c r="P72" i="15" s="1"/>
  <c r="P59" i="15"/>
  <c r="A127" i="57"/>
  <c r="A123" i="9"/>
  <c r="A6" i="52" s="1"/>
  <c r="B64" i="60" s="1"/>
  <c r="A16" i="54"/>
  <c r="B14" i="60" s="1"/>
  <c r="A14" i="54"/>
  <c r="B12" i="60" s="1"/>
  <c r="A19" i="55"/>
  <c r="B49" i="60" s="1"/>
  <c r="A13" i="55"/>
  <c r="B43" i="60" s="1"/>
  <c r="A1" i="52"/>
  <c r="A4" i="50"/>
  <c r="P19" i="59"/>
  <c r="AA19" i="59" s="1"/>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AA20" i="59" s="1"/>
  <c r="Q20" i="59"/>
  <c r="N20" i="59"/>
  <c r="X22" i="59"/>
  <c r="X30" i="59"/>
  <c r="AB31" i="59"/>
  <c r="X31"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0" i="43" s="1"/>
  <c r="AG12" i="43"/>
  <c r="AF9" i="43"/>
  <c r="AF10" i="43" s="1"/>
  <c r="AF12" i="43"/>
  <c r="AE9" i="43"/>
  <c r="AE12" i="43" s="1"/>
  <c r="AD9" i="43"/>
  <c r="AD10" i="43" s="1"/>
  <c r="AC9" i="43"/>
  <c r="AC10" i="43" s="1"/>
  <c r="AB9" i="43"/>
  <c r="AB12" i="43" s="1"/>
  <c r="AA9" i="43"/>
  <c r="AA12" i="43"/>
  <c r="Z9" i="43"/>
  <c r="Z12" i="43"/>
  <c r="AA10" i="43"/>
  <c r="AI10" i="43"/>
  <c r="Z10" i="43"/>
  <c r="AB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2" i="59"/>
  <c r="F81" i="59"/>
  <c r="E81" i="59"/>
  <c r="E80" i="59" s="1"/>
  <c r="E79" i="59" s="1"/>
  <c r="C81" i="59"/>
  <c r="C80" i="59" s="1"/>
  <c r="B81" i="59"/>
  <c r="F80" i="59"/>
  <c r="F79" i="59"/>
  <c r="B80" i="59"/>
  <c r="B79" i="59" s="1"/>
  <c r="D78" i="59"/>
  <c r="F77" i="59"/>
  <c r="E77" i="59"/>
  <c r="E76" i="59" s="1"/>
  <c r="E75" i="59" s="1"/>
  <c r="C77" i="59"/>
  <c r="C76" i="59" s="1"/>
  <c r="B77" i="59"/>
  <c r="F76" i="59"/>
  <c r="F75" i="59"/>
  <c r="B76" i="59"/>
  <c r="B75" i="59" s="1"/>
  <c r="D74" i="59"/>
  <c r="S73" i="59"/>
  <c r="Q73" i="59"/>
  <c r="P73" i="59"/>
  <c r="O73" i="59"/>
  <c r="N73" i="59"/>
  <c r="F73" i="59"/>
  <c r="V73" i="59"/>
  <c r="E73" i="59"/>
  <c r="U73" i="59"/>
  <c r="C73" i="59"/>
  <c r="C72" i="59" s="1"/>
  <c r="B73" i="59"/>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c r="C69" i="59"/>
  <c r="T69" i="59"/>
  <c r="B69" i="59"/>
  <c r="B68" i="59" s="1"/>
  <c r="B67" i="59" s="1"/>
  <c r="Q68" i="59"/>
  <c r="P68" i="59"/>
  <c r="O68" i="59"/>
  <c r="N68" i="59"/>
  <c r="F68" i="59"/>
  <c r="F67" i="59" s="1"/>
  <c r="Q67" i="59"/>
  <c r="P67" i="59"/>
  <c r="O67" i="59"/>
  <c r="N67" i="59"/>
  <c r="Q66" i="59"/>
  <c r="P66" i="59"/>
  <c r="O66" i="59"/>
  <c r="N66" i="59"/>
  <c r="D66" i="59"/>
  <c r="Q65" i="59"/>
  <c r="P65" i="59"/>
  <c r="O65" i="59"/>
  <c r="N65" i="59"/>
  <c r="F65" i="59"/>
  <c r="F64" i="59" s="1"/>
  <c r="F63" i="59" s="1"/>
  <c r="V65" i="59"/>
  <c r="E65" i="59"/>
  <c r="C65" i="59"/>
  <c r="T65" i="59" s="1"/>
  <c r="B65" i="59"/>
  <c r="B64" i="59" s="1"/>
  <c r="B63" i="59" s="1"/>
  <c r="Q64" i="59"/>
  <c r="P64" i="59"/>
  <c r="O64" i="59"/>
  <c r="N64" i="59"/>
  <c r="Q63" i="59"/>
  <c r="P63" i="59"/>
  <c r="O63" i="59"/>
  <c r="N63" i="59"/>
  <c r="Q62" i="59"/>
  <c r="P62" i="59"/>
  <c r="O62" i="59"/>
  <c r="N62" i="59"/>
  <c r="D62" i="59"/>
  <c r="U61" i="59"/>
  <c r="S61" i="59"/>
  <c r="P61" i="59"/>
  <c r="N61" i="59"/>
  <c r="F61" i="59"/>
  <c r="F60" i="59" s="1"/>
  <c r="V61" i="59"/>
  <c r="E61" i="59"/>
  <c r="E60" i="59"/>
  <c r="E59" i="59" s="1"/>
  <c r="C61" i="59"/>
  <c r="B61" i="59"/>
  <c r="B60" i="59"/>
  <c r="B59"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C51" i="59"/>
  <c r="C52" i="59" s="1"/>
  <c r="Q50" i="59"/>
  <c r="F51" i="59"/>
  <c r="F52" i="59" s="1"/>
  <c r="F53" i="59" s="1"/>
  <c r="V53" i="59" s="1"/>
  <c r="P50" i="59"/>
  <c r="O50" i="59"/>
  <c r="N50" i="59"/>
  <c r="B51" i="59"/>
  <c r="B52" i="59" s="1"/>
  <c r="B53" i="59" s="1"/>
  <c r="S53" i="59" s="1"/>
  <c r="D50" i="59"/>
  <c r="Q49" i="59"/>
  <c r="P49" i="59"/>
  <c r="O49" i="59"/>
  <c r="N49" i="59"/>
  <c r="Q48" i="59"/>
  <c r="P48" i="59"/>
  <c r="O48" i="59"/>
  <c r="N48" i="59"/>
  <c r="F48" i="59"/>
  <c r="F49" i="59" s="1"/>
  <c r="V49" i="59" s="1"/>
  <c r="Q47" i="59"/>
  <c r="P47" i="59"/>
  <c r="O47" i="59"/>
  <c r="N47" i="59"/>
  <c r="Q46" i="59"/>
  <c r="F47"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c r="D43" i="59" s="1"/>
  <c r="N42" i="59"/>
  <c r="B43" i="59" s="1"/>
  <c r="B44" i="59" s="1"/>
  <c r="B45" i="59" s="1"/>
  <c r="S45" i="59" s="1"/>
  <c r="D42" i="59"/>
  <c r="T41" i="59"/>
  <c r="Q41" i="59"/>
  <c r="P41" i="59"/>
  <c r="O41" i="59"/>
  <c r="N41" i="59"/>
  <c r="D41" i="59"/>
  <c r="Q40" i="59"/>
  <c r="P40" i="59"/>
  <c r="O40" i="59"/>
  <c r="N40" i="59"/>
  <c r="Q39" i="59"/>
  <c r="P39" i="59"/>
  <c r="E40" i="59" s="1"/>
  <c r="E41" i="59" s="1"/>
  <c r="U41" i="59" s="1"/>
  <c r="O39" i="59"/>
  <c r="N39" i="59"/>
  <c r="Q38" i="59"/>
  <c r="F39" i="59" s="1"/>
  <c r="F40" i="59" s="1"/>
  <c r="F41" i="59" s="1"/>
  <c r="V41" i="59" s="1"/>
  <c r="P38" i="59"/>
  <c r="E39" i="59"/>
  <c r="O38" i="59"/>
  <c r="C39" i="59" s="1"/>
  <c r="N38" i="59"/>
  <c r="B39" i="59"/>
  <c r="B40" i="59" s="1"/>
  <c r="B41" i="59" s="1"/>
  <c r="S41" i="59" s="1"/>
  <c r="D38" i="59"/>
  <c r="Q37" i="59"/>
  <c r="P37" i="59"/>
  <c r="O37" i="59"/>
  <c r="N37" i="59"/>
  <c r="Q36" i="59"/>
  <c r="P36" i="59"/>
  <c r="O36" i="59"/>
  <c r="N36" i="59"/>
  <c r="Q35" i="59"/>
  <c r="P35" i="59"/>
  <c r="O35" i="59"/>
  <c r="N35" i="59"/>
  <c r="F35" i="59"/>
  <c r="F36" i="59"/>
  <c r="F37" i="59"/>
  <c r="V37" i="59" s="1"/>
  <c r="Q34" i="59"/>
  <c r="P34" i="59"/>
  <c r="E35" i="59"/>
  <c r="E36" i="59"/>
  <c r="E37" i="59" s="1"/>
  <c r="U37" i="59" s="1"/>
  <c r="O34" i="59"/>
  <c r="C35" i="59" s="1"/>
  <c r="N34" i="59"/>
  <c r="B35" i="59"/>
  <c r="B36" i="59"/>
  <c r="B37" i="59" s="1"/>
  <c r="S37" i="59" s="1"/>
  <c r="D34" i="59"/>
  <c r="Q33" i="59"/>
  <c r="P33" i="59"/>
  <c r="O33" i="59"/>
  <c r="N33" i="59"/>
  <c r="AB32" i="59"/>
  <c r="Q32" i="59"/>
  <c r="P32" i="59"/>
  <c r="AA32" i="59"/>
  <c r="O32" i="59"/>
  <c r="Y32" i="59" s="1"/>
  <c r="Z32" i="59" s="1"/>
  <c r="N32" i="59"/>
  <c r="X32" i="59"/>
  <c r="Q31" i="59"/>
  <c r="P31" i="59"/>
  <c r="AA31" i="59" s="1"/>
  <c r="O31" i="59"/>
  <c r="Y31" i="59" s="1"/>
  <c r="Z31" i="59" s="1"/>
  <c r="N31" i="59"/>
  <c r="F31" i="59"/>
  <c r="F32" i="59"/>
  <c r="F33" i="59"/>
  <c r="V33" i="59" s="1"/>
  <c r="Q30" i="59"/>
  <c r="AB30" i="59" s="1"/>
  <c r="P30" i="59"/>
  <c r="AA30" i="59" s="1"/>
  <c r="E31" i="59"/>
  <c r="E32" i="59"/>
  <c r="E33" i="59" s="1"/>
  <c r="U33" i="59" s="1"/>
  <c r="O30" i="59"/>
  <c r="Y26" i="59" s="1"/>
  <c r="Z26" i="59" s="1"/>
  <c r="N30" i="59"/>
  <c r="B31" i="59"/>
  <c r="B32" i="59"/>
  <c r="B33" i="59" s="1"/>
  <c r="S33" i="59" s="1"/>
  <c r="D30" i="59"/>
  <c r="Q29" i="59"/>
  <c r="AB29" i="59" s="1"/>
  <c r="P29" i="59"/>
  <c r="AA28" i="59" s="1"/>
  <c r="O29" i="59"/>
  <c r="N29" i="59"/>
  <c r="X29" i="59" s="1"/>
  <c r="Q28" i="59"/>
  <c r="AB28" i="59" s="1"/>
  <c r="P28" i="59"/>
  <c r="O28" i="59"/>
  <c r="Y28" i="59" s="1"/>
  <c r="Z28" i="59" s="1"/>
  <c r="N28" i="59"/>
  <c r="X28" i="59" s="1"/>
  <c r="Q27" i="59"/>
  <c r="AB27" i="59" s="1"/>
  <c r="P27" i="59"/>
  <c r="E28" i="59" s="1"/>
  <c r="E29" i="59" s="1"/>
  <c r="U29" i="59" s="1"/>
  <c r="O27" i="59"/>
  <c r="Y27" i="59" s="1"/>
  <c r="Z27" i="59" s="1"/>
  <c r="N27" i="59"/>
  <c r="X27" i="59" s="1"/>
  <c r="Q26" i="59"/>
  <c r="F27" i="59" s="1"/>
  <c r="F28" i="59" s="1"/>
  <c r="F29" i="59" s="1"/>
  <c r="V29" i="59" s="1"/>
  <c r="P26" i="59"/>
  <c r="AA26" i="59" s="1"/>
  <c r="E27" i="59"/>
  <c r="O26" i="59"/>
  <c r="C27" i="59" s="1"/>
  <c r="N26" i="59"/>
  <c r="X26" i="59" s="1"/>
  <c r="B27" i="59"/>
  <c r="B28" i="59" s="1"/>
  <c r="B29" i="59" s="1"/>
  <c r="S29" i="59" s="1"/>
  <c r="D26" i="59"/>
  <c r="Q25" i="59"/>
  <c r="AB25" i="59" s="1"/>
  <c r="P25" i="59"/>
  <c r="AA25" i="59" s="1"/>
  <c r="O25" i="59"/>
  <c r="Y18" i="59" s="1"/>
  <c r="Z18" i="59" s="1"/>
  <c r="N25" i="59"/>
  <c r="X25" i="59" s="1"/>
  <c r="Q24" i="59"/>
  <c r="AB24" i="59" s="1"/>
  <c r="P24" i="59"/>
  <c r="AA24" i="59" s="1"/>
  <c r="O24" i="59"/>
  <c r="Y24" i="59" s="1"/>
  <c r="Z24" i="59" s="1"/>
  <c r="N24" i="59"/>
  <c r="X24" i="59" s="1"/>
  <c r="Q23" i="59"/>
  <c r="P23" i="59"/>
  <c r="AA23" i="59" s="1"/>
  <c r="O23" i="59"/>
  <c r="Y23" i="59" s="1"/>
  <c r="Z23" i="59" s="1"/>
  <c r="N23" i="59"/>
  <c r="F23" i="59"/>
  <c r="F24" i="59"/>
  <c r="F25" i="59"/>
  <c r="V25" i="59" s="1"/>
  <c r="Q22" i="59"/>
  <c r="P22" i="59"/>
  <c r="AA22" i="59" s="1"/>
  <c r="E23" i="59"/>
  <c r="E24" i="59"/>
  <c r="E25" i="59" s="1"/>
  <c r="U25" i="59" s="1"/>
  <c r="O22" i="59"/>
  <c r="Y22" i="59" s="1"/>
  <c r="Z22" i="59" s="1"/>
  <c r="N22" i="59"/>
  <c r="B23" i="59"/>
  <c r="B24" i="59"/>
  <c r="B25" i="59" s="1"/>
  <c r="S25" i="59" s="1"/>
  <c r="D22" i="59"/>
  <c r="O21" i="59"/>
  <c r="N21" i="59"/>
  <c r="B21" i="59" s="1"/>
  <c r="C21" i="59"/>
  <c r="D21" i="59" s="1"/>
  <c r="T21" i="59"/>
  <c r="Y21" i="59"/>
  <c r="Z21" i="59" s="1"/>
  <c r="X21" i="59"/>
  <c r="X19" i="59"/>
  <c r="C44" i="59"/>
  <c r="C45" i="59" s="1"/>
  <c r="P21" i="59"/>
  <c r="U65" i="59"/>
  <c r="E64" i="59"/>
  <c r="E63" i="59"/>
  <c r="Q21" i="59"/>
  <c r="AB18" i="59" s="1"/>
  <c r="D51" i="59"/>
  <c r="N60" i="59"/>
  <c r="T61" i="59"/>
  <c r="O61" i="59"/>
  <c r="D61" i="59"/>
  <c r="C60" i="59"/>
  <c r="C59" i="59" s="1"/>
  <c r="C64" i="59"/>
  <c r="C63" i="59" s="1"/>
  <c r="D63" i="59" s="1"/>
  <c r="Q61" i="59"/>
  <c r="C68" i="59"/>
  <c r="C67" i="59" s="1"/>
  <c r="D67" i="59" s="1"/>
  <c r="E68" i="59"/>
  <c r="E67" i="59" s="1"/>
  <c r="D69" i="59"/>
  <c r="E72" i="59"/>
  <c r="E71" i="59" s="1"/>
  <c r="F21" i="59"/>
  <c r="F20" i="59" s="1"/>
  <c r="F19" i="59" s="1"/>
  <c r="AB20" i="59"/>
  <c r="E21" i="59"/>
  <c r="U21" i="59" s="1"/>
  <c r="AA21" i="59"/>
  <c r="C20" i="59"/>
  <c r="D20" i="59" s="1"/>
  <c r="D68" i="59"/>
  <c r="D44" i="59"/>
  <c r="D60" i="59"/>
  <c r="Q25" i="40"/>
  <c r="Z25" i="40" s="1"/>
  <c r="E94" i="40"/>
  <c r="F94" i="40" s="1"/>
  <c r="G94" i="40" s="1"/>
  <c r="D94" i="40"/>
  <c r="H25" i="40"/>
  <c r="AB25" i="40" s="1"/>
  <c r="F25" i="40"/>
  <c r="S25" i="40" s="1"/>
  <c r="Q27" i="39"/>
  <c r="Z27" i="39" s="1"/>
  <c r="D101" i="39"/>
  <c r="E101" i="39"/>
  <c r="F101" i="39"/>
  <c r="Z18" i="36"/>
  <c r="Q18" i="36"/>
  <c r="F18" i="36"/>
  <c r="AA18" i="36" s="1"/>
  <c r="C18" i="36"/>
  <c r="D66" i="36"/>
  <c r="E66" i="36" s="1"/>
  <c r="F66" i="36" s="1"/>
  <c r="G66" i="36" s="1"/>
  <c r="Z18" i="35"/>
  <c r="Q18" i="35"/>
  <c r="D68" i="35"/>
  <c r="E68" i="35"/>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c r="F21" i="34"/>
  <c r="S21" i="34" s="1"/>
  <c r="C21" i="34"/>
  <c r="Z21" i="33"/>
  <c r="Q21" i="33"/>
  <c r="D83" i="33"/>
  <c r="E83" i="33" s="1"/>
  <c r="F83" i="33" s="1"/>
  <c r="G83" i="33" s="1"/>
  <c r="H21" i="33"/>
  <c r="AB21" i="33"/>
  <c r="F21" i="33"/>
  <c r="S21" i="33" s="1"/>
  <c r="C21" i="33"/>
  <c r="Q21" i="21"/>
  <c r="Z21" i="21" s="1"/>
  <c r="D83" i="21"/>
  <c r="E83" i="21" s="1"/>
  <c r="F83" i="21" s="1"/>
  <c r="F21" i="21"/>
  <c r="AA21" i="21" s="1"/>
  <c r="C21" i="21"/>
  <c r="G20" i="20"/>
  <c r="C25" i="40" s="1"/>
  <c r="C22" i="20"/>
  <c r="B75" i="43" s="1"/>
  <c r="S18" i="36"/>
  <c r="W18" i="35"/>
  <c r="U18" i="35"/>
  <c r="S18" i="35"/>
  <c r="S21" i="37"/>
  <c r="U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0" i="43" s="1"/>
  <c r="N108" i="43"/>
  <c r="M99" i="43"/>
  <c r="M100" i="43" s="1"/>
  <c r="L99" i="43"/>
  <c r="L108" i="43" s="1"/>
  <c r="K99" i="43"/>
  <c r="K108" i="43" s="1"/>
  <c r="J99" i="43"/>
  <c r="J108" i="43" s="1"/>
  <c r="I99" i="43"/>
  <c r="I108" i="43" s="1"/>
  <c r="H99" i="43"/>
  <c r="H108" i="43"/>
  <c r="G99" i="43"/>
  <c r="G108" i="43" s="1"/>
  <c r="F99" i="43"/>
  <c r="F108" i="43" s="1"/>
  <c r="E99" i="43"/>
  <c r="E108" i="43" s="1"/>
  <c r="D99" i="43"/>
  <c r="D108" i="43" s="1"/>
  <c r="C99" i="43"/>
  <c r="C108" i="43" s="1"/>
  <c r="G100" i="43"/>
  <c r="I100" i="43"/>
  <c r="D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c r="D63" i="43"/>
  <c r="M62" i="43"/>
  <c r="N62" i="43" s="1"/>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U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c r="R169" i="31"/>
  <c r="T169" i="31" s="1"/>
  <c r="R170" i="31"/>
  <c r="T170" i="31" s="1"/>
  <c r="R171" i="31"/>
  <c r="T171" i="31" s="1"/>
  <c r="R172" i="31"/>
  <c r="T172" i="31" s="1"/>
  <c r="R173" i="31"/>
  <c r="T173" i="31" s="1"/>
  <c r="R174" i="31"/>
  <c r="T174" i="31"/>
  <c r="R175" i="31"/>
  <c r="T175" i="31" s="1"/>
  <c r="R176" i="31"/>
  <c r="T176" i="31" s="1"/>
  <c r="R177" i="31"/>
  <c r="T177" i="31" s="1"/>
  <c r="R178" i="31"/>
  <c r="T178" i="31" s="1"/>
  <c r="R179" i="31"/>
  <c r="T179" i="31" s="1"/>
  <c r="R180" i="31"/>
  <c r="T180" i="31"/>
  <c r="R181" i="31"/>
  <c r="T181" i="31" s="1"/>
  <c r="R182" i="31"/>
  <c r="T182" i="31" s="1"/>
  <c r="R183" i="31"/>
  <c r="T183" i="31" s="1"/>
  <c r="R184" i="31"/>
  <c r="T184" i="31" s="1"/>
  <c r="R185" i="31"/>
  <c r="T185" i="31" s="1"/>
  <c r="R186" i="31"/>
  <c r="T186" i="31"/>
  <c r="R187" i="31"/>
  <c r="T187" i="31" s="1"/>
  <c r="R188" i="31"/>
  <c r="T188" i="31" s="1"/>
  <c r="R189" i="31"/>
  <c r="T189" i="31" s="1"/>
  <c r="R190" i="31"/>
  <c r="T190" i="31" s="1"/>
  <c r="R191" i="31"/>
  <c r="T191" i="31" s="1"/>
  <c r="R192" i="31"/>
  <c r="T192" i="31"/>
  <c r="R193" i="31"/>
  <c r="T193" i="31" s="1"/>
  <c r="R194" i="31"/>
  <c r="T194" i="31" s="1"/>
  <c r="R195" i="31"/>
  <c r="T195" i="31" s="1"/>
  <c r="R196" i="31"/>
  <c r="T196" i="31" s="1"/>
  <c r="R197" i="31"/>
  <c r="T197" i="31" s="1"/>
  <c r="R198" i="31"/>
  <c r="T198" i="31"/>
  <c r="R199" i="31"/>
  <c r="T199" i="31" s="1"/>
  <c r="R200" i="31"/>
  <c r="T200" i="31" s="1"/>
  <c r="R201" i="31"/>
  <c r="T201" i="31" s="1"/>
  <c r="R202" i="31"/>
  <c r="T202" i="31" s="1"/>
  <c r="R203" i="31"/>
  <c r="T203" i="31" s="1"/>
  <c r="R204" i="31"/>
  <c r="T204" i="31"/>
  <c r="R205" i="31"/>
  <c r="T205" i="31" s="1"/>
  <c r="R206" i="31"/>
  <c r="T206" i="31" s="1"/>
  <c r="R207" i="31"/>
  <c r="T207" i="31" s="1"/>
  <c r="R208" i="31"/>
  <c r="T208" i="31" s="1"/>
  <c r="R209" i="31"/>
  <c r="T209" i="31" s="1"/>
  <c r="R210" i="31"/>
  <c r="T210" i="31"/>
  <c r="R211" i="31"/>
  <c r="T211" i="31" s="1"/>
  <c r="R212" i="31"/>
  <c r="T212" i="31" s="1"/>
  <c r="R213" i="31"/>
  <c r="T213" i="31" s="1"/>
  <c r="R214" i="31"/>
  <c r="T214" i="31" s="1"/>
  <c r="R215" i="31"/>
  <c r="T215" i="31" s="1"/>
  <c r="R216" i="31"/>
  <c r="T216" i="31"/>
  <c r="R217" i="31"/>
  <c r="T217" i="31" s="1"/>
  <c r="R218" i="31"/>
  <c r="T218" i="31" s="1"/>
  <c r="R219" i="31"/>
  <c r="T219" i="31" s="1"/>
  <c r="R220" i="31"/>
  <c r="T220" i="31" s="1"/>
  <c r="R221" i="31"/>
  <c r="T221" i="31" s="1"/>
  <c r="R222" i="31"/>
  <c r="T222" i="31"/>
  <c r="R223" i="31"/>
  <c r="T223" i="31" s="1"/>
  <c r="R224" i="31"/>
  <c r="T224" i="31" s="1"/>
  <c r="R225" i="31"/>
  <c r="T225" i="31" s="1"/>
  <c r="R226" i="31"/>
  <c r="T226" i="31" s="1"/>
  <c r="R227" i="31"/>
  <c r="T227" i="31" s="1"/>
  <c r="R228" i="31"/>
  <c r="T228" i="31"/>
  <c r="R229" i="31"/>
  <c r="T229" i="31" s="1"/>
  <c r="R230" i="31"/>
  <c r="T230" i="31" s="1"/>
  <c r="R231" i="31"/>
  <c r="T231" i="31" s="1"/>
  <c r="R232" i="31"/>
  <c r="T232" i="31" s="1"/>
  <c r="R233" i="31"/>
  <c r="T233" i="31" s="1"/>
  <c r="R234" i="31"/>
  <c r="T234" i="31"/>
  <c r="R235" i="31"/>
  <c r="T235" i="31" s="1"/>
  <c r="R236" i="31"/>
  <c r="T236" i="31" s="1"/>
  <c r="R237" i="31"/>
  <c r="T237" i="31" s="1"/>
  <c r="R238" i="31"/>
  <c r="T238" i="31" s="1"/>
  <c r="R239" i="31"/>
  <c r="T239" i="31" s="1"/>
  <c r="R240" i="31"/>
  <c r="T240" i="31"/>
  <c r="R241" i="31"/>
  <c r="T241" i="31" s="1"/>
  <c r="R242" i="31"/>
  <c r="T242" i="31" s="1"/>
  <c r="R243" i="31"/>
  <c r="T243" i="31" s="1"/>
  <c r="R244" i="31"/>
  <c r="T244" i="31" s="1"/>
  <c r="R245" i="31"/>
  <c r="T245" i="31" s="1"/>
  <c r="R246" i="31"/>
  <c r="T246" i="31"/>
  <c r="R247" i="31"/>
  <c r="T247" i="31" s="1"/>
  <c r="R248" i="31"/>
  <c r="T248" i="31" s="1"/>
  <c r="R249" i="31"/>
  <c r="T249" i="31" s="1"/>
  <c r="R250" i="31"/>
  <c r="T250" i="31" s="1"/>
  <c r="R251" i="31"/>
  <c r="T251" i="31" s="1"/>
  <c r="R252" i="31"/>
  <c r="T252" i="31"/>
  <c r="R253" i="31"/>
  <c r="T253" i="31" s="1"/>
  <c r="R254" i="31"/>
  <c r="T254" i="31" s="1"/>
  <c r="R255" i="31"/>
  <c r="T255" i="31" s="1"/>
  <c r="R256" i="31"/>
  <c r="T256" i="31" s="1"/>
  <c r="R257" i="31"/>
  <c r="T257" i="31" s="1"/>
  <c r="R258" i="31"/>
  <c r="T258" i="3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c r="L27" i="47"/>
  <c r="M27" i="47" s="1"/>
  <c r="J27" i="47"/>
  <c r="I27" i="47" s="1"/>
  <c r="L26" i="47"/>
  <c r="M26" i="47" s="1"/>
  <c r="J26" i="47"/>
  <c r="I26" i="47" s="1"/>
  <c r="L23" i="47"/>
  <c r="M23" i="47" s="1"/>
  <c r="J23" i="47"/>
  <c r="I23" i="47"/>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c r="L8" i="47"/>
  <c r="M8" i="47"/>
  <c r="J9" i="47"/>
  <c r="I9" i="47"/>
  <c r="L9" i="47"/>
  <c r="M9" i="47"/>
  <c r="J10" i="47"/>
  <c r="I10" i="47"/>
  <c r="D10" i="47" s="1"/>
  <c r="L10" i="47"/>
  <c r="M10" i="47"/>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c r="E44" i="35"/>
  <c r="F44" i="35" s="1"/>
  <c r="I54" i="33"/>
  <c r="J54" i="33" s="1"/>
  <c r="G54" i="33"/>
  <c r="H54" i="33" s="1"/>
  <c r="E54" i="33"/>
  <c r="F54" i="33" s="1"/>
  <c r="G111" i="21"/>
  <c r="H111" i="21"/>
  <c r="B110" i="39"/>
  <c r="F35" i="39" s="1"/>
  <c r="S35" i="39" s="1"/>
  <c r="B112" i="39"/>
  <c r="J30" i="36"/>
  <c r="H30" i="36"/>
  <c r="F30" i="36"/>
  <c r="AA30" i="36" s="1"/>
  <c r="C79" i="35"/>
  <c r="J31" i="35"/>
  <c r="AC31" i="35" s="1"/>
  <c r="H31" i="35"/>
  <c r="AB31" i="35"/>
  <c r="F31" i="35"/>
  <c r="D87" i="35"/>
  <c r="E87" i="35" s="1"/>
  <c r="F87" i="35" s="1"/>
  <c r="G87" i="35"/>
  <c r="H87" i="35" s="1"/>
  <c r="I87" i="35" s="1"/>
  <c r="J87" i="35" s="1"/>
  <c r="K87" i="35" s="1"/>
  <c r="L87" i="35" s="1"/>
  <c r="M87" i="35" s="1"/>
  <c r="H29" i="35"/>
  <c r="H34" i="37"/>
  <c r="AB34" i="37" s="1"/>
  <c r="D101" i="37"/>
  <c r="F34" i="37"/>
  <c r="AA34" i="37" s="1"/>
  <c r="D99" i="37"/>
  <c r="E99" i="37"/>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c r="F111" i="33" s="1"/>
  <c r="G111" i="33"/>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c r="AC33" i="40"/>
  <c r="B103" i="40"/>
  <c r="J32" i="40"/>
  <c r="AC32" i="40" s="1"/>
  <c r="B101" i="40"/>
  <c r="J31" i="40" s="1"/>
  <c r="AC31" i="40" s="1"/>
  <c r="D100" i="40"/>
  <c r="E100" i="40" s="1"/>
  <c r="F100" i="40"/>
  <c r="G100" i="40" s="1"/>
  <c r="H100" i="40" s="1"/>
  <c r="I100" i="40" s="1"/>
  <c r="J100" i="40" s="1"/>
  <c r="K100" i="40" s="1"/>
  <c r="L100" i="40" s="1"/>
  <c r="M100" i="40" s="1"/>
  <c r="D98" i="40"/>
  <c r="E98" i="40"/>
  <c r="D96" i="40"/>
  <c r="E96" i="40" s="1"/>
  <c r="B95" i="40"/>
  <c r="D92" i="40"/>
  <c r="E92" i="40"/>
  <c r="F92" i="40" s="1"/>
  <c r="G92" i="40"/>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J39" i="40"/>
  <c r="AC39" i="40"/>
  <c r="F39" i="40"/>
  <c r="AA39" i="40"/>
  <c r="Q38" i="40"/>
  <c r="Z38" i="40" s="1"/>
  <c r="Q37" i="40"/>
  <c r="Z37" i="40" s="1"/>
  <c r="Q36" i="40"/>
  <c r="Z36" i="40" s="1"/>
  <c r="Q35" i="40"/>
  <c r="Z35" i="40"/>
  <c r="Q34" i="40"/>
  <c r="Z34" i="40"/>
  <c r="J34" i="40"/>
  <c r="AC34" i="40"/>
  <c r="H34" i="40"/>
  <c r="AB34" i="40" s="1"/>
  <c r="F34" i="40"/>
  <c r="Q33" i="40"/>
  <c r="Z33" i="40"/>
  <c r="Q32" i="40"/>
  <c r="Z32" i="40" s="1"/>
  <c r="Q31" i="40"/>
  <c r="Z31" i="40"/>
  <c r="Q30" i="40"/>
  <c r="Z30" i="40"/>
  <c r="Q28" i="40"/>
  <c r="Z28" i="40" s="1"/>
  <c r="Q27" i="40"/>
  <c r="Z27" i="40" s="1"/>
  <c r="Q23" i="40"/>
  <c r="Z23" i="40"/>
  <c r="Q21" i="40"/>
  <c r="Z21" i="40"/>
  <c r="Q19" i="40"/>
  <c r="Z19" i="40" s="1"/>
  <c r="Q17" i="40"/>
  <c r="Z17" i="40"/>
  <c r="Q15" i="40"/>
  <c r="Z15" i="40" s="1"/>
  <c r="Q14" i="40"/>
  <c r="Z14" i="40" s="1"/>
  <c r="Q13" i="40"/>
  <c r="Z13" i="40"/>
  <c r="Q12" i="40"/>
  <c r="Z12" i="40"/>
  <c r="Q11" i="40"/>
  <c r="Z11" i="40"/>
  <c r="Q10" i="40"/>
  <c r="Z10" i="40" s="1"/>
  <c r="Q9" i="40"/>
  <c r="Z9" i="40" s="1"/>
  <c r="J9" i="40"/>
  <c r="W9" i="40" s="1"/>
  <c r="H9" i="40"/>
  <c r="AB9" i="40"/>
  <c r="F9" i="40"/>
  <c r="AA9" i="40"/>
  <c r="J8" i="40"/>
  <c r="AC8" i="40"/>
  <c r="H8" i="40"/>
  <c r="AB8" i="40"/>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c r="F126" i="39" s="1"/>
  <c r="G126" i="39"/>
  <c r="H126" i="39"/>
  <c r="I126" i="39" s="1"/>
  <c r="J126" i="39" s="1"/>
  <c r="K126" i="39" s="1"/>
  <c r="L126" i="39" s="1"/>
  <c r="M126" i="39" s="1"/>
  <c r="D122" i="39"/>
  <c r="E122" i="39" s="1"/>
  <c r="F122" i="39" s="1"/>
  <c r="G122" i="39"/>
  <c r="H122" i="39" s="1"/>
  <c r="I122" i="39" s="1"/>
  <c r="J122" i="39" s="1"/>
  <c r="K122" i="39" s="1"/>
  <c r="L122" i="39" s="1"/>
  <c r="M122" i="39" s="1"/>
  <c r="B104" i="39"/>
  <c r="D97" i="39"/>
  <c r="D95" i="39"/>
  <c r="E95" i="39" s="1"/>
  <c r="F95" i="39" s="1"/>
  <c r="G95" i="39" s="1"/>
  <c r="J21" i="39"/>
  <c r="AC21" i="39"/>
  <c r="D93" i="39"/>
  <c r="E93" i="39" s="1"/>
  <c r="F93" i="39" s="1"/>
  <c r="G93" i="39"/>
  <c r="D91" i="39"/>
  <c r="E91" i="39"/>
  <c r="F91" i="39" s="1"/>
  <c r="G91" i="39" s="1"/>
  <c r="D89" i="39"/>
  <c r="E89" i="39"/>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AA44" i="39"/>
  <c r="J40" i="39"/>
  <c r="AC40" i="39"/>
  <c r="F40" i="39"/>
  <c r="AA40" i="39" s="1"/>
  <c r="J39" i="39"/>
  <c r="AC39" i="39"/>
  <c r="F39" i="39"/>
  <c r="AA39" i="39"/>
  <c r="Q35" i="39"/>
  <c r="Z35" i="39"/>
  <c r="Q34" i="39"/>
  <c r="Z34" i="39"/>
  <c r="Q32" i="39"/>
  <c r="Z32" i="39"/>
  <c r="Q31" i="39"/>
  <c r="Z31" i="39" s="1"/>
  <c r="Q29" i="39"/>
  <c r="Z29" i="39"/>
  <c r="Q25" i="39"/>
  <c r="Z25" i="39"/>
  <c r="Q23" i="39"/>
  <c r="Z23" i="39"/>
  <c r="Q21" i="39"/>
  <c r="Z21" i="39"/>
  <c r="Q19" i="39"/>
  <c r="Z19" i="39"/>
  <c r="Q17" i="39"/>
  <c r="Z17" i="39" s="1"/>
  <c r="Q15" i="39"/>
  <c r="Z15" i="39"/>
  <c r="Q14" i="39"/>
  <c r="Z14" i="39"/>
  <c r="Q13" i="39"/>
  <c r="Z13" i="39"/>
  <c r="Q12" i="39"/>
  <c r="Z12" i="39"/>
  <c r="Q11" i="39"/>
  <c r="Z11" i="39" s="1"/>
  <c r="Q10" i="39"/>
  <c r="Z10" i="39"/>
  <c r="Q9" i="39"/>
  <c r="Z9" i="39" s="1"/>
  <c r="J9" i="39"/>
  <c r="AC9" i="39" s="1"/>
  <c r="H9" i="39"/>
  <c r="AB9" i="39" s="1"/>
  <c r="F9" i="39"/>
  <c r="J8" i="39"/>
  <c r="AC8" i="39"/>
  <c r="H8" i="39"/>
  <c r="F8" i="39"/>
  <c r="AA8" i="39" s="1"/>
  <c r="C20" i="36"/>
  <c r="C20" i="35"/>
  <c r="C16" i="36"/>
  <c r="C16" i="35"/>
  <c r="C14" i="36"/>
  <c r="C14" i="35"/>
  <c r="B80" i="37"/>
  <c r="J25" i="37" s="1"/>
  <c r="AC25" i="37" s="1"/>
  <c r="B110" i="37"/>
  <c r="H39" i="37" s="1"/>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c r="G105" i="37" s="1"/>
  <c r="D103" i="37"/>
  <c r="J35" i="37"/>
  <c r="G97" i="37"/>
  <c r="F97" i="37"/>
  <c r="E97" i="37"/>
  <c r="D97" i="37"/>
  <c r="C97" i="37"/>
  <c r="D96" i="37"/>
  <c r="E96" i="37" s="1"/>
  <c r="F96" i="37"/>
  <c r="G96" i="37" s="1"/>
  <c r="H96" i="37" s="1"/>
  <c r="I96" i="37" s="1"/>
  <c r="J96" i="37"/>
  <c r="K96" i="37" s="1"/>
  <c r="L96" i="37" s="1"/>
  <c r="M96" i="37" s="1"/>
  <c r="D94" i="37"/>
  <c r="E94" i="37" s="1"/>
  <c r="F94" i="37"/>
  <c r="G94" i="37" s="1"/>
  <c r="H94" i="37"/>
  <c r="I94" i="37" s="1"/>
  <c r="J94" i="37"/>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c r="B86" i="37"/>
  <c r="B84" i="37"/>
  <c r="B82" i="37"/>
  <c r="D79" i="37"/>
  <c r="E79" i="37" s="1"/>
  <c r="F79" i="37" s="1"/>
  <c r="G79" i="37" s="1"/>
  <c r="D75" i="37"/>
  <c r="E75" i="37" s="1"/>
  <c r="F75" i="37"/>
  <c r="D73" i="37"/>
  <c r="E73" i="37" s="1"/>
  <c r="J17" i="37"/>
  <c r="D71" i="37"/>
  <c r="E71" i="37" s="1"/>
  <c r="F71" i="37"/>
  <c r="G71" i="37" s="1"/>
  <c r="B68" i="37"/>
  <c r="H14" i="37" s="1"/>
  <c r="AB14" i="37" s="1"/>
  <c r="B66" i="37"/>
  <c r="B64" i="37"/>
  <c r="H12" i="37"/>
  <c r="U12" i="37" s="1"/>
  <c r="D63" i="37"/>
  <c r="E63" i="37"/>
  <c r="F63" i="37"/>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s="1"/>
  <c r="Q25" i="37"/>
  <c r="Z25" i="37"/>
  <c r="F25" i="37"/>
  <c r="AA25" i="37" s="1"/>
  <c r="Q23" i="37"/>
  <c r="Z23" i="37" s="1"/>
  <c r="Q19" i="37"/>
  <c r="Z19" i="37" s="1"/>
  <c r="Q17" i="37"/>
  <c r="Z17" i="37" s="1"/>
  <c r="Q15" i="37"/>
  <c r="Z15" i="37"/>
  <c r="Q14" i="37"/>
  <c r="Z14" i="37"/>
  <c r="Q13" i="37"/>
  <c r="Z13" i="37" s="1"/>
  <c r="Q12" i="37"/>
  <c r="Z12" i="37" s="1"/>
  <c r="Q11" i="37"/>
  <c r="Z11" i="37" s="1"/>
  <c r="Q10" i="37"/>
  <c r="Z10" i="37" s="1"/>
  <c r="Q9" i="37"/>
  <c r="Z9" i="37"/>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c r="F81" i="36" s="1"/>
  <c r="G81" i="36"/>
  <c r="H81" i="36" s="1"/>
  <c r="I81" i="36" s="1"/>
  <c r="J81" i="36" s="1"/>
  <c r="K81" i="36" s="1"/>
  <c r="L81" i="36" s="1"/>
  <c r="M81" i="36" s="1"/>
  <c r="G79" i="36"/>
  <c r="F79" i="36"/>
  <c r="E79" i="36"/>
  <c r="D79" i="36"/>
  <c r="C79" i="36"/>
  <c r="B93" i="36"/>
  <c r="H33" i="36" s="1"/>
  <c r="AB33" i="36" s="1"/>
  <c r="B91" i="36"/>
  <c r="F32" i="36"/>
  <c r="B95" i="36"/>
  <c r="H34" i="36"/>
  <c r="D83" i="36"/>
  <c r="E83" i="36" s="1"/>
  <c r="D78" i="36"/>
  <c r="E78" i="36" s="1"/>
  <c r="F78" i="36" s="1"/>
  <c r="G78" i="36" s="1"/>
  <c r="H78" i="36" s="1"/>
  <c r="I78" i="36" s="1"/>
  <c r="J78" i="36" s="1"/>
  <c r="K78" i="36" s="1"/>
  <c r="L78" i="36" s="1"/>
  <c r="M78" i="36" s="1"/>
  <c r="B75" i="36"/>
  <c r="B73" i="36"/>
  <c r="B71" i="36"/>
  <c r="J23" i="36" s="1"/>
  <c r="W23" i="36" s="1"/>
  <c r="D70" i="36"/>
  <c r="H22" i="36"/>
  <c r="AB22" i="36"/>
  <c r="D68" i="36"/>
  <c r="E68" i="36" s="1"/>
  <c r="F68" i="36" s="1"/>
  <c r="G68" i="36" s="1"/>
  <c r="D64" i="36"/>
  <c r="E64" i="36" s="1"/>
  <c r="F64" i="36"/>
  <c r="G64" i="36" s="1"/>
  <c r="J16" i="36"/>
  <c r="W16" i="36" s="1"/>
  <c r="D62" i="36"/>
  <c r="E62" i="36" s="1"/>
  <c r="F62" i="36" s="1"/>
  <c r="G62" i="36" s="1"/>
  <c r="H14" i="36"/>
  <c r="AB14" i="36" s="1"/>
  <c r="B59" i="36"/>
  <c r="B57" i="36"/>
  <c r="B55" i="36"/>
  <c r="F54" i="36"/>
  <c r="G54" i="36"/>
  <c r="H54" i="36" s="1"/>
  <c r="I54" i="36"/>
  <c r="C51" i="36"/>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Q25" i="36"/>
  <c r="Z25" i="36"/>
  <c r="Q24" i="36"/>
  <c r="Z24" i="36"/>
  <c r="Q23" i="36"/>
  <c r="Z23" i="36"/>
  <c r="H23" i="36"/>
  <c r="F23" i="36"/>
  <c r="Q22" i="36"/>
  <c r="Z22" i="36"/>
  <c r="J22" i="36"/>
  <c r="Q20" i="36"/>
  <c r="Z20" i="36" s="1"/>
  <c r="Q16" i="36"/>
  <c r="Z16" i="36" s="1"/>
  <c r="Q14" i="36"/>
  <c r="Z14" i="36" s="1"/>
  <c r="Q13" i="36"/>
  <c r="Z13" i="36"/>
  <c r="Q12" i="36"/>
  <c r="Z12" i="36" s="1"/>
  <c r="Q11" i="36"/>
  <c r="Z11" i="36" s="1"/>
  <c r="Q10" i="36"/>
  <c r="Z10" i="36" s="1"/>
  <c r="F10" i="36"/>
  <c r="AA10" i="36" s="1"/>
  <c r="Q9" i="36"/>
  <c r="Z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c r="B101" i="35"/>
  <c r="H36" i="35"/>
  <c r="AB36" i="35" s="1"/>
  <c r="B99" i="35"/>
  <c r="B97" i="35"/>
  <c r="J34" i="35" s="1"/>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c r="F94" i="35" s="1"/>
  <c r="G94" i="35" s="1"/>
  <c r="H94" i="35" s="1"/>
  <c r="I94" i="35" s="1"/>
  <c r="J94" i="35" s="1"/>
  <c r="K94" i="35" s="1"/>
  <c r="L94" i="35" s="1"/>
  <c r="M94" i="35" s="1"/>
  <c r="D84" i="35"/>
  <c r="E84" i="35" s="1"/>
  <c r="F84" i="35" s="1"/>
  <c r="G84" i="35" s="1"/>
  <c r="H84" i="35"/>
  <c r="I84" i="35" s="1"/>
  <c r="J84" i="35"/>
  <c r="K84" i="35" s="1"/>
  <c r="L84" i="35" s="1"/>
  <c r="M84" i="35" s="1"/>
  <c r="D80" i="35"/>
  <c r="E80" i="35" s="1"/>
  <c r="F80" i="35"/>
  <c r="G80" i="35"/>
  <c r="H80" i="35" s="1"/>
  <c r="I80" i="35" s="1"/>
  <c r="J80" i="35" s="1"/>
  <c r="K80" i="35" s="1"/>
  <c r="L80" i="35" s="1"/>
  <c r="M80" i="35" s="1"/>
  <c r="D72" i="35"/>
  <c r="E72" i="35"/>
  <c r="F72" i="35" s="1"/>
  <c r="G72" i="35" s="1"/>
  <c r="D70" i="35"/>
  <c r="E70" i="35"/>
  <c r="F70" i="35" s="1"/>
  <c r="G70" i="35" s="1"/>
  <c r="D66" i="35"/>
  <c r="E66" i="35"/>
  <c r="F66" i="35"/>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c r="Q35" i="35"/>
  <c r="Z35" i="35" s="1"/>
  <c r="Q34" i="35"/>
  <c r="Z34" i="35" s="1"/>
  <c r="AC34" i="35"/>
  <c r="Q33" i="35"/>
  <c r="Z33" i="35"/>
  <c r="Q32" i="35"/>
  <c r="Z32" i="35" s="1"/>
  <c r="H32" i="35"/>
  <c r="AB32" i="35" s="1"/>
  <c r="F32" i="35"/>
  <c r="AA32" i="35"/>
  <c r="Q31" i="35"/>
  <c r="Z31" i="35"/>
  <c r="Q30" i="35"/>
  <c r="Z30" i="35" s="1"/>
  <c r="Q29" i="35"/>
  <c r="Z29" i="35"/>
  <c r="Q28" i="35"/>
  <c r="Z28" i="35" s="1"/>
  <c r="J28" i="35"/>
  <c r="AC28" i="35"/>
  <c r="H28" i="35"/>
  <c r="AB28" i="35" s="1"/>
  <c r="F28" i="35"/>
  <c r="AA28" i="35"/>
  <c r="Q27" i="35"/>
  <c r="Z27" i="35" s="1"/>
  <c r="Q26" i="35"/>
  <c r="Z26" i="35" s="1"/>
  <c r="Q25" i="35"/>
  <c r="Z25" i="35" s="1"/>
  <c r="Q24" i="35"/>
  <c r="Z24" i="35"/>
  <c r="Q23" i="35"/>
  <c r="Z23" i="35" s="1"/>
  <c r="Q22" i="35"/>
  <c r="Z22" i="35"/>
  <c r="Q20" i="35"/>
  <c r="Z20" i="35"/>
  <c r="Q16" i="35"/>
  <c r="Z16" i="35"/>
  <c r="Q14" i="35"/>
  <c r="Z14" i="35" s="1"/>
  <c r="Q13" i="35"/>
  <c r="Z13" i="35"/>
  <c r="Q12" i="35"/>
  <c r="Z12" i="35"/>
  <c r="F12" i="35"/>
  <c r="S12" i="35" s="1"/>
  <c r="Q11" i="35"/>
  <c r="Z11" i="35" s="1"/>
  <c r="Q10" i="35"/>
  <c r="Z10" i="35"/>
  <c r="Q9" i="35"/>
  <c r="Z9" i="35"/>
  <c r="H9" i="35"/>
  <c r="AB9" i="35"/>
  <c r="F9" i="35"/>
  <c r="AA9" i="35" s="1"/>
  <c r="J8" i="35"/>
  <c r="AC8" i="35" s="1"/>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c r="J90" i="34" s="1"/>
  <c r="K90" i="34" s="1"/>
  <c r="L90" i="34" s="1"/>
  <c r="M90" i="34" s="1"/>
  <c r="C15" i="34"/>
  <c r="F67" i="34"/>
  <c r="G67" i="34"/>
  <c r="H67" i="34"/>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c r="M103" i="34"/>
  <c r="L103" i="34"/>
  <c r="K103" i="34"/>
  <c r="J103" i="34"/>
  <c r="I103" i="34"/>
  <c r="H103" i="34"/>
  <c r="G103" i="34"/>
  <c r="F103" i="34"/>
  <c r="E103" i="34"/>
  <c r="D103" i="34"/>
  <c r="C103" i="34"/>
  <c r="D102" i="34"/>
  <c r="E102" i="34" s="1"/>
  <c r="F102" i="34"/>
  <c r="G102" i="34" s="1"/>
  <c r="H102" i="34" s="1"/>
  <c r="I102" i="34" s="1"/>
  <c r="J102" i="34"/>
  <c r="K102" i="34" s="1"/>
  <c r="L102" i="34" s="1"/>
  <c r="M102" i="34" s="1"/>
  <c r="H33" i="34"/>
  <c r="U33" i="34"/>
  <c r="D92" i="34"/>
  <c r="E92" i="34" s="1"/>
  <c r="F92" i="34" s="1"/>
  <c r="G92" i="34" s="1"/>
  <c r="H92" i="34" s="1"/>
  <c r="I92" i="34" s="1"/>
  <c r="J92" i="34" s="1"/>
  <c r="K92" i="34" s="1"/>
  <c r="L92" i="34" s="1"/>
  <c r="M92" i="34" s="1"/>
  <c r="B91" i="34"/>
  <c r="B89" i="34"/>
  <c r="J27" i="34"/>
  <c r="D88" i="34"/>
  <c r="E88" i="34"/>
  <c r="F88" i="34" s="1"/>
  <c r="G88" i="34" s="1"/>
  <c r="H88" i="34" s="1"/>
  <c r="I88" i="34"/>
  <c r="J88" i="34" s="1"/>
  <c r="K88" i="34" s="1"/>
  <c r="L88" i="34" s="1"/>
  <c r="M88" i="34" s="1"/>
  <c r="D86" i="34"/>
  <c r="E86" i="34"/>
  <c r="F86" i="34"/>
  <c r="G86" i="34" s="1"/>
  <c r="F23" i="34"/>
  <c r="AA23" i="34" s="1"/>
  <c r="D82" i="34"/>
  <c r="E82" i="34" s="1"/>
  <c r="F82" i="34"/>
  <c r="G82" i="34"/>
  <c r="F19" i="34"/>
  <c r="D80" i="34"/>
  <c r="E80" i="34"/>
  <c r="D78" i="34"/>
  <c r="E78" i="34"/>
  <c r="F78" i="34" s="1"/>
  <c r="G78" i="34" s="1"/>
  <c r="F15" i="34"/>
  <c r="AA15" i="34"/>
  <c r="D70" i="34"/>
  <c r="E70" i="34"/>
  <c r="F70" i="34"/>
  <c r="G70" i="34"/>
  <c r="H70" i="34" s="1"/>
  <c r="I70" i="34" s="1"/>
  <c r="J70" i="34" s="1"/>
  <c r="K70" i="34" s="1"/>
  <c r="L70" i="34"/>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s="1"/>
  <c r="Q39" i="34"/>
  <c r="Z39" i="34" s="1"/>
  <c r="H39" i="34"/>
  <c r="U39" i="34" s="1"/>
  <c r="F39" i="34"/>
  <c r="AA39" i="34" s="1"/>
  <c r="Q38" i="34"/>
  <c r="Z38" i="34"/>
  <c r="Q37" i="34"/>
  <c r="Z37" i="34" s="1"/>
  <c r="Q36" i="34"/>
  <c r="Z36" i="34"/>
  <c r="Q35" i="34"/>
  <c r="Z35" i="34"/>
  <c r="Q34" i="34"/>
  <c r="Z34" i="34"/>
  <c r="J34" i="34"/>
  <c r="AC34" i="34" s="1"/>
  <c r="H34" i="34"/>
  <c r="AB34" i="34"/>
  <c r="F34" i="34"/>
  <c r="AA34" i="34" s="1"/>
  <c r="Q33" i="34"/>
  <c r="Z33" i="34"/>
  <c r="Q32" i="34"/>
  <c r="Z32" i="34" s="1"/>
  <c r="Q31" i="34"/>
  <c r="Z31" i="34" s="1"/>
  <c r="Q30" i="34"/>
  <c r="Z30" i="34" s="1"/>
  <c r="Q29" i="34"/>
  <c r="Z29" i="34"/>
  <c r="Q28" i="34"/>
  <c r="Z28" i="34"/>
  <c r="Q27" i="34"/>
  <c r="Z27" i="34" s="1"/>
  <c r="Q25" i="34"/>
  <c r="Z25" i="34"/>
  <c r="Q23" i="34"/>
  <c r="Z23" i="34"/>
  <c r="C23" i="34"/>
  <c r="Q19" i="34"/>
  <c r="Z19" i="34"/>
  <c r="C19" i="34"/>
  <c r="Q17" i="34"/>
  <c r="Z17" i="34" s="1"/>
  <c r="C17" i="34"/>
  <c r="Q15" i="34"/>
  <c r="Z15" i="34"/>
  <c r="Q14" i="34"/>
  <c r="Z14" i="34" s="1"/>
  <c r="Q13" i="34"/>
  <c r="Z13" i="34" s="1"/>
  <c r="Q12" i="34"/>
  <c r="Z12" i="34"/>
  <c r="J12" i="34"/>
  <c r="H12" i="34"/>
  <c r="U12" i="34" s="1"/>
  <c r="F12" i="34"/>
  <c r="Q11" i="34"/>
  <c r="Z11" i="34"/>
  <c r="Q10" i="34"/>
  <c r="Z10" i="34" s="1"/>
  <c r="F10" i="34"/>
  <c r="Q9" i="34"/>
  <c r="Z9" i="34" s="1"/>
  <c r="J8" i="34"/>
  <c r="H8" i="34"/>
  <c r="U8" i="34"/>
  <c r="F8" i="34"/>
  <c r="AA8" i="34" s="1"/>
  <c r="D121" i="33"/>
  <c r="E121" i="33" s="1"/>
  <c r="F121" i="33" s="1"/>
  <c r="G121" i="33"/>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c r="I123" i="33" s="1"/>
  <c r="J123" i="33" s="1"/>
  <c r="K123" i="33"/>
  <c r="L123" i="33" s="1"/>
  <c r="M123" i="33" s="1"/>
  <c r="D117" i="33"/>
  <c r="D115" i="33"/>
  <c r="E115" i="33"/>
  <c r="F115" i="33" s="1"/>
  <c r="G115" i="33" s="1"/>
  <c r="H115" i="33" s="1"/>
  <c r="I115" i="33" s="1"/>
  <c r="J115" i="33" s="1"/>
  <c r="K115" i="33" s="1"/>
  <c r="L115" i="33" s="1"/>
  <c r="M115" i="33" s="1"/>
  <c r="D108" i="33"/>
  <c r="E108" i="33"/>
  <c r="F108" i="33" s="1"/>
  <c r="G108" i="33"/>
  <c r="H108" i="33"/>
  <c r="I108" i="33"/>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c r="K87" i="33"/>
  <c r="L87" i="33" s="1"/>
  <c r="M87" i="33" s="1"/>
  <c r="D85" i="33"/>
  <c r="E85" i="33"/>
  <c r="F85" i="33"/>
  <c r="G85" i="33" s="1"/>
  <c r="D81" i="33"/>
  <c r="E81" i="33" s="1"/>
  <c r="F81" i="33" s="1"/>
  <c r="G81" i="33" s="1"/>
  <c r="D79" i="33"/>
  <c r="E79" i="33" s="1"/>
  <c r="F79" i="33" s="1"/>
  <c r="G79" i="33" s="1"/>
  <c r="D77" i="33"/>
  <c r="E77" i="33" s="1"/>
  <c r="F77" i="33" s="1"/>
  <c r="G77" i="33" s="1"/>
  <c r="D69" i="33"/>
  <c r="E69" i="33"/>
  <c r="F69" i="33" s="1"/>
  <c r="G69" i="33" s="1"/>
  <c r="H69" i="33" s="1"/>
  <c r="I69" i="33"/>
  <c r="J69" i="33" s="1"/>
  <c r="K69" i="33"/>
  <c r="L69" i="33" s="1"/>
  <c r="M69" i="33" s="1"/>
  <c r="H11" i="33"/>
  <c r="U11" i="33"/>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c r="J42" i="33"/>
  <c r="AC42" i="33" s="1"/>
  <c r="Q41" i="33"/>
  <c r="Z41" i="33"/>
  <c r="Q40" i="33"/>
  <c r="Z40" i="33"/>
  <c r="J40" i="33"/>
  <c r="AC40" i="33" s="1"/>
  <c r="H40" i="33"/>
  <c r="AB40" i="33" s="1"/>
  <c r="AA40" i="33"/>
  <c r="Q39" i="33"/>
  <c r="Z39" i="33"/>
  <c r="Q38" i="33"/>
  <c r="Z38" i="33" s="1"/>
  <c r="J38" i="33"/>
  <c r="H38" i="33"/>
  <c r="AB38" i="33" s="1"/>
  <c r="F38" i="33"/>
  <c r="Q37" i="33"/>
  <c r="Z37" i="33"/>
  <c r="Q36" i="33"/>
  <c r="Z36" i="33"/>
  <c r="Q35" i="33"/>
  <c r="Z35" i="33"/>
  <c r="H35" i="33"/>
  <c r="AB35" i="33" s="1"/>
  <c r="F35" i="33"/>
  <c r="S35" i="33"/>
  <c r="Q34" i="33"/>
  <c r="Z34" i="33"/>
  <c r="H34" i="33"/>
  <c r="AB34" i="33"/>
  <c r="F34" i="33"/>
  <c r="AA34" i="33"/>
  <c r="Q33" i="33"/>
  <c r="Z33" i="33" s="1"/>
  <c r="J33" i="33"/>
  <c r="H33" i="33"/>
  <c r="AB33" i="33"/>
  <c r="F33" i="33"/>
  <c r="AA33" i="33" s="1"/>
  <c r="Q32" i="33"/>
  <c r="Z32" i="33" s="1"/>
  <c r="Q31" i="33"/>
  <c r="Z31" i="33"/>
  <c r="Q30" i="33"/>
  <c r="Z30" i="33"/>
  <c r="Q29" i="33"/>
  <c r="Z29" i="33" s="1"/>
  <c r="Q28" i="33"/>
  <c r="Z28" i="33" s="1"/>
  <c r="Q27" i="33"/>
  <c r="Z27" i="33"/>
  <c r="Q26" i="33"/>
  <c r="Z26" i="33" s="1"/>
  <c r="Q25" i="33"/>
  <c r="Z25" i="33" s="1"/>
  <c r="Q23" i="33"/>
  <c r="Z23" i="33" s="1"/>
  <c r="Q19" i="33"/>
  <c r="Z19" i="33"/>
  <c r="Q17" i="33"/>
  <c r="Z17" i="33" s="1"/>
  <c r="Q15" i="33"/>
  <c r="Z15" i="33"/>
  <c r="F15" i="33"/>
  <c r="Q14" i="33"/>
  <c r="Z14" i="33"/>
  <c r="Q13" i="33"/>
  <c r="Z13" i="33"/>
  <c r="Q12" i="33"/>
  <c r="Z12" i="33"/>
  <c r="Q11" i="33"/>
  <c r="Z11" i="33"/>
  <c r="Q10" i="33"/>
  <c r="Z10" i="33"/>
  <c r="F10" i="33"/>
  <c r="AA10" i="33"/>
  <c r="Q9" i="33"/>
  <c r="Z9" i="33" s="1"/>
  <c r="J8" i="33"/>
  <c r="AC8" i="33" s="1"/>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c r="C24" i="20"/>
  <c r="B73" i="43" s="1"/>
  <c r="C21" i="20"/>
  <c r="C27" i="39" s="1"/>
  <c r="B74" i="43"/>
  <c r="C20" i="20"/>
  <c r="B77" i="43"/>
  <c r="C18" i="20"/>
  <c r="B71" i="43"/>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c r="G115" i="21" s="1"/>
  <c r="H115" i="21" s="1"/>
  <c r="I115" i="21" s="1"/>
  <c r="J115" i="21"/>
  <c r="K115" i="21"/>
  <c r="L115" i="21"/>
  <c r="M115" i="21" s="1"/>
  <c r="D113" i="21"/>
  <c r="E113" i="21" s="1"/>
  <c r="F113" i="21" s="1"/>
  <c r="D110" i="21"/>
  <c r="E110" i="21"/>
  <c r="F110" i="21"/>
  <c r="G110" i="21"/>
  <c r="H110" i="21" s="1"/>
  <c r="I110" i="21" s="1"/>
  <c r="J110" i="21" s="1"/>
  <c r="K110" i="21"/>
  <c r="L110" i="21" s="1"/>
  <c r="M110" i="2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c r="H66" i="21" s="1"/>
  <c r="I66" i="21" s="1"/>
  <c r="D111" i="21"/>
  <c r="E111" i="21"/>
  <c r="F111" i="21"/>
  <c r="C111" i="21"/>
  <c r="D79" i="21"/>
  <c r="E79" i="21" s="1"/>
  <c r="F79" i="21" s="1"/>
  <c r="G79" i="21"/>
  <c r="D85" i="21"/>
  <c r="E85" i="21"/>
  <c r="F85" i="21" s="1"/>
  <c r="G85" i="21" s="1"/>
  <c r="D81" i="21"/>
  <c r="E81" i="21"/>
  <c r="F81" i="21" s="1"/>
  <c r="G81" i="21" s="1"/>
  <c r="D77" i="21"/>
  <c r="E77" i="21" s="1"/>
  <c r="F77" i="21" s="1"/>
  <c r="G77" i="21"/>
  <c r="H15" i="21"/>
  <c r="U15" i="21" s="1"/>
  <c r="B130" i="21"/>
  <c r="J46" i="21" s="1"/>
  <c r="W46" i="21" s="1"/>
  <c r="B128" i="21"/>
  <c r="B126" i="21"/>
  <c r="B98" i="21"/>
  <c r="B96" i="21"/>
  <c r="B94" i="21"/>
  <c r="B92" i="21"/>
  <c r="B90" i="21"/>
  <c r="B74" i="21"/>
  <c r="B72" i="21"/>
  <c r="B70" i="21"/>
  <c r="F10" i="21"/>
  <c r="AA10" i="21" s="1"/>
  <c r="C19" i="21"/>
  <c r="C17" i="21"/>
  <c r="C23" i="21"/>
  <c r="Q9" i="21"/>
  <c r="Z9" i="21" s="1"/>
  <c r="Q10" i="21"/>
  <c r="Z10" i="21"/>
  <c r="Q11" i="21"/>
  <c r="Z11" i="21" s="1"/>
  <c r="Q12" i="21"/>
  <c r="Z12" i="21" s="1"/>
  <c r="Q13" i="21"/>
  <c r="Z13" i="21" s="1"/>
  <c r="Q14" i="21"/>
  <c r="Z14" i="21"/>
  <c r="Q15" i="21"/>
  <c r="Z15" i="21" s="1"/>
  <c r="Q17" i="21"/>
  <c r="Z17" i="21"/>
  <c r="Q19" i="21"/>
  <c r="Z19" i="21" s="1"/>
  <c r="Q23" i="21"/>
  <c r="Z23" i="21" s="1"/>
  <c r="Q25" i="21"/>
  <c r="Z25" i="21" s="1"/>
  <c r="Q26" i="21"/>
  <c r="Z26" i="21" s="1"/>
  <c r="Q27" i="21"/>
  <c r="Z27" i="21" s="1"/>
  <c r="Q28" i="21"/>
  <c r="Z28" i="21"/>
  <c r="Q29" i="21"/>
  <c r="Z29" i="21" s="1"/>
  <c r="Q30" i="21"/>
  <c r="Z30" i="21" s="1"/>
  <c r="Q31" i="21"/>
  <c r="Z31" i="21" s="1"/>
  <c r="Q32" i="21"/>
  <c r="Z32" i="21"/>
  <c r="Q33" i="21"/>
  <c r="Z33" i="21" s="1"/>
  <c r="Q34" i="21"/>
  <c r="Z34" i="21"/>
  <c r="J35" i="21"/>
  <c r="W35" i="21" s="1"/>
  <c r="Q35" i="21"/>
  <c r="Z35" i="21" s="1"/>
  <c r="Q36" i="21"/>
  <c r="Z36" i="21" s="1"/>
  <c r="Q37" i="21"/>
  <c r="Z37" i="21"/>
  <c r="J38" i="21"/>
  <c r="Q38" i="21"/>
  <c r="Z38" i="2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s="1"/>
  <c r="E10" i="11"/>
  <c r="E9" i="11"/>
  <c r="F43" i="21"/>
  <c r="S43" i="21" s="1"/>
  <c r="H38" i="21"/>
  <c r="U38" i="21" s="1"/>
  <c r="H43" i="21"/>
  <c r="U43" i="21" s="1"/>
  <c r="F38" i="21"/>
  <c r="S38" i="21" s="1"/>
  <c r="F36" i="21"/>
  <c r="AA36" i="21" s="1"/>
  <c r="F39" i="21"/>
  <c r="S39" i="21" s="1"/>
  <c r="H35" i="21"/>
  <c r="U35" i="21" s="1"/>
  <c r="J8" i="21"/>
  <c r="W8" i="21" s="1"/>
  <c r="H8" i="21"/>
  <c r="U8" i="21" s="1"/>
  <c r="H10" i="21"/>
  <c r="U10" i="21" s="1"/>
  <c r="H36" i="21"/>
  <c r="U36" i="21" s="1"/>
  <c r="F35" i="21"/>
  <c r="AA35" i="21" s="1"/>
  <c r="J33" i="21"/>
  <c r="W33" i="21" s="1"/>
  <c r="H33" i="21"/>
  <c r="AB33" i="21" s="1"/>
  <c r="F33" i="21"/>
  <c r="S33" i="21" s="1"/>
  <c r="J10" i="21"/>
  <c r="AC10" i="21" s="1"/>
  <c r="H26" i="21"/>
  <c r="U26" i="21" s="1"/>
  <c r="F19" i="21"/>
  <c r="AA19" i="21" s="1"/>
  <c r="H19" i="21"/>
  <c r="AB19" i="21" s="1"/>
  <c r="J19" i="21"/>
  <c r="AC19" i="21" s="1"/>
  <c r="J26" i="21"/>
  <c r="W26" i="21" s="1"/>
  <c r="F26" i="21"/>
  <c r="S26" i="21" s="1"/>
  <c r="F45" i="39"/>
  <c r="J45" i="39"/>
  <c r="W45" i="39"/>
  <c r="J44" i="39"/>
  <c r="F36" i="39"/>
  <c r="S36" i="39" s="1"/>
  <c r="H36" i="39"/>
  <c r="AB36" i="39" s="1"/>
  <c r="J36" i="39"/>
  <c r="AC36" i="39"/>
  <c r="S8" i="39"/>
  <c r="U38" i="39"/>
  <c r="H32" i="37"/>
  <c r="AB32" i="37" s="1"/>
  <c r="U8" i="37"/>
  <c r="F39" i="37"/>
  <c r="S39" i="37" s="1"/>
  <c r="U14" i="37"/>
  <c r="W30" i="37"/>
  <c r="F29" i="36"/>
  <c r="AA29" i="36" s="1"/>
  <c r="F16" i="36"/>
  <c r="S16" i="36"/>
  <c r="U22" i="36"/>
  <c r="AC31" i="36"/>
  <c r="W31" i="36"/>
  <c r="U31" i="36"/>
  <c r="J33" i="36"/>
  <c r="W33" i="36" s="1"/>
  <c r="H22" i="35"/>
  <c r="AB22" i="35"/>
  <c r="U9" i="35"/>
  <c r="U31" i="35"/>
  <c r="S32" i="35"/>
  <c r="W31" i="35"/>
  <c r="U32" i="35"/>
  <c r="F36" i="34"/>
  <c r="AA36" i="34"/>
  <c r="H39" i="33"/>
  <c r="AB39" i="33"/>
  <c r="F26" i="33"/>
  <c r="AA26" i="33" s="1"/>
  <c r="S40" i="33"/>
  <c r="AB39" i="37"/>
  <c r="S27" i="35"/>
  <c r="F11" i="40"/>
  <c r="AA11" i="40" s="1"/>
  <c r="S8" i="40"/>
  <c r="H11" i="40"/>
  <c r="AB11" i="40" s="1"/>
  <c r="W8" i="40"/>
  <c r="U9" i="40"/>
  <c r="U34" i="40"/>
  <c r="S39" i="40"/>
  <c r="W39" i="40"/>
  <c r="F42" i="39"/>
  <c r="AA42" i="39"/>
  <c r="F41" i="39"/>
  <c r="AA41" i="39"/>
  <c r="H40" i="39"/>
  <c r="AB40" i="39"/>
  <c r="H39" i="39"/>
  <c r="U39" i="39"/>
  <c r="S38" i="39"/>
  <c r="H34" i="39"/>
  <c r="AB34" i="39" s="1"/>
  <c r="E109" i="39"/>
  <c r="F109" i="39"/>
  <c r="G109" i="39" s="1"/>
  <c r="H109" i="39" s="1"/>
  <c r="I109" i="39" s="1"/>
  <c r="J109" i="39" s="1"/>
  <c r="K109" i="39" s="1"/>
  <c r="L109" i="39" s="1"/>
  <c r="M109" i="39" s="1"/>
  <c r="H31" i="39"/>
  <c r="AB31" i="39" s="1"/>
  <c r="F31" i="39"/>
  <c r="AA31" i="39" s="1"/>
  <c r="E103" i="39"/>
  <c r="H19" i="39"/>
  <c r="AB19" i="39"/>
  <c r="F19" i="39"/>
  <c r="S19" i="39"/>
  <c r="H17" i="39"/>
  <c r="U17" i="39"/>
  <c r="F17" i="39"/>
  <c r="AA17" i="39" s="1"/>
  <c r="J23" i="40"/>
  <c r="AC23" i="40"/>
  <c r="H42" i="39"/>
  <c r="AB42" i="39"/>
  <c r="J34" i="39"/>
  <c r="AC34" i="39"/>
  <c r="J31" i="39"/>
  <c r="W31" i="39" s="1"/>
  <c r="F103" i="39"/>
  <c r="H29" i="39"/>
  <c r="U29" i="39"/>
  <c r="J19" i="39"/>
  <c r="AC19" i="39"/>
  <c r="J17" i="39"/>
  <c r="W17" i="39"/>
  <c r="J29" i="39"/>
  <c r="AC29" i="39"/>
  <c r="F29" i="39"/>
  <c r="AA29" i="39"/>
  <c r="F11" i="21"/>
  <c r="S11" i="21" s="1"/>
  <c r="C25" i="39"/>
  <c r="C21" i="39"/>
  <c r="H11" i="39"/>
  <c r="AB11" i="39"/>
  <c r="AB39" i="39"/>
  <c r="H11" i="21"/>
  <c r="AB11" i="21" s="1"/>
  <c r="J11" i="21"/>
  <c r="AC11" i="21" s="1"/>
  <c r="H36" i="40"/>
  <c r="U36" i="40"/>
  <c r="F35" i="40"/>
  <c r="S35" i="40"/>
  <c r="J30" i="40"/>
  <c r="W30" i="40"/>
  <c r="F30" i="40"/>
  <c r="AA30" i="40"/>
  <c r="F96" i="40"/>
  <c r="G96" i="40"/>
  <c r="H96" i="40"/>
  <c r="I96" i="40"/>
  <c r="J96" i="40" s="1"/>
  <c r="K96" i="40" s="1"/>
  <c r="L96" i="40" s="1"/>
  <c r="M96" i="40" s="1"/>
  <c r="H27" i="40"/>
  <c r="U27" i="40" s="1"/>
  <c r="H23" i="40"/>
  <c r="AB23" i="40"/>
  <c r="J11" i="40"/>
  <c r="W11" i="40"/>
  <c r="S44" i="39"/>
  <c r="F37" i="39"/>
  <c r="S37" i="39" s="1"/>
  <c r="J34" i="36"/>
  <c r="W34" i="36"/>
  <c r="U30" i="36"/>
  <c r="F22" i="35"/>
  <c r="AA22" i="35" s="1"/>
  <c r="H10" i="35"/>
  <c r="U10" i="35" s="1"/>
  <c r="U33" i="36"/>
  <c r="AB29" i="36"/>
  <c r="F33" i="36"/>
  <c r="S33" i="36" s="1"/>
  <c r="E85" i="36"/>
  <c r="F85" i="36"/>
  <c r="G85" i="36" s="1"/>
  <c r="H85" i="36" s="1"/>
  <c r="I85" i="36" s="1"/>
  <c r="J85" i="36" s="1"/>
  <c r="K85" i="36" s="1"/>
  <c r="L85" i="36" s="1"/>
  <c r="M85" i="36" s="1"/>
  <c r="J29" i="36"/>
  <c r="AC29" i="36"/>
  <c r="F12" i="36"/>
  <c r="AA12" i="36"/>
  <c r="F34" i="36"/>
  <c r="AA34" i="36" s="1"/>
  <c r="H20" i="36"/>
  <c r="J20" i="36"/>
  <c r="W20" i="36"/>
  <c r="AB8" i="36"/>
  <c r="W9" i="35"/>
  <c r="F14" i="35"/>
  <c r="F23" i="35"/>
  <c r="AA23" i="35"/>
  <c r="J32" i="35"/>
  <c r="AC32" i="35"/>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c r="E114" i="34"/>
  <c r="F38" i="34"/>
  <c r="AA38" i="34"/>
  <c r="F114" i="34"/>
  <c r="G114" i="34"/>
  <c r="H114" i="34" s="1"/>
  <c r="I114" i="34" s="1"/>
  <c r="J114" i="34" s="1"/>
  <c r="K114" i="34" s="1"/>
  <c r="L114" i="34" s="1"/>
  <c r="M114" i="34" s="1"/>
  <c r="F28" i="34"/>
  <c r="AA28" i="34" s="1"/>
  <c r="J19" i="34"/>
  <c r="W19" i="34"/>
  <c r="J15" i="34"/>
  <c r="AC15" i="34" s="1"/>
  <c r="H15" i="34"/>
  <c r="AB15" i="34" s="1"/>
  <c r="J10" i="34"/>
  <c r="W10" i="34" s="1"/>
  <c r="H10" i="34"/>
  <c r="AB10" i="34" s="1"/>
  <c r="F41" i="33"/>
  <c r="S41" i="33" s="1"/>
  <c r="E113" i="33"/>
  <c r="J34" i="33"/>
  <c r="F36" i="33"/>
  <c r="S36" i="33"/>
  <c r="F25" i="33"/>
  <c r="AA25" i="33"/>
  <c r="J25" i="33"/>
  <c r="AC25" i="33"/>
  <c r="H25" i="33"/>
  <c r="AB25" i="33"/>
  <c r="J23" i="33"/>
  <c r="AC23" i="33" s="1"/>
  <c r="F23" i="33"/>
  <c r="AA23" i="33" s="1"/>
  <c r="H23" i="33"/>
  <c r="F19" i="33"/>
  <c r="S19" i="33"/>
  <c r="J19" i="33"/>
  <c r="W19" i="33"/>
  <c r="J17" i="33"/>
  <c r="AC17" i="33"/>
  <c r="H17" i="33"/>
  <c r="AB17" i="33"/>
  <c r="J15" i="33"/>
  <c r="AC15" i="33"/>
  <c r="F11" i="33"/>
  <c r="AA11" i="33"/>
  <c r="W10" i="33"/>
  <c r="H10" i="33"/>
  <c r="U10" i="33" s="1"/>
  <c r="U40" i="33"/>
  <c r="U8" i="33"/>
  <c r="S8" i="33"/>
  <c r="F37" i="40"/>
  <c r="AA37" i="40"/>
  <c r="F36" i="40"/>
  <c r="AA36" i="40"/>
  <c r="J27" i="40"/>
  <c r="AC27" i="40" s="1"/>
  <c r="W27" i="40"/>
  <c r="F27" i="40"/>
  <c r="S27" i="40"/>
  <c r="F23" i="40"/>
  <c r="AA23" i="40"/>
  <c r="AC11" i="40"/>
  <c r="AB30" i="36"/>
  <c r="AC34"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s="1"/>
  <c r="H15" i="33"/>
  <c r="AB15" i="33"/>
  <c r="AB11" i="33"/>
  <c r="AC42" i="34"/>
  <c r="W42" i="34"/>
  <c r="AA42" i="34"/>
  <c r="S42" i="34"/>
  <c r="W38" i="34"/>
  <c r="J37" i="33"/>
  <c r="AC37" i="33" s="1"/>
  <c r="J36" i="33"/>
  <c r="AC36" i="33"/>
  <c r="J11" i="33"/>
  <c r="AC11" i="33" s="1"/>
  <c r="J42" i="21"/>
  <c r="AC42" i="21" s="1"/>
  <c r="H42" i="21"/>
  <c r="AB42" i="21" s="1"/>
  <c r="J10" i="35"/>
  <c r="J14" i="21"/>
  <c r="W14" i="21" s="1"/>
  <c r="F14" i="21"/>
  <c r="S14" i="21" s="1"/>
  <c r="H14" i="21"/>
  <c r="U14" i="21" s="1"/>
  <c r="H28" i="21"/>
  <c r="AB28" i="21"/>
  <c r="F28" i="21"/>
  <c r="AA28" i="21" s="1"/>
  <c r="J28" i="21"/>
  <c r="W28" i="21" s="1"/>
  <c r="H30" i="21"/>
  <c r="AB30" i="21" s="1"/>
  <c r="F30" i="21"/>
  <c r="S30" i="21" s="1"/>
  <c r="J30" i="21"/>
  <c r="W30" i="21" s="1"/>
  <c r="J44" i="21"/>
  <c r="AC44" i="21" s="1"/>
  <c r="H44" i="21"/>
  <c r="U44" i="21" s="1"/>
  <c r="F44" i="21"/>
  <c r="AA44" i="21" s="1"/>
  <c r="H46" i="21"/>
  <c r="U46" i="21" s="1"/>
  <c r="F46" i="21"/>
  <c r="AA46" i="21" s="1"/>
  <c r="E119" i="21"/>
  <c r="F119" i="21"/>
  <c r="G119" i="21"/>
  <c r="H119" i="21" s="1"/>
  <c r="I119" i="21"/>
  <c r="J119" i="21" s="1"/>
  <c r="K119" i="21" s="1"/>
  <c r="L119" i="21" s="1"/>
  <c r="M119" i="21" s="1"/>
  <c r="H26" i="33"/>
  <c r="U26" i="33"/>
  <c r="H28" i="33"/>
  <c r="U28" i="33"/>
  <c r="F28" i="33"/>
  <c r="S28" i="33"/>
  <c r="J28" i="33"/>
  <c r="AC28" i="33"/>
  <c r="F33" i="35"/>
  <c r="S33" i="35"/>
  <c r="J33" i="35"/>
  <c r="AC33" i="35" s="1"/>
  <c r="F30" i="35"/>
  <c r="S30" i="35"/>
  <c r="E89" i="35"/>
  <c r="F89" i="35"/>
  <c r="G89" i="35"/>
  <c r="H89" i="35"/>
  <c r="I89" i="35" s="1"/>
  <c r="J89" i="35" s="1"/>
  <c r="K89" i="35" s="1"/>
  <c r="L89" i="35" s="1"/>
  <c r="M89" i="35" s="1"/>
  <c r="H10" i="36"/>
  <c r="AB10" i="36"/>
  <c r="F83" i="36"/>
  <c r="G83" i="36" s="1"/>
  <c r="H83" i="36" s="1"/>
  <c r="I83" i="36" s="1"/>
  <c r="J83" i="36"/>
  <c r="K83" i="36" s="1"/>
  <c r="L83" i="36" s="1"/>
  <c r="M83" i="36" s="1"/>
  <c r="F28" i="36"/>
  <c r="AA28" i="36" s="1"/>
  <c r="J13" i="33"/>
  <c r="AC13" i="33"/>
  <c r="H13" i="33"/>
  <c r="AB13" i="33" s="1"/>
  <c r="F13" i="33"/>
  <c r="S13" i="33"/>
  <c r="J29" i="33"/>
  <c r="AC29" i="33" s="1"/>
  <c r="H29" i="33"/>
  <c r="U29" i="33"/>
  <c r="F29" i="33"/>
  <c r="S29" i="33"/>
  <c r="J31" i="33"/>
  <c r="W31" i="33" s="1"/>
  <c r="H31" i="33"/>
  <c r="AB31" i="33"/>
  <c r="F31" i="33"/>
  <c r="AA31" i="33"/>
  <c r="H45" i="33"/>
  <c r="U45" i="33"/>
  <c r="J45" i="33"/>
  <c r="W45" i="33"/>
  <c r="F45" i="33"/>
  <c r="S45" i="33"/>
  <c r="J14" i="34"/>
  <c r="W14" i="34" s="1"/>
  <c r="F14" i="34"/>
  <c r="H14" i="34"/>
  <c r="U14" i="34" s="1"/>
  <c r="H30" i="34"/>
  <c r="U30" i="34"/>
  <c r="F30" i="34"/>
  <c r="J30" i="34"/>
  <c r="H32" i="34"/>
  <c r="F32" i="34"/>
  <c r="S32" i="34" s="1"/>
  <c r="J32" i="34"/>
  <c r="W32" i="34"/>
  <c r="H46" i="34"/>
  <c r="U46" i="34"/>
  <c r="F46" i="34"/>
  <c r="S46" i="34"/>
  <c r="J46" i="34"/>
  <c r="W46" i="34"/>
  <c r="H11" i="35"/>
  <c r="U11" i="35"/>
  <c r="J11" i="35"/>
  <c r="AC11" i="35" s="1"/>
  <c r="F11" i="35"/>
  <c r="S11" i="35"/>
  <c r="J26" i="36"/>
  <c r="W26" i="36"/>
  <c r="H28" i="36"/>
  <c r="U28" i="36"/>
  <c r="H32" i="36"/>
  <c r="AB32" i="36"/>
  <c r="J32" i="36"/>
  <c r="W32" i="36"/>
  <c r="J11" i="36"/>
  <c r="W11" i="36" s="1"/>
  <c r="H11" i="36"/>
  <c r="AB11" i="36"/>
  <c r="F11" i="36"/>
  <c r="AA11" i="36"/>
  <c r="H13" i="36"/>
  <c r="AB13" i="36"/>
  <c r="J13" i="36"/>
  <c r="AC13" i="36" s="1"/>
  <c r="W13" i="36"/>
  <c r="F13" i="36"/>
  <c r="S13" i="36"/>
  <c r="H36" i="37"/>
  <c r="AB36" i="37" s="1"/>
  <c r="H37" i="37"/>
  <c r="U37" i="37" s="1"/>
  <c r="AC12" i="40"/>
  <c r="W12" i="40"/>
  <c r="H14" i="33"/>
  <c r="AB14" i="33" s="1"/>
  <c r="U14" i="33"/>
  <c r="F14" i="33"/>
  <c r="AA14" i="33"/>
  <c r="J14" i="33"/>
  <c r="AC14" i="33"/>
  <c r="H30" i="33"/>
  <c r="AB30" i="33" s="1"/>
  <c r="F30" i="33"/>
  <c r="S30" i="33" s="1"/>
  <c r="J30" i="33"/>
  <c r="AC30" i="33"/>
  <c r="H44" i="33"/>
  <c r="AB44" i="33"/>
  <c r="J44" i="33"/>
  <c r="AC44" i="33"/>
  <c r="F44" i="33"/>
  <c r="S44" i="33"/>
  <c r="J46" i="33"/>
  <c r="W46" i="33" s="1"/>
  <c r="F46" i="33"/>
  <c r="AA46" i="33" s="1"/>
  <c r="H46" i="33"/>
  <c r="AB46" i="33"/>
  <c r="H13" i="34"/>
  <c r="U13" i="34"/>
  <c r="J13" i="34"/>
  <c r="W13" i="34"/>
  <c r="F13" i="34"/>
  <c r="AA13" i="34"/>
  <c r="J29" i="34"/>
  <c r="AC29" i="34" s="1"/>
  <c r="F29" i="34"/>
  <c r="S29" i="34" s="1"/>
  <c r="H29" i="34"/>
  <c r="U29" i="34"/>
  <c r="J31" i="34"/>
  <c r="AC31" i="34"/>
  <c r="H31" i="34"/>
  <c r="AB31" i="34"/>
  <c r="F31" i="34"/>
  <c r="S31" i="34"/>
  <c r="H45" i="34"/>
  <c r="U45" i="34" s="1"/>
  <c r="J45" i="34"/>
  <c r="W45" i="34" s="1"/>
  <c r="F45" i="34"/>
  <c r="S45" i="34"/>
  <c r="H47" i="34"/>
  <c r="U47" i="34"/>
  <c r="F47" i="34"/>
  <c r="S47" i="34" s="1"/>
  <c r="AA47" i="34"/>
  <c r="J47" i="34"/>
  <c r="AC47" i="34"/>
  <c r="F13" i="35"/>
  <c r="S13" i="35" s="1"/>
  <c r="J13" i="35"/>
  <c r="AC13" i="35" s="1"/>
  <c r="H13" i="35"/>
  <c r="U13" i="35"/>
  <c r="J25" i="35"/>
  <c r="W25" i="35"/>
  <c r="F25" i="35"/>
  <c r="S25" i="35"/>
  <c r="H25" i="35"/>
  <c r="AB25" i="35"/>
  <c r="J35" i="35"/>
  <c r="AC35" i="35" s="1"/>
  <c r="F35" i="35"/>
  <c r="AA35" i="35" s="1"/>
  <c r="H35" i="35"/>
  <c r="AB35" i="35"/>
  <c r="J25" i="36"/>
  <c r="AC25" i="36"/>
  <c r="F25" i="36"/>
  <c r="S25" i="36"/>
  <c r="H25" i="36"/>
  <c r="AB25" i="36"/>
  <c r="H13" i="37"/>
  <c r="U13" i="37" s="1"/>
  <c r="F13" i="37"/>
  <c r="S13" i="37" s="1"/>
  <c r="J13" i="37"/>
  <c r="W13" i="37"/>
  <c r="F28" i="37"/>
  <c r="AA28" i="37"/>
  <c r="J28" i="37"/>
  <c r="W28" i="37" s="1"/>
  <c r="AC28" i="37"/>
  <c r="H28" i="37"/>
  <c r="U28" i="37"/>
  <c r="H38" i="37"/>
  <c r="AB38" i="37" s="1"/>
  <c r="J38" i="37"/>
  <c r="AC38" i="37" s="1"/>
  <c r="F38" i="37"/>
  <c r="S38" i="37"/>
  <c r="F43" i="39"/>
  <c r="AA43" i="39"/>
  <c r="H43" i="39"/>
  <c r="U43" i="39"/>
  <c r="J14" i="39"/>
  <c r="W14" i="39"/>
  <c r="H14" i="39"/>
  <c r="AB14" i="39" s="1"/>
  <c r="F12" i="40"/>
  <c r="AA12" i="40" s="1"/>
  <c r="H12" i="40"/>
  <c r="H30" i="40"/>
  <c r="AB30" i="40"/>
  <c r="F33" i="40"/>
  <c r="AA33" i="40" s="1"/>
  <c r="H33" i="40"/>
  <c r="AB33" i="40" s="1"/>
  <c r="J35" i="40"/>
  <c r="AC35" i="40" s="1"/>
  <c r="H13" i="40"/>
  <c r="U13" i="40"/>
  <c r="J13" i="40"/>
  <c r="W13" i="40" s="1"/>
  <c r="F13" i="40"/>
  <c r="AA13" i="40"/>
  <c r="F14" i="37"/>
  <c r="S14" i="37" s="1"/>
  <c r="F13" i="39"/>
  <c r="AA13" i="39" s="1"/>
  <c r="J13" i="39"/>
  <c r="W13" i="39" s="1"/>
  <c r="H13" i="39"/>
  <c r="U13" i="39"/>
  <c r="H14" i="40"/>
  <c r="AB14" i="40" s="1"/>
  <c r="J14" i="40"/>
  <c r="W14" i="40"/>
  <c r="F14" i="40"/>
  <c r="AA14" i="40" s="1"/>
  <c r="J14" i="37"/>
  <c r="AC14" i="37" s="1"/>
  <c r="W13" i="35"/>
  <c r="AA44" i="33"/>
  <c r="AB37" i="37"/>
  <c r="W30" i="33"/>
  <c r="S14" i="33"/>
  <c r="AC32" i="34"/>
  <c r="AC14" i="34"/>
  <c r="J10" i="36"/>
  <c r="S46" i="33"/>
  <c r="AC11" i="36"/>
  <c r="U32" i="36"/>
  <c r="AB45" i="33"/>
  <c r="U31" i="33"/>
  <c r="AB28" i="33"/>
  <c r="J41" i="39"/>
  <c r="W41" i="39" s="1"/>
  <c r="AC45" i="39"/>
  <c r="U36" i="39"/>
  <c r="S508" i="31"/>
  <c r="S506" i="31"/>
  <c r="S504" i="31"/>
  <c r="S502" i="31"/>
  <c r="O30" i="31"/>
  <c r="O31" i="31"/>
  <c r="O29" i="31"/>
  <c r="M30" i="31"/>
  <c r="M31" i="31"/>
  <c r="M29" i="31"/>
  <c r="E15" i="31"/>
  <c r="F15" i="31"/>
  <c r="G15" i="31"/>
  <c r="H15" i="3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s="1"/>
  <c r="F23" i="37"/>
  <c r="AA23" i="37" s="1"/>
  <c r="S23" i="37"/>
  <c r="F32" i="37"/>
  <c r="AA36" i="39"/>
  <c r="F39" i="33"/>
  <c r="F42" i="33"/>
  <c r="AA42" i="33" s="1"/>
  <c r="F14" i="36"/>
  <c r="AA14" i="36" s="1"/>
  <c r="F22" i="36"/>
  <c r="AA22" i="36" s="1"/>
  <c r="F26" i="36"/>
  <c r="AA26" i="36"/>
  <c r="H27" i="34"/>
  <c r="U27" i="34" s="1"/>
  <c r="H35" i="34"/>
  <c r="U35" i="34" s="1"/>
  <c r="F41" i="34"/>
  <c r="S41" i="34" s="1"/>
  <c r="H41" i="34"/>
  <c r="U41" i="34" s="1"/>
  <c r="J41" i="34"/>
  <c r="AC41" i="34" s="1"/>
  <c r="F10" i="35"/>
  <c r="AA10" i="35"/>
  <c r="H23" i="37"/>
  <c r="J32" i="37"/>
  <c r="AC32" i="37" s="1"/>
  <c r="F36" i="37"/>
  <c r="AA36" i="37" s="1"/>
  <c r="F37" i="37"/>
  <c r="AA37" i="37" s="1"/>
  <c r="F31" i="40"/>
  <c r="AA31" i="40" s="1"/>
  <c r="H31" i="40"/>
  <c r="U31" i="40" s="1"/>
  <c r="F32" i="40"/>
  <c r="S32" i="40"/>
  <c r="H32" i="40"/>
  <c r="U32" i="40" s="1"/>
  <c r="J36" i="40"/>
  <c r="H42" i="33"/>
  <c r="U42" i="33" s="1"/>
  <c r="J23" i="37"/>
  <c r="W23" i="37" s="1"/>
  <c r="S30" i="31"/>
  <c r="U11" i="40"/>
  <c r="AC33" i="36"/>
  <c r="AA11" i="35"/>
  <c r="S28" i="37"/>
  <c r="U39" i="37"/>
  <c r="S25" i="37"/>
  <c r="W47" i="34"/>
  <c r="AB8" i="34"/>
  <c r="W14" i="33"/>
  <c r="AA13" i="33"/>
  <c r="AC31" i="33"/>
  <c r="AA30" i="33"/>
  <c r="S11" i="33"/>
  <c r="W38" i="37"/>
  <c r="H19" i="34"/>
  <c r="U19" i="34" s="1"/>
  <c r="F36" i="35"/>
  <c r="AA36" i="35" s="1"/>
  <c r="J9" i="37"/>
  <c r="H9" i="37"/>
  <c r="AB9" i="37" s="1"/>
  <c r="F9" i="37"/>
  <c r="AA9" i="37" s="1"/>
  <c r="F11" i="37"/>
  <c r="S11" i="37"/>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H23" i="34"/>
  <c r="AB23" i="34" s="1"/>
  <c r="F33" i="34"/>
  <c r="S33" i="34" s="1"/>
  <c r="F109" i="34"/>
  <c r="G109" i="34" s="1"/>
  <c r="H109" i="34" s="1"/>
  <c r="I109" i="34"/>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c r="J37" i="34"/>
  <c r="W37" i="34" s="1"/>
  <c r="S23" i="34"/>
  <c r="AB33" i="34"/>
  <c r="J26" i="35"/>
  <c r="W26" i="35"/>
  <c r="F26" i="35"/>
  <c r="AA26" i="35"/>
  <c r="H26" i="35"/>
  <c r="U26" i="35"/>
  <c r="U28" i="21"/>
  <c r="K145" i="21"/>
  <c r="K144" i="21"/>
  <c r="K141" i="21"/>
  <c r="K143" i="21"/>
  <c r="B101" i="9"/>
  <c r="C112" i="9" s="1"/>
  <c r="H110" i="9" s="1"/>
  <c r="F23" i="21"/>
  <c r="AA23" i="21" s="1"/>
  <c r="J23" i="21"/>
  <c r="AC23" i="21" s="1"/>
  <c r="H23" i="21"/>
  <c r="AB23" i="21" s="1"/>
  <c r="F17" i="21"/>
  <c r="AA17" i="21" s="1"/>
  <c r="J17" i="21"/>
  <c r="H17" i="21"/>
  <c r="AB17" i="21" s="1"/>
  <c r="J15" i="21"/>
  <c r="W15" i="21" s="1"/>
  <c r="H103" i="57"/>
  <c r="A131" i="9"/>
  <c r="A135" i="57"/>
  <c r="B103" i="57"/>
  <c r="B107" i="57" s="1"/>
  <c r="C112" i="57"/>
  <c r="H107" i="57" s="1"/>
  <c r="D128" i="57"/>
  <c r="T27" i="31"/>
  <c r="S27" i="31"/>
  <c r="B113" i="43"/>
  <c r="I118" i="43" s="1"/>
  <c r="J118" i="43" s="1"/>
  <c r="K118" i="43" s="1"/>
  <c r="L118" i="43" s="1"/>
  <c r="M118" i="43" s="1"/>
  <c r="M101" i="43"/>
  <c r="K101" i="43"/>
  <c r="I101" i="43"/>
  <c r="I102" i="43" s="1"/>
  <c r="G101" i="43"/>
  <c r="G103" i="43" s="1"/>
  <c r="E101" i="43"/>
  <c r="E109" i="43" s="1"/>
  <c r="C101" i="43"/>
  <c r="C105" i="43" s="1"/>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c r="AA19" i="34"/>
  <c r="S19" i="34"/>
  <c r="AA9" i="36"/>
  <c r="S9" i="36"/>
  <c r="AB23" i="36"/>
  <c r="U23" i="36"/>
  <c r="J12" i="36"/>
  <c r="W12" i="36"/>
  <c r="H12" i="36"/>
  <c r="AB12" i="36" s="1"/>
  <c r="AA9" i="39"/>
  <c r="S9" i="39"/>
  <c r="AB12" i="39"/>
  <c r="U12" i="39"/>
  <c r="J12" i="39"/>
  <c r="F12" i="39"/>
  <c r="S12" i="39" s="1"/>
  <c r="R29" i="31"/>
  <c r="T29" i="31" s="1"/>
  <c r="F15" i="21"/>
  <c r="S15" i="21" s="1"/>
  <c r="C106" i="9"/>
  <c r="H102" i="9" s="1"/>
  <c r="AA30" i="21"/>
  <c r="J36" i="34"/>
  <c r="W36" i="34"/>
  <c r="S8" i="34"/>
  <c r="J19" i="40"/>
  <c r="AC19" i="40" s="1"/>
  <c r="W9" i="39"/>
  <c r="U14" i="39"/>
  <c r="H32" i="39"/>
  <c r="AB32" i="39" s="1"/>
  <c r="F21" i="39"/>
  <c r="AA21" i="39"/>
  <c r="F37" i="47"/>
  <c r="B35" i="47" s="1"/>
  <c r="F31" i="37"/>
  <c r="AA31" i="37" s="1"/>
  <c r="U25" i="36"/>
  <c r="S44" i="21"/>
  <c r="F17" i="37"/>
  <c r="AA17" i="37" s="1"/>
  <c r="AA29" i="33"/>
  <c r="AB28" i="36"/>
  <c r="AB13" i="40"/>
  <c r="U33" i="40"/>
  <c r="S12" i="40"/>
  <c r="AB13" i="37"/>
  <c r="U44" i="33"/>
  <c r="U11" i="36"/>
  <c r="AB11" i="35"/>
  <c r="U32" i="34"/>
  <c r="AB32" i="34"/>
  <c r="H45" i="21"/>
  <c r="AB45" i="21" s="1"/>
  <c r="J14" i="36"/>
  <c r="AC14" i="36"/>
  <c r="AC30" i="21"/>
  <c r="S15" i="34"/>
  <c r="J40" i="34"/>
  <c r="AC40" i="34" s="1"/>
  <c r="S37" i="40"/>
  <c r="H19" i="33"/>
  <c r="AB19" i="33"/>
  <c r="AB23" i="33"/>
  <c r="U23" i="33"/>
  <c r="W23" i="33"/>
  <c r="AA41" i="33"/>
  <c r="J23" i="34"/>
  <c r="W23" i="34" s="1"/>
  <c r="AC30" i="40"/>
  <c r="AB17" i="39"/>
  <c r="W22" i="35"/>
  <c r="S30" i="36"/>
  <c r="E106" i="21"/>
  <c r="F106" i="21"/>
  <c r="G106" i="2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AB37" i="34" s="1"/>
  <c r="F26" i="47"/>
  <c r="B24" i="47" s="1"/>
  <c r="AB12" i="40"/>
  <c r="U12" i="40"/>
  <c r="AC14" i="39"/>
  <c r="AC46" i="34"/>
  <c r="AA32" i="34"/>
  <c r="S31" i="33"/>
  <c r="U10" i="36"/>
  <c r="W28" i="33"/>
  <c r="W34" i="33"/>
  <c r="AC34" i="33"/>
  <c r="AA14" i="35"/>
  <c r="S14" i="35"/>
  <c r="W11" i="21"/>
  <c r="S45" i="39"/>
  <c r="AA45" i="39"/>
  <c r="H27" i="21"/>
  <c r="AB27" i="21"/>
  <c r="J27" i="21"/>
  <c r="AC27" i="21" s="1"/>
  <c r="F27" i="21"/>
  <c r="AA27" i="21" s="1"/>
  <c r="J29" i="21"/>
  <c r="AC29" i="21" s="1"/>
  <c r="H29" i="21"/>
  <c r="U29" i="21" s="1"/>
  <c r="F29" i="21"/>
  <c r="AA29" i="21" s="1"/>
  <c r="J31" i="21"/>
  <c r="W31" i="21" s="1"/>
  <c r="H31" i="21"/>
  <c r="AB31" i="21" s="1"/>
  <c r="F31" i="21"/>
  <c r="S31" i="21" s="1"/>
  <c r="AA31" i="21"/>
  <c r="H39" i="21"/>
  <c r="U39" i="21" s="1"/>
  <c r="F117" i="21"/>
  <c r="G117" i="21" s="1"/>
  <c r="AA15" i="33"/>
  <c r="S15" i="33"/>
  <c r="AA35" i="33"/>
  <c r="E117" i="33"/>
  <c r="F117" i="33"/>
  <c r="G117" i="33" s="1"/>
  <c r="J39" i="33"/>
  <c r="AC39" i="33" s="1"/>
  <c r="E125" i="33"/>
  <c r="F125" i="33" s="1"/>
  <c r="H43" i="33"/>
  <c r="U43" i="33" s="1"/>
  <c r="E91" i="33"/>
  <c r="F91" i="33" s="1"/>
  <c r="G91" i="33"/>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AB34" i="35" s="1"/>
  <c r="F34" i="35"/>
  <c r="AA34" i="35" s="1"/>
  <c r="G60" i="37"/>
  <c r="F10" i="37"/>
  <c r="AA10" i="37"/>
  <c r="J12" i="37"/>
  <c r="W12" i="37" s="1"/>
  <c r="F12" i="37"/>
  <c r="S12" i="37" s="1"/>
  <c r="H27" i="37"/>
  <c r="U27" i="37" s="1"/>
  <c r="F27" i="37"/>
  <c r="S27" i="37" s="1"/>
  <c r="J27" i="37"/>
  <c r="AC27" i="37"/>
  <c r="J29" i="37"/>
  <c r="W29" i="37"/>
  <c r="F29" i="37"/>
  <c r="S29" i="37" s="1"/>
  <c r="H31" i="37"/>
  <c r="AB31" i="37" s="1"/>
  <c r="J36" i="37"/>
  <c r="W36" i="37" s="1"/>
  <c r="J40" i="37"/>
  <c r="W40" i="37"/>
  <c r="F40" i="37"/>
  <c r="AA40" i="37"/>
  <c r="U8" i="39"/>
  <c r="AB8" i="39"/>
  <c r="J29" i="35"/>
  <c r="AC29" i="35"/>
  <c r="AC30" i="36"/>
  <c r="W30" i="36"/>
  <c r="H35" i="39"/>
  <c r="U35" i="39" s="1"/>
  <c r="J35" i="39"/>
  <c r="AC35" i="39" s="1"/>
  <c r="AA19" i="39"/>
  <c r="H16" i="36"/>
  <c r="U16" i="36"/>
  <c r="U32" i="37"/>
  <c r="E101" i="21"/>
  <c r="F32" i="21" s="1"/>
  <c r="S32" i="21" s="1"/>
  <c r="F101" i="21"/>
  <c r="G101" i="21" s="1"/>
  <c r="H101" i="21" s="1"/>
  <c r="I101" i="21" s="1"/>
  <c r="J101" i="21" s="1"/>
  <c r="K101" i="21" s="1"/>
  <c r="L101" i="21" s="1"/>
  <c r="M101" i="21" s="1"/>
  <c r="J32" i="21"/>
  <c r="W32" i="21" s="1"/>
  <c r="F40" i="21"/>
  <c r="S40" i="21" s="1"/>
  <c r="H40" i="21"/>
  <c r="U40" i="21" s="1"/>
  <c r="J40" i="21"/>
  <c r="AC40" i="21" s="1"/>
  <c r="B44" i="47"/>
  <c r="C21" i="40"/>
  <c r="AC33" i="33"/>
  <c r="W33" i="33"/>
  <c r="S34" i="33"/>
  <c r="AA38" i="33"/>
  <c r="S38" i="33"/>
  <c r="AC38" i="33"/>
  <c r="W38" i="33"/>
  <c r="J9" i="33"/>
  <c r="AC9" i="33" s="1"/>
  <c r="F9" i="33"/>
  <c r="AA9" i="33"/>
  <c r="AA10" i="34"/>
  <c r="S10" i="34"/>
  <c r="F25" i="34"/>
  <c r="S25" i="34"/>
  <c r="E126" i="34"/>
  <c r="H44" i="34"/>
  <c r="U44" i="34"/>
  <c r="AB26" i="36"/>
  <c r="U26" i="36"/>
  <c r="F20" i="36"/>
  <c r="AA20" i="36" s="1"/>
  <c r="J24" i="36"/>
  <c r="AC24" i="36" s="1"/>
  <c r="W24" i="36"/>
  <c r="H24" i="36"/>
  <c r="AB24" i="36" s="1"/>
  <c r="U24" i="36"/>
  <c r="F24" i="36"/>
  <c r="S24" i="36" s="1"/>
  <c r="AA24" i="36"/>
  <c r="AA32" i="36"/>
  <c r="S32" i="36"/>
  <c r="J26" i="37"/>
  <c r="AC26" i="37" s="1"/>
  <c r="H26" i="37"/>
  <c r="U26" i="37" s="1"/>
  <c r="F26" i="37"/>
  <c r="AA26" i="37"/>
  <c r="J23" i="39"/>
  <c r="W23" i="39"/>
  <c r="E97" i="39"/>
  <c r="H15" i="37"/>
  <c r="AB15" i="37" s="1"/>
  <c r="F15" i="37"/>
  <c r="AA15" i="37" s="1"/>
  <c r="F38" i="40"/>
  <c r="AA38" i="40" s="1"/>
  <c r="J38" i="40"/>
  <c r="W38" i="40" s="1"/>
  <c r="H38" i="40"/>
  <c r="AB38" i="40"/>
  <c r="J40" i="40"/>
  <c r="W40" i="40" s="1"/>
  <c r="AC40" i="40"/>
  <c r="H40" i="40"/>
  <c r="AB40" i="40" s="1"/>
  <c r="F40" i="40"/>
  <c r="S40" i="40" s="1"/>
  <c r="AA40" i="40"/>
  <c r="N6" i="43"/>
  <c r="M1" i="43"/>
  <c r="F101" i="9"/>
  <c r="C25" i="57"/>
  <c r="N102" i="43"/>
  <c r="F59" i="43"/>
  <c r="H63" i="43" s="1"/>
  <c r="G15" i="47"/>
  <c r="H25" i="34"/>
  <c r="U25" i="34"/>
  <c r="AB35" i="39"/>
  <c r="AC40" i="37"/>
  <c r="AA12" i="37"/>
  <c r="S34" i="35"/>
  <c r="J17" i="34"/>
  <c r="AC17" i="34"/>
  <c r="G80" i="34"/>
  <c r="F17" i="34"/>
  <c r="S17" i="34" s="1"/>
  <c r="H27" i="33"/>
  <c r="AB27" i="33" s="1"/>
  <c r="F43" i="33"/>
  <c r="S43" i="33"/>
  <c r="G125" i="33"/>
  <c r="J43" i="33"/>
  <c r="W43" i="33" s="1"/>
  <c r="W29" i="21"/>
  <c r="S37" i="34"/>
  <c r="H27" i="36"/>
  <c r="AB27" i="36" s="1"/>
  <c r="F27" i="36"/>
  <c r="AA27" i="36"/>
  <c r="J28" i="34"/>
  <c r="W28" i="34" s="1"/>
  <c r="H11" i="34"/>
  <c r="U11" i="34" s="1"/>
  <c r="S17" i="37"/>
  <c r="J11" i="37"/>
  <c r="AC11" i="37"/>
  <c r="AC36" i="34"/>
  <c r="W12" i="39"/>
  <c r="AC12" i="39"/>
  <c r="W9" i="34"/>
  <c r="S45" i="21"/>
  <c r="AC37" i="37"/>
  <c r="U38" i="40"/>
  <c r="F23" i="39"/>
  <c r="AA23" i="39"/>
  <c r="F97" i="39"/>
  <c r="G97" i="39"/>
  <c r="S26" i="37"/>
  <c r="F44" i="34"/>
  <c r="S44" i="34" s="1"/>
  <c r="F126" i="34"/>
  <c r="G126" i="34"/>
  <c r="J44" i="34"/>
  <c r="W44" i="34" s="1"/>
  <c r="U31" i="37"/>
  <c r="W27" i="37"/>
  <c r="AB27" i="37"/>
  <c r="H60" i="37"/>
  <c r="I60" i="37" s="1"/>
  <c r="H10" i="37"/>
  <c r="U10" i="37" s="1"/>
  <c r="S24" i="35"/>
  <c r="AA27" i="33"/>
  <c r="AB43" i="33"/>
  <c r="AB29" i="21"/>
  <c r="U9" i="34"/>
  <c r="F101" i="33"/>
  <c r="G101" i="33"/>
  <c r="H101" i="33" s="1"/>
  <c r="I101" i="33" s="1"/>
  <c r="J101" i="33" s="1"/>
  <c r="K101" i="33" s="1"/>
  <c r="L101" i="33" s="1"/>
  <c r="M101" i="33" s="1"/>
  <c r="J32" i="33"/>
  <c r="AC32" i="33" s="1"/>
  <c r="W32" i="33"/>
  <c r="H32" i="33"/>
  <c r="AB32" i="33"/>
  <c r="W40" i="34"/>
  <c r="U45" i="21"/>
  <c r="U12" i="36"/>
  <c r="W13" i="21"/>
  <c r="AC13" i="21"/>
  <c r="AA44" i="34"/>
  <c r="S27" i="36"/>
  <c r="AB25" i="34"/>
  <c r="J10" i="37"/>
  <c r="AC10" i="37" s="1"/>
  <c r="H23" i="39"/>
  <c r="AB23" i="39" s="1"/>
  <c r="J11" i="34"/>
  <c r="W11" i="34" s="1"/>
  <c r="J27" i="33"/>
  <c r="W27" i="33" s="1"/>
  <c r="W17" i="34"/>
  <c r="J25" i="34"/>
  <c r="W25" i="34"/>
  <c r="U23" i="39"/>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c r="K51" i="43"/>
  <c r="J51" i="43" s="1"/>
  <c r="D51" i="43"/>
  <c r="M51" i="43"/>
  <c r="N51" i="43" s="1"/>
  <c r="K48" i="43"/>
  <c r="J48" i="43" s="1"/>
  <c r="D48" i="43"/>
  <c r="M48" i="43"/>
  <c r="N48" i="43"/>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AB35" i="40" s="1"/>
  <c r="H37" i="40"/>
  <c r="H28" i="40"/>
  <c r="F28" i="40"/>
  <c r="J28" i="40"/>
  <c r="W28" i="40" s="1"/>
  <c r="F98" i="40"/>
  <c r="G98" i="40" s="1"/>
  <c r="H98" i="40" s="1"/>
  <c r="I98" i="40" s="1"/>
  <c r="J98" i="40" s="1"/>
  <c r="K98" i="40" s="1"/>
  <c r="L98" i="40" s="1"/>
  <c r="M98" i="40" s="1"/>
  <c r="F21" i="40"/>
  <c r="S21" i="40" s="1"/>
  <c r="H21" i="40"/>
  <c r="U21" i="40" s="1"/>
  <c r="F90" i="40"/>
  <c r="G90" i="40"/>
  <c r="J21" i="40"/>
  <c r="AC21" i="40" s="1"/>
  <c r="W21" i="40"/>
  <c r="W19" i="40"/>
  <c r="F86" i="40"/>
  <c r="G86" i="40"/>
  <c r="H17" i="40"/>
  <c r="U17" i="40" s="1"/>
  <c r="J17" i="40"/>
  <c r="F17" i="40"/>
  <c r="S17" i="40" s="1"/>
  <c r="F84" i="40"/>
  <c r="G84" i="40"/>
  <c r="F15" i="40"/>
  <c r="AA15" i="40" s="1"/>
  <c r="J15" i="40"/>
  <c r="AC15" i="40" s="1"/>
  <c r="H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AA12"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U33" i="37" s="1"/>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c r="W17" i="37"/>
  <c r="AC17" i="37"/>
  <c r="AB17" i="37"/>
  <c r="S15" i="37"/>
  <c r="J15" i="37"/>
  <c r="AC15" i="37" s="1"/>
  <c r="W10" i="37"/>
  <c r="S10" i="37"/>
  <c r="AA11" i="37"/>
  <c r="U9" i="37"/>
  <c r="AB10" i="37"/>
  <c r="AC21" i="37"/>
  <c r="W21" i="37"/>
  <c r="W11" i="37"/>
  <c r="W14" i="37"/>
  <c r="W39" i="37"/>
  <c r="AB11"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U30" i="21"/>
  <c r="S28" i="21"/>
  <c r="AB21" i="21"/>
  <c r="U21" i="21"/>
  <c r="S13"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2"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s="1"/>
  <c r="AI11" i="43"/>
  <c r="AI13" i="43" s="1"/>
  <c r="AG11" i="43"/>
  <c r="AG13" i="43" s="1"/>
  <c r="AE11" i="43"/>
  <c r="AE13" i="43" s="1"/>
  <c r="AC11" i="43"/>
  <c r="AA11" i="43"/>
  <c r="AA13" i="43" s="1"/>
  <c r="Y11" i="43"/>
  <c r="Y13" i="43" s="1"/>
  <c r="AJ11" i="43"/>
  <c r="AH11" i="43"/>
  <c r="AH13" i="43" s="1"/>
  <c r="AF11" i="43"/>
  <c r="AF13" i="43" s="1"/>
  <c r="AD11" i="43"/>
  <c r="AB11" i="43"/>
  <c r="AB13" i="43" s="1"/>
  <c r="Z11" i="43"/>
  <c r="Z13" i="43" s="1"/>
  <c r="Z7" i="43"/>
  <c r="E9" i="43"/>
  <c r="E8" i="43"/>
  <c r="E10" i="43"/>
  <c r="C7" i="43" s="1"/>
  <c r="E11" i="43"/>
  <c r="C7" i="39"/>
  <c r="C68" i="39" s="1"/>
  <c r="C70" i="39" s="1"/>
  <c r="C53" i="10"/>
  <c r="D123" i="9"/>
  <c r="D6" i="52" s="1"/>
  <c r="D124" i="9"/>
  <c r="D7" i="52"/>
  <c r="N49" i="57"/>
  <c r="B58" i="60"/>
  <c r="L109" i="43"/>
  <c r="H107"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D117" i="43"/>
  <c r="E117" i="43" s="1"/>
  <c r="F117" i="43" s="1"/>
  <c r="G117" i="43" s="1"/>
  <c r="H117" i="43" s="1"/>
  <c r="B116" i="43"/>
  <c r="C116" i="43" s="1"/>
  <c r="E105" i="43"/>
  <c r="F106" i="43"/>
  <c r="M12" i="43"/>
  <c r="M8" i="43"/>
  <c r="C6" i="43" s="1"/>
  <c r="N7" i="43"/>
  <c r="M3" i="43"/>
  <c r="M11" i="43"/>
  <c r="N8" i="43"/>
  <c r="F70" i="43" s="1"/>
  <c r="H70" i="43" s="1"/>
  <c r="H8" i="44"/>
  <c r="H12" i="44"/>
  <c r="C63" i="39"/>
  <c r="G64" i="39"/>
  <c r="C64" i="39" s="1"/>
  <c r="M85" i="43"/>
  <c r="N85" i="43"/>
  <c r="K85" i="43"/>
  <c r="J85" i="43"/>
  <c r="D85" i="43"/>
  <c r="M82" i="43"/>
  <c r="N82" i="43" s="1"/>
  <c r="K83" i="43"/>
  <c r="J83" i="43" s="1"/>
  <c r="D83" i="43"/>
  <c r="E81" i="43" s="1"/>
  <c r="B79" i="43" s="1"/>
  <c r="H88"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W23" i="40"/>
  <c r="S23" i="40"/>
  <c r="U23" i="40"/>
  <c r="S38" i="40"/>
  <c r="U40" i="40"/>
  <c r="S33" i="40"/>
  <c r="AB31" i="40"/>
  <c r="AC14" i="40"/>
  <c r="AC13" i="40"/>
  <c r="S14" i="40"/>
  <c r="S31" i="40"/>
  <c r="S11" i="40"/>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U36" i="35"/>
  <c r="W36" i="35"/>
  <c r="S35" i="35"/>
  <c r="S26" i="35"/>
  <c r="AB26" i="35"/>
  <c r="AC16" i="35"/>
  <c r="AA25" i="35"/>
  <c r="S28" i="35"/>
  <c r="AC34" i="37"/>
  <c r="U29" i="37"/>
  <c r="U30" i="37"/>
  <c r="S40" i="37"/>
  <c r="AC29" i="37"/>
  <c r="AC13" i="37"/>
  <c r="U38" i="37"/>
  <c r="AA13" i="37"/>
  <c r="W25" i="37"/>
  <c r="S9" i="37"/>
  <c r="G84" i="34"/>
  <c r="J21" i="34"/>
  <c r="AC21" i="34" s="1"/>
  <c r="AB40" i="34"/>
  <c r="AC19" i="34"/>
  <c r="AC23" i="34"/>
  <c r="AB28" i="34"/>
  <c r="W41" i="34"/>
  <c r="AA27" i="34"/>
  <c r="AA45" i="34"/>
  <c r="AB45" i="34"/>
  <c r="AB35" i="34"/>
  <c r="AB27" i="34"/>
  <c r="W29" i="34"/>
  <c r="W43" i="34"/>
  <c r="U34"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AB26" i="33"/>
  <c r="AA36" i="33"/>
  <c r="W35" i="33"/>
  <c r="W40" i="33"/>
  <c r="W26" i="33"/>
  <c r="S33" i="33"/>
  <c r="U35" i="33"/>
  <c r="U32" i="33"/>
  <c r="AC45" i="33"/>
  <c r="AB29" i="33"/>
  <c r="AB36" i="33"/>
  <c r="W15" i="33"/>
  <c r="AA19" i="33"/>
  <c r="W8" i="33"/>
  <c r="G83" i="21"/>
  <c r="J21" i="21"/>
  <c r="AC21" i="21" s="1"/>
  <c r="AC31" i="21"/>
  <c r="S46" i="21"/>
  <c r="AC46" i="21"/>
  <c r="C15" i="39"/>
  <c r="C17" i="39"/>
  <c r="C19" i="39"/>
  <c r="C15" i="40"/>
  <c r="C17" i="40"/>
  <c r="B54" i="43"/>
  <c r="B65" i="43"/>
  <c r="U30" i="40"/>
  <c r="B49" i="43"/>
  <c r="B52" i="43"/>
  <c r="B56" i="43"/>
  <c r="B60" i="43"/>
  <c r="B63" i="43"/>
  <c r="B67" i="43"/>
  <c r="U35" i="40"/>
  <c r="U37" i="40"/>
  <c r="AB37" i="40"/>
  <c r="W37" i="40"/>
  <c r="AC37" i="40"/>
  <c r="AA28" i="40"/>
  <c r="S28" i="40"/>
  <c r="AC28" i="40"/>
  <c r="U28" i="40"/>
  <c r="AB28" i="40"/>
  <c r="AB21" i="40"/>
  <c r="AA21" i="40"/>
  <c r="AB17" i="40"/>
  <c r="W17" i="40"/>
  <c r="AC17" i="40"/>
  <c r="AB33" i="37"/>
  <c r="U35" i="37"/>
  <c r="S33" i="37"/>
  <c r="AA35" i="37"/>
  <c r="S35" i="37"/>
  <c r="W33" i="37"/>
  <c r="S19" i="37"/>
  <c r="AB19" i="37"/>
  <c r="M86" i="43"/>
  <c r="N86" i="43" s="1"/>
  <c r="F34" i="11"/>
  <c r="E19" i="1"/>
  <c r="D20" i="1"/>
  <c r="D18" i="1"/>
  <c r="F50" i="11"/>
  <c r="F19" i="1"/>
  <c r="F18" i="1"/>
  <c r="C11" i="12" s="1"/>
  <c r="C15" i="12" s="1"/>
  <c r="D19" i="1"/>
  <c r="K87" i="43"/>
  <c r="J87" i="43"/>
  <c r="D87" i="43"/>
  <c r="E3" i="4"/>
  <c r="B5" i="55" s="1"/>
  <c r="B55" i="60" s="1"/>
  <c r="C3" i="4"/>
  <c r="B4" i="55" s="1"/>
  <c r="B53" i="60" s="1"/>
  <c r="L106" i="9"/>
  <c r="A18" i="55"/>
  <c r="B48" i="60" s="1"/>
  <c r="J22" i="43"/>
  <c r="M84" i="43"/>
  <c r="N84" i="43" s="1"/>
  <c r="K84" i="43"/>
  <c r="J84" i="43"/>
  <c r="D84" i="43"/>
  <c r="M81" i="43"/>
  <c r="N81" i="43"/>
  <c r="K81" i="43"/>
  <c r="J81" i="43"/>
  <c r="D81" i="43"/>
  <c r="M88" i="43"/>
  <c r="N88" i="43"/>
  <c r="K88" i="43"/>
  <c r="J88" i="43" s="1"/>
  <c r="D88" i="43"/>
  <c r="I114" i="57"/>
  <c r="N51" i="57" s="1"/>
  <c r="B41" i="1"/>
  <c r="M27" i="15" s="1"/>
  <c r="C14" i="15"/>
  <c r="C18" i="15" s="1"/>
  <c r="D118" i="57"/>
  <c r="D119" i="57"/>
  <c r="I115" i="57" s="1"/>
  <c r="D132" i="57" s="1"/>
  <c r="D134" i="57"/>
  <c r="D130" i="9"/>
  <c r="D13" i="52" s="1"/>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s="1"/>
  <c r="Y13" i="59"/>
  <c r="Z13" i="59"/>
  <c r="AB13" i="59"/>
  <c r="AB11" i="59"/>
  <c r="Z12" i="59"/>
  <c r="X13" i="59"/>
  <c r="X11" i="59"/>
  <c r="AA13" i="59"/>
  <c r="Z11" i="59"/>
  <c r="AA11" i="59"/>
  <c r="AB12" i="59"/>
  <c r="X12" i="59"/>
  <c r="U13" i="59"/>
  <c r="J30" i="35"/>
  <c r="W30" i="35"/>
  <c r="H30" i="35"/>
  <c r="AB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C30" i="35"/>
  <c r="I116" i="57"/>
  <c r="D133" i="57" s="1"/>
  <c r="I14" i="62" s="1"/>
  <c r="B8" i="62" s="1"/>
  <c r="D120" i="57"/>
  <c r="I114" i="9"/>
  <c r="D129" i="9" s="1"/>
  <c r="D12" i="52" s="1"/>
  <c r="I112" i="9"/>
  <c r="D39" i="50" s="1"/>
  <c r="D40" i="50" s="1"/>
  <c r="D116" i="9"/>
  <c r="D114" i="9"/>
  <c r="D115" i="9"/>
  <c r="I113" i="9" s="1"/>
  <c r="D42" i="50"/>
  <c r="D43" i="50" s="1"/>
  <c r="D18" i="50"/>
  <c r="B31" i="60" s="1"/>
  <c r="C20" i="57"/>
  <c r="F3" i="61"/>
  <c r="D19" i="57"/>
  <c r="E2" i="37"/>
  <c r="C19" i="57"/>
  <c r="F7" i="61"/>
  <c r="F5" i="61"/>
  <c r="E2" i="34"/>
  <c r="F6" i="61"/>
  <c r="E2" i="11"/>
  <c r="H23" i="31"/>
  <c r="E2" i="21"/>
  <c r="E2" i="33"/>
  <c r="D6" i="61"/>
  <c r="F4" i="61"/>
  <c r="D20" i="57"/>
  <c r="D7" i="61"/>
  <c r="D5" i="61"/>
  <c r="E2" i="35"/>
  <c r="E2" i="36"/>
  <c r="F30" i="1" l="1"/>
  <c r="C7" i="65"/>
  <c r="C58" i="65" s="1"/>
  <c r="G113" i="21"/>
  <c r="F37" i="21"/>
  <c r="H32" i="21"/>
  <c r="AB32" i="21" s="1"/>
  <c r="W45" i="21"/>
  <c r="AB43" i="21"/>
  <c r="AA43" i="21"/>
  <c r="AB44" i="21"/>
  <c r="W43" i="21"/>
  <c r="AB46" i="21"/>
  <c r="W41" i="21"/>
  <c r="AA41" i="21"/>
  <c r="AB41" i="21"/>
  <c r="AC28" i="21"/>
  <c r="AC26" i="21"/>
  <c r="AB25" i="21"/>
  <c r="AA25" i="21"/>
  <c r="S29" i="21"/>
  <c r="S27" i="21"/>
  <c r="W25" i="21"/>
  <c r="AA26" i="21"/>
  <c r="U31" i="21"/>
  <c r="AB26" i="21"/>
  <c r="S42" i="21"/>
  <c r="W42" i="21"/>
  <c r="AB40" i="21"/>
  <c r="AA40" i="21"/>
  <c r="W40" i="21"/>
  <c r="AB39" i="21"/>
  <c r="W39" i="21"/>
  <c r="AA39" i="21"/>
  <c r="AB38" i="21"/>
  <c r="AA38" i="21"/>
  <c r="S36" i="21"/>
  <c r="AB36" i="21"/>
  <c r="W36" i="21"/>
  <c r="AB35" i="21"/>
  <c r="S35" i="21"/>
  <c r="AC35" i="21"/>
  <c r="AA34" i="21"/>
  <c r="AB34" i="21"/>
  <c r="W34" i="21"/>
  <c r="U33" i="21"/>
  <c r="AA33" i="21"/>
  <c r="AC33" i="21"/>
  <c r="AA32" i="21"/>
  <c r="AC32" i="21"/>
  <c r="AB8" i="21"/>
  <c r="S8" i="21"/>
  <c r="U11" i="21"/>
  <c r="W10" i="21"/>
  <c r="AB10" i="21"/>
  <c r="S10" i="21"/>
  <c r="U23" i="21"/>
  <c r="S19" i="21"/>
  <c r="W19" i="21"/>
  <c r="U19" i="21"/>
  <c r="U17" i="21"/>
  <c r="S17" i="21"/>
  <c r="AA15" i="21"/>
  <c r="AB15" i="21"/>
  <c r="E70" i="43"/>
  <c r="B68" i="43" s="1"/>
  <c r="C24" i="43" s="1"/>
  <c r="E48" i="43"/>
  <c r="B46" i="43" s="1"/>
  <c r="G104" i="43"/>
  <c r="G105" i="43"/>
  <c r="C13" i="12"/>
  <c r="G26" i="47"/>
  <c r="H61" i="43"/>
  <c r="H60" i="43"/>
  <c r="H78" i="43"/>
  <c r="H75" i="43"/>
  <c r="H67" i="43"/>
  <c r="H59" i="43"/>
  <c r="H51" i="43"/>
  <c r="H65" i="43"/>
  <c r="H76" i="43"/>
  <c r="H62" i="43"/>
  <c r="H73" i="43"/>
  <c r="H64" i="43"/>
  <c r="H66" i="43"/>
  <c r="A132" i="9"/>
  <c r="D32" i="9"/>
  <c r="F33" i="9"/>
  <c r="C120" i="57"/>
  <c r="H116" i="57" s="1"/>
  <c r="N46" i="9"/>
  <c r="A2" i="9"/>
  <c r="C12" i="59"/>
  <c r="D13" i="59"/>
  <c r="T13" i="59"/>
  <c r="B12" i="59"/>
  <c r="B11" i="59" s="1"/>
  <c r="B10" i="59" s="1"/>
  <c r="B9" i="59" s="1"/>
  <c r="S13" i="59"/>
  <c r="W27" i="36"/>
  <c r="AC9" i="37"/>
  <c r="W9" i="37"/>
  <c r="AA39" i="33"/>
  <c r="S39" i="33"/>
  <c r="U30" i="35"/>
  <c r="D131" i="57"/>
  <c r="H85" i="43"/>
  <c r="H83" i="43"/>
  <c r="AC28" i="34"/>
  <c r="AA17" i="40"/>
  <c r="AB15" i="40"/>
  <c r="U15" i="40"/>
  <c r="AC11" i="34"/>
  <c r="AC44" i="34"/>
  <c r="AB13" i="21"/>
  <c r="AC43" i="33"/>
  <c r="AB24" i="35"/>
  <c r="AA27" i="37"/>
  <c r="W27" i="21"/>
  <c r="U32" i="39"/>
  <c r="F15" i="47"/>
  <c r="B13" i="47" s="1"/>
  <c r="AB32" i="40"/>
  <c r="W30" i="34"/>
  <c r="AC30" i="34"/>
  <c r="W36" i="40"/>
  <c r="AC36" i="40"/>
  <c r="S32" i="37"/>
  <c r="AA32" i="37"/>
  <c r="AC10" i="36"/>
  <c r="W10" i="36"/>
  <c r="S30" i="34"/>
  <c r="AA30" i="34"/>
  <c r="W21" i="21"/>
  <c r="AC10" i="35"/>
  <c r="W10" i="35"/>
  <c r="U15" i="34"/>
  <c r="D14" i="59"/>
  <c r="AA12" i="39"/>
  <c r="W21" i="34"/>
  <c r="H81" i="43"/>
  <c r="AC37" i="34"/>
  <c r="AB26" i="37"/>
  <c r="W29" i="33"/>
  <c r="W15" i="37"/>
  <c r="W15" i="40"/>
  <c r="N49" i="9"/>
  <c r="M67" i="9" s="1"/>
  <c r="N67" i="9" s="1"/>
  <c r="H54" i="43"/>
  <c r="C16" i="15"/>
  <c r="B23" i="60"/>
  <c r="W23" i="21"/>
  <c r="AA17" i="34"/>
  <c r="S15" i="40"/>
  <c r="AC19" i="37"/>
  <c r="W24" i="35"/>
  <c r="U15" i="37"/>
  <c r="U34" i="35"/>
  <c r="U37" i="34"/>
  <c r="AC15" i="21"/>
  <c r="AC17" i="21"/>
  <c r="W17" i="21"/>
  <c r="AC13" i="43"/>
  <c r="S23" i="21"/>
  <c r="AB23" i="37"/>
  <c r="U23" i="37"/>
  <c r="AA34" i="40"/>
  <c r="S34" i="40"/>
  <c r="F12" i="21"/>
  <c r="J12" i="21"/>
  <c r="H12" i="21"/>
  <c r="J9" i="21"/>
  <c r="H9" i="21"/>
  <c r="F9" i="21"/>
  <c r="AC23" i="36"/>
  <c r="AB14" i="21"/>
  <c r="C110" i="57"/>
  <c r="H104" i="57" s="1"/>
  <c r="H9" i="36"/>
  <c r="J9" i="36"/>
  <c r="AB34" i="36"/>
  <c r="U34" i="36"/>
  <c r="AC14" i="21"/>
  <c r="AC13" i="39"/>
  <c r="J12" i="35"/>
  <c r="H12" i="35"/>
  <c r="U42" i="21"/>
  <c r="AA31" i="35"/>
  <c r="S31" i="35"/>
  <c r="S26" i="33"/>
  <c r="AC8" i="21"/>
  <c r="AC22" i="36"/>
  <c r="W22" i="36"/>
  <c r="J23" i="35"/>
  <c r="H23" i="35"/>
  <c r="AA31" i="36"/>
  <c r="S31" i="36"/>
  <c r="AB10" i="33"/>
  <c r="AB20" i="35"/>
  <c r="W38" i="21"/>
  <c r="AC38" i="21"/>
  <c r="H12" i="33"/>
  <c r="F12" i="33"/>
  <c r="AA23" i="36"/>
  <c r="S23" i="36"/>
  <c r="AB39" i="34"/>
  <c r="H25" i="37"/>
  <c r="C40" i="59"/>
  <c r="D40" i="59" s="1"/>
  <c r="D39" i="59"/>
  <c r="N58" i="59"/>
  <c r="N59" i="59"/>
  <c r="D1" i="58"/>
  <c r="E10" i="58" s="1"/>
  <c r="I21" i="58"/>
  <c r="C36" i="59"/>
  <c r="D35" i="59"/>
  <c r="D80" i="59"/>
  <c r="C79" i="59"/>
  <c r="D79" i="59" s="1"/>
  <c r="C28" i="59"/>
  <c r="D27" i="59"/>
  <c r="D72" i="59"/>
  <c r="C71" i="59"/>
  <c r="D71" i="59" s="1"/>
  <c r="T45" i="59"/>
  <c r="D45" i="59"/>
  <c r="D47" i="59"/>
  <c r="C48" i="59"/>
  <c r="C53" i="59"/>
  <c r="D52" i="59"/>
  <c r="P58" i="59"/>
  <c r="P59" i="59"/>
  <c r="O59" i="59"/>
  <c r="D59" i="59"/>
  <c r="O58" i="59"/>
  <c r="D76" i="59"/>
  <c r="C75" i="59"/>
  <c r="D75" i="59" s="1"/>
  <c r="F59" i="59"/>
  <c r="Q60" i="59"/>
  <c r="C56" i="59"/>
  <c r="D55" i="59"/>
  <c r="B20" i="59"/>
  <c r="B19" i="59" s="1"/>
  <c r="S21" i="59"/>
  <c r="E8" i="59"/>
  <c r="E7" i="59" s="1"/>
  <c r="E6" i="59" s="1"/>
  <c r="E5" i="59" s="1"/>
  <c r="U5" i="59" s="1"/>
  <c r="U9" i="59"/>
  <c r="K100" i="43"/>
  <c r="AA25" i="40"/>
  <c r="B86" i="43"/>
  <c r="D73" i="59"/>
  <c r="Y20" i="59"/>
  <c r="Z20" i="59" s="1"/>
  <c r="S65" i="59"/>
  <c r="T73" i="59"/>
  <c r="C18" i="50"/>
  <c r="T17" i="59"/>
  <c r="AB15" i="59"/>
  <c r="AA12" i="59"/>
  <c r="AA9" i="59"/>
  <c r="AB5" i="59"/>
  <c r="D4" i="47"/>
  <c r="F4" i="47" s="1"/>
  <c r="B2" i="47" s="1"/>
  <c r="M108" i="43"/>
  <c r="M109" i="43" s="1"/>
  <c r="E20" i="59"/>
  <c r="E19" i="59" s="1"/>
  <c r="AB21" i="59"/>
  <c r="P60" i="59"/>
  <c r="AC12" i="43"/>
  <c r="Y30" i="59"/>
  <c r="Z30" i="59" s="1"/>
  <c r="X23" i="59"/>
  <c r="AB6" i="59"/>
  <c r="AA21" i="34"/>
  <c r="U25" i="40"/>
  <c r="AA27" i="59"/>
  <c r="Y25" i="59"/>
  <c r="Z25" i="59" s="1"/>
  <c r="AB22" i="59"/>
  <c r="AB14" i="59"/>
  <c r="AA8" i="59"/>
  <c r="AB7" i="59"/>
  <c r="U25" i="31"/>
  <c r="C36" i="57" s="1"/>
  <c r="D125" i="57" s="1"/>
  <c r="L108" i="57" s="1"/>
  <c r="E100" i="43"/>
  <c r="C19" i="59"/>
  <c r="D19" i="59" s="1"/>
  <c r="AB19" i="59"/>
  <c r="AD12" i="43"/>
  <c r="AD13" i="43" s="1"/>
  <c r="AJ12" i="43"/>
  <c r="AJ13" i="43" s="1"/>
  <c r="AA17" i="59"/>
  <c r="AA5" i="59"/>
  <c r="V27" i="31"/>
  <c r="V25" i="31" s="1"/>
  <c r="C100" i="43"/>
  <c r="AA21" i="33"/>
  <c r="Y19" i="59"/>
  <c r="Z19" i="59" s="1"/>
  <c r="AE10" i="43"/>
  <c r="AA29" i="59"/>
  <c r="AA6" i="59"/>
  <c r="Y27" i="31"/>
  <c r="Y25" i="31" s="1"/>
  <c r="C29" i="39"/>
  <c r="C23" i="59"/>
  <c r="C31" i="59"/>
  <c r="S69" i="59"/>
  <c r="D77" i="59"/>
  <c r="D81" i="59"/>
  <c r="F16" i="59"/>
  <c r="F15" i="59" s="1"/>
  <c r="F14" i="59" s="1"/>
  <c r="F13" i="59" s="1"/>
  <c r="X15" i="59"/>
  <c r="AB8" i="59"/>
  <c r="AA7" i="59"/>
  <c r="X25" i="31"/>
  <c r="C37" i="57" s="1"/>
  <c r="F125" i="57" s="1"/>
  <c r="G125" i="57" s="1"/>
  <c r="L100" i="43"/>
  <c r="S21" i="21"/>
  <c r="Y29" i="59"/>
  <c r="Z29" i="59" s="1"/>
  <c r="AB26" i="59"/>
  <c r="Y5" i="59"/>
  <c r="Z5" i="59" s="1"/>
  <c r="J100" i="43"/>
  <c r="AA18" i="59"/>
  <c r="Y6" i="59"/>
  <c r="Z6" i="59" s="1"/>
  <c r="V21" i="59"/>
  <c r="D64" i="59"/>
  <c r="AA3" i="59"/>
  <c r="X20" i="59"/>
  <c r="Y16" i="59"/>
  <c r="Z16" i="59" s="1"/>
  <c r="Y7" i="59"/>
  <c r="Z7" i="59" s="1"/>
  <c r="F100" i="43"/>
  <c r="C30" i="58"/>
  <c r="C31" i="58"/>
  <c r="B55" i="43"/>
  <c r="AB23" i="59"/>
  <c r="Y10" i="59"/>
  <c r="Z10" i="59" s="1"/>
  <c r="B66" i="43"/>
  <c r="O60" i="59"/>
  <c r="D65" i="59"/>
  <c r="X8" i="59"/>
  <c r="X6" i="59"/>
  <c r="U21" i="37"/>
  <c r="B20" i="60"/>
  <c r="Y8" i="59"/>
  <c r="Z8" i="59" s="1"/>
  <c r="X7" i="59"/>
  <c r="AA8" i="37"/>
  <c r="AC8" i="37"/>
  <c r="AC36" i="37"/>
  <c r="S36" i="37"/>
  <c r="S30" i="37"/>
  <c r="W31" i="37"/>
  <c r="AA29" i="37"/>
  <c r="D68" i="39"/>
  <c r="E68" i="39" s="1"/>
  <c r="F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J18" i="15"/>
  <c r="F31" i="15"/>
  <c r="H48" i="43"/>
  <c r="H49" i="43"/>
  <c r="H55" i="43"/>
  <c r="J7" i="33"/>
  <c r="W7" i="33" s="1"/>
  <c r="F7" i="37"/>
  <c r="S7" i="37" s="1"/>
  <c r="B13" i="1"/>
  <c r="I48" i="35"/>
  <c r="J48" i="35" s="1"/>
  <c r="K48" i="35" s="1"/>
  <c r="L48" i="35" s="1"/>
  <c r="M48" i="35" s="1"/>
  <c r="N48" i="35" s="1"/>
  <c r="O48" i="35" s="1"/>
  <c r="J7" i="35"/>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G20" i="57"/>
  <c r="C105" i="57" s="1"/>
  <c r="C104" i="57"/>
  <c r="D104" i="57"/>
  <c r="D3" i="61"/>
  <c r="D4" i="61"/>
  <c r="D58" i="65" l="1"/>
  <c r="E58" i="65" s="1"/>
  <c r="F58" i="65" s="1"/>
  <c r="G58" i="65" s="1"/>
  <c r="H58" i="65" s="1"/>
  <c r="I58" i="65" s="1"/>
  <c r="J58" i="65" s="1"/>
  <c r="K58" i="65" s="1"/>
  <c r="L58" i="65" s="1"/>
  <c r="M58" i="65" s="1"/>
  <c r="N58" i="65" s="1"/>
  <c r="O58" i="65" s="1"/>
  <c r="J7" i="65"/>
  <c r="H7" i="65"/>
  <c r="F7" i="65"/>
  <c r="AA37" i="21"/>
  <c r="S37" i="21"/>
  <c r="H37" i="21"/>
  <c r="J37" i="21"/>
  <c r="H113" i="21"/>
  <c r="U32" i="21"/>
  <c r="C33" i="11"/>
  <c r="C39" i="11" s="1"/>
  <c r="C46" i="11" s="1"/>
  <c r="C45" i="11" s="1"/>
  <c r="D5" i="43"/>
  <c r="C106" i="57"/>
  <c r="Q59" i="15"/>
  <c r="E70" i="39"/>
  <c r="K1" i="61"/>
  <c r="E20" i="43"/>
  <c r="P28" i="43" s="1"/>
  <c r="G68" i="39"/>
  <c r="F70" i="39"/>
  <c r="F12" i="59"/>
  <c r="F11" i="59" s="1"/>
  <c r="F10" i="59" s="1"/>
  <c r="F9" i="59" s="1"/>
  <c r="V13" i="59"/>
  <c r="Q59" i="59"/>
  <c r="Q58" i="59"/>
  <c r="S9" i="21"/>
  <c r="AA9" i="21"/>
  <c r="U12" i="35"/>
  <c r="AB12" i="35"/>
  <c r="AB9" i="21"/>
  <c r="U9" i="21"/>
  <c r="W12" i="35"/>
  <c r="AC12" i="35"/>
  <c r="W9" i="21"/>
  <c r="AC9" i="21"/>
  <c r="AB12" i="21"/>
  <c r="U12" i="21"/>
  <c r="C32" i="15"/>
  <c r="E26" i="58"/>
  <c r="C32" i="59"/>
  <c r="D31" i="59"/>
  <c r="U25" i="37"/>
  <c r="AB25" i="37"/>
  <c r="U23" i="35"/>
  <c r="AB23" i="35"/>
  <c r="AC12" i="21"/>
  <c r="W12" i="21"/>
  <c r="C30" i="12"/>
  <c r="C28" i="12" s="1"/>
  <c r="C24" i="59"/>
  <c r="D23" i="59"/>
  <c r="C29" i="59"/>
  <c r="D28" i="59"/>
  <c r="AC23" i="35"/>
  <c r="W23" i="35"/>
  <c r="AA12" i="21"/>
  <c r="S12" i="21"/>
  <c r="AC9" i="36"/>
  <c r="W9" i="36"/>
  <c r="S12" i="33"/>
  <c r="AA12" i="33"/>
  <c r="AB9" i="36"/>
  <c r="U9" i="36"/>
  <c r="B8" i="59"/>
  <c r="B7" i="59" s="1"/>
  <c r="B6" i="59" s="1"/>
  <c r="B5" i="59" s="1"/>
  <c r="S5" i="59" s="1"/>
  <c r="S9" i="59"/>
  <c r="D70" i="39"/>
  <c r="T53" i="59"/>
  <c r="D53" i="59"/>
  <c r="D36" i="59"/>
  <c r="C37" i="59"/>
  <c r="U12" i="33"/>
  <c r="AB12" i="33"/>
  <c r="C57" i="59"/>
  <c r="D56" i="59"/>
  <c r="C49" i="59"/>
  <c r="D48" i="59"/>
  <c r="C11" i="59"/>
  <c r="D12" i="59"/>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AC7" i="35"/>
  <c r="V38" i="35" s="1"/>
  <c r="I38" i="35" s="1"/>
  <c r="W7" i="35"/>
  <c r="D22" i="50"/>
  <c r="B35" i="60" s="1"/>
  <c r="B33" i="60"/>
  <c r="C19" i="43"/>
  <c r="P24" i="43"/>
  <c r="B66" i="40" s="1"/>
  <c r="P21" i="43"/>
  <c r="B71" i="39" s="1"/>
  <c r="P23" i="43"/>
  <c r="P22" i="43"/>
  <c r="F11" i="15"/>
  <c r="M11" i="15"/>
  <c r="J10" i="15" s="1"/>
  <c r="J5" i="15" s="1"/>
  <c r="G1" i="61"/>
  <c r="AA7" i="65" l="1"/>
  <c r="R48" i="65" s="1"/>
  <c r="S7" i="65"/>
  <c r="AC7" i="65"/>
  <c r="V48" i="65" s="1"/>
  <c r="I48" i="65" s="1"/>
  <c r="W7" i="65"/>
  <c r="U7" i="65"/>
  <c r="AB7" i="65"/>
  <c r="T48" i="65" s="1"/>
  <c r="G48" i="65" s="1"/>
  <c r="U37" i="21"/>
  <c r="AB37" i="21"/>
  <c r="W37" i="21"/>
  <c r="AC37" i="21"/>
  <c r="O28" i="43"/>
  <c r="G20" i="43" s="1"/>
  <c r="E41" i="43" s="1"/>
  <c r="C41" i="43" s="1"/>
  <c r="C38" i="43" s="1"/>
  <c r="M28" i="43"/>
  <c r="N28" i="43"/>
  <c r="E27" i="1"/>
  <c r="F22" i="11" s="1"/>
  <c r="F41" i="11" s="1"/>
  <c r="C10" i="59"/>
  <c r="D11" i="59"/>
  <c r="C33" i="59"/>
  <c r="D32" i="59"/>
  <c r="D29" i="59"/>
  <c r="T29" i="59"/>
  <c r="T49" i="59"/>
  <c r="D49" i="59"/>
  <c r="C25" i="59"/>
  <c r="D24" i="59"/>
  <c r="T57" i="59"/>
  <c r="D57" i="59"/>
  <c r="F8" i="59"/>
  <c r="F7" i="59" s="1"/>
  <c r="F6" i="59" s="1"/>
  <c r="F5" i="59" s="1"/>
  <c r="V5" i="59" s="1"/>
  <c r="V9" i="59"/>
  <c r="T37" i="59"/>
  <c r="D37" i="59"/>
  <c r="G70" i="39"/>
  <c r="H68" i="39"/>
  <c r="E42" i="37"/>
  <c r="I47" i="37" s="1"/>
  <c r="J47" i="37"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G47" i="37"/>
  <c r="H47" i="37" s="1"/>
  <c r="C10" i="15"/>
  <c r="C5" i="15" s="1"/>
  <c r="C54" i="15"/>
  <c r="C49" i="15" s="1"/>
  <c r="J24" i="15"/>
  <c r="J26" i="15"/>
  <c r="G52" i="65" l="1"/>
  <c r="H52" i="65" s="1"/>
  <c r="G53" i="65"/>
  <c r="H53" i="65" s="1"/>
  <c r="I52" i="65"/>
  <c r="J52" i="65" s="1"/>
  <c r="E48" i="65"/>
  <c r="I53" i="65" s="1"/>
  <c r="J53" i="65" s="1"/>
  <c r="R49" i="65"/>
  <c r="C39" i="43"/>
  <c r="G39" i="43" s="1"/>
  <c r="I39" i="43" s="1"/>
  <c r="C20" i="43"/>
  <c r="F25" i="12"/>
  <c r="C26" i="12" s="1"/>
  <c r="D25" i="12" s="1"/>
  <c r="F24" i="15"/>
  <c r="C24" i="15" s="1"/>
  <c r="T25" i="59"/>
  <c r="D25" i="59"/>
  <c r="I68" i="39"/>
  <c r="H70" i="39"/>
  <c r="T33" i="59"/>
  <c r="D33" i="59"/>
  <c r="E47" i="37"/>
  <c r="F47" i="37" s="1"/>
  <c r="E46" i="37"/>
  <c r="F46" i="37"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8" i="43"/>
  <c r="G38" i="43"/>
  <c r="I38" i="43" s="1"/>
  <c r="C43" i="11"/>
  <c r="C44" i="11"/>
  <c r="D41" i="11" s="1"/>
  <c r="C42" i="11"/>
  <c r="C26" i="11"/>
  <c r="D22" i="11" s="1"/>
  <c r="C24" i="11"/>
  <c r="C61" i="15"/>
  <c r="C67" i="15"/>
  <c r="C38" i="15"/>
  <c r="C49" i="65" l="1"/>
  <c r="C48" i="65"/>
  <c r="E53" i="65"/>
  <c r="F53" i="65" s="1"/>
  <c r="E52" i="65"/>
  <c r="F52" i="65" s="1"/>
  <c r="E39" i="43"/>
  <c r="C27" i="12"/>
  <c r="C25" i="12" s="1"/>
  <c r="C32" i="12" s="1"/>
  <c r="C23" i="15"/>
  <c r="C29" i="15" s="1"/>
  <c r="J14" i="15" s="1"/>
  <c r="C29" i="43"/>
  <c r="C6" i="11" s="1"/>
  <c r="T2" i="43"/>
  <c r="V2" i="43" s="1"/>
  <c r="T11" i="43"/>
  <c r="V11" i="43" s="1"/>
  <c r="T7" i="43"/>
  <c r="V7" i="43" s="1"/>
  <c r="T8" i="43"/>
  <c r="V8" i="43" s="1"/>
  <c r="T16" i="43"/>
  <c r="V16" i="43" s="1"/>
  <c r="T12" i="43"/>
  <c r="V12" i="43" s="1"/>
  <c r="T15" i="43"/>
  <c r="V15" i="43" s="1"/>
  <c r="T14" i="43"/>
  <c r="V14" i="43" s="1"/>
  <c r="T5" i="43"/>
  <c r="V5" i="43" s="1"/>
  <c r="T10" i="43"/>
  <c r="V10" i="43" s="1"/>
  <c r="C33" i="43"/>
  <c r="T4" i="43"/>
  <c r="V4" i="43" s="1"/>
  <c r="T9" i="43"/>
  <c r="V9" i="43" s="1"/>
  <c r="T13" i="43"/>
  <c r="V13" i="43" s="1"/>
  <c r="C37" i="43"/>
  <c r="T3" i="43"/>
  <c r="V3" i="43" s="1"/>
  <c r="C36" i="43"/>
  <c r="C35" i="43"/>
  <c r="C34" i="43"/>
  <c r="T6" i="43"/>
  <c r="V6" i="43" s="1"/>
  <c r="C8" i="59"/>
  <c r="T9" i="59"/>
  <c r="D9" i="59"/>
  <c r="J68" i="39"/>
  <c r="I70" i="39"/>
  <c r="I112" i="57"/>
  <c r="D129" i="57" s="1"/>
  <c r="D47" i="57"/>
  <c r="N50" i="57"/>
  <c r="D116" i="57"/>
  <c r="D117" i="57" s="1"/>
  <c r="I113" i="57" s="1"/>
  <c r="D130" i="57" s="1"/>
  <c r="D121" i="57"/>
  <c r="I117" i="57" s="1"/>
  <c r="G65" i="40"/>
  <c r="H63" i="40"/>
  <c r="J29" i="15"/>
  <c r="B3" i="35"/>
  <c r="B2" i="35"/>
  <c r="H59" i="34"/>
  <c r="R37" i="36"/>
  <c r="E36" i="36"/>
  <c r="I58" i="21"/>
  <c r="C41" i="11"/>
  <c r="C49" i="11" s="1"/>
  <c r="C51" i="11" s="1"/>
  <c r="B3" i="65" l="1"/>
  <c r="B2" i="65"/>
  <c r="C7" i="11"/>
  <c r="C5" i="11" s="1"/>
  <c r="G34" i="43"/>
  <c r="I34" i="43" s="1"/>
  <c r="E34" i="43"/>
  <c r="E35" i="43"/>
  <c r="G35" i="43"/>
  <c r="I35" i="43" s="1"/>
  <c r="E37" i="43"/>
  <c r="G37" i="43"/>
  <c r="I37" i="43" s="1"/>
  <c r="C30" i="43"/>
  <c r="E30" i="43" s="1"/>
  <c r="E29" i="43"/>
  <c r="E36" i="43"/>
  <c r="G36" i="43"/>
  <c r="I36" i="43" s="1"/>
  <c r="E33" i="43"/>
  <c r="G33" i="43"/>
  <c r="I33" i="43" s="1"/>
  <c r="K68" i="39"/>
  <c r="J70" i="39"/>
  <c r="C7" i="59"/>
  <c r="D8" i="5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C27" i="43"/>
  <c r="C26" i="43"/>
  <c r="B2" i="43" s="1"/>
  <c r="B3" i="43" s="1"/>
  <c r="C97" i="57"/>
  <c r="C98" i="57" s="1"/>
  <c r="E98" i="57" s="1"/>
  <c r="E99" i="57" s="1"/>
  <c r="D7" i="59"/>
  <c r="C6" i="59"/>
  <c r="C81" i="57"/>
  <c r="C82" i="57" s="1"/>
  <c r="E82" i="57" s="1"/>
  <c r="E83" i="57" s="1"/>
  <c r="L68" i="39"/>
  <c r="K70" i="39"/>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28" i="11" l="1"/>
  <c r="C27" i="11" s="1"/>
  <c r="C25" i="11"/>
  <c r="C22" i="11" s="1"/>
  <c r="C83" i="57"/>
  <c r="L70" i="39"/>
  <c r="M68" i="39"/>
  <c r="D6" i="59"/>
  <c r="C5" i="5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31" i="11" l="1"/>
  <c r="C52" i="11" s="1"/>
  <c r="B3" i="11" s="1"/>
  <c r="T5" i="59"/>
  <c r="D5" i="59"/>
  <c r="M20" i="43"/>
  <c r="M70" i="39"/>
  <c r="N68" i="39"/>
  <c r="O63" i="57"/>
  <c r="O62" i="57"/>
  <c r="L63" i="40"/>
  <c r="K65" i="40"/>
  <c r="E52" i="21"/>
  <c r="F52" i="21" s="1"/>
  <c r="E53" i="21"/>
  <c r="F53" i="21" s="1"/>
  <c r="C48" i="21"/>
  <c r="C49" i="21"/>
  <c r="B2" i="21" s="1"/>
  <c r="L59" i="34"/>
  <c r="C47" i="15"/>
  <c r="J41" i="15"/>
  <c r="J42" i="15" s="1"/>
  <c r="Q54" i="15"/>
  <c r="B3" i="15"/>
  <c r="B2" i="15"/>
  <c r="C43" i="15"/>
  <c r="Q65" i="15"/>
  <c r="Q45" i="15"/>
  <c r="Q51" i="15" s="1"/>
  <c r="Q63" i="15"/>
  <c r="D19" i="9"/>
  <c r="C19" i="9"/>
  <c r="D101" i="9" l="1"/>
  <c r="B3" i="21"/>
  <c r="D22" i="9"/>
  <c r="G19" i="9"/>
  <c r="C101" i="9"/>
  <c r="B2" i="11"/>
  <c r="C56" i="11"/>
  <c r="C57" i="11" s="1"/>
  <c r="D35" i="9"/>
  <c r="D34" i="9" s="1"/>
  <c r="O68" i="39"/>
  <c r="O70" i="39" s="1"/>
  <c r="N70" i="39"/>
  <c r="L65" i="40"/>
  <c r="M63" i="40"/>
  <c r="M59" i="34"/>
  <c r="N59" i="34" s="1"/>
  <c r="O59" i="34" s="1"/>
  <c r="H7" i="34" s="1"/>
  <c r="F7" i="34"/>
  <c r="L58" i="15"/>
  <c r="L61" i="15" s="1"/>
  <c r="Q64" i="15" s="1"/>
  <c r="Q73" i="15" s="1"/>
  <c r="D20" i="9"/>
  <c r="C20" i="9"/>
  <c r="D102" i="9" l="1"/>
  <c r="C102" i="9"/>
  <c r="G20" i="9"/>
  <c r="C32" i="9" s="1"/>
  <c r="C35" i="9" s="1"/>
  <c r="C34" i="9" s="1"/>
  <c r="H7" i="39"/>
  <c r="J7" i="39"/>
  <c r="F7" i="39"/>
  <c r="J7" i="34"/>
  <c r="W7" i="34" s="1"/>
  <c r="M65" i="40"/>
  <c r="N63" i="40"/>
  <c r="AA7" i="34"/>
  <c r="R49" i="34" s="1"/>
  <c r="S7" i="34"/>
  <c r="AB7" i="34"/>
  <c r="T49" i="34" s="1"/>
  <c r="G49" i="34" s="1"/>
  <c r="U7" i="34"/>
  <c r="Q55" i="15"/>
  <c r="Q60" i="15" s="1"/>
  <c r="D55" i="9"/>
  <c r="N53" i="9" s="1"/>
  <c r="D56" i="9"/>
  <c r="N54" i="9" s="1"/>
  <c r="D59" i="9"/>
  <c r="N55" i="9" s="1"/>
  <c r="S7" i="39" l="1"/>
  <c r="AA7" i="39"/>
  <c r="R47" i="39" s="1"/>
  <c r="W7" i="39"/>
  <c r="AC7" i="39"/>
  <c r="V47" i="39" s="1"/>
  <c r="I47" i="39" s="1"/>
  <c r="I51" i="39" s="1"/>
  <c r="J51" i="39" s="1"/>
  <c r="AB7" i="39"/>
  <c r="T47" i="39" s="1"/>
  <c r="G47" i="39" s="1"/>
  <c r="U7" i="39"/>
  <c r="AC7" i="34"/>
  <c r="V49" i="34" s="1"/>
  <c r="I49" i="34" s="1"/>
  <c r="G54" i="34" s="1"/>
  <c r="H54" i="34" s="1"/>
  <c r="E49" i="34"/>
  <c r="E53" i="34" s="1"/>
  <c r="F53" i="34" s="1"/>
  <c r="R50" i="34"/>
  <c r="O63" i="40"/>
  <c r="O65" i="40" s="1"/>
  <c r="N65" i="40"/>
  <c r="G53" i="34"/>
  <c r="H53" i="34" s="1"/>
  <c r="G52" i="39" l="1"/>
  <c r="H52" i="39" s="1"/>
  <c r="G51" i="39"/>
  <c r="H51" i="39" s="1"/>
  <c r="E54" i="34"/>
  <c r="F54" i="34" s="1"/>
  <c r="R48" i="39"/>
  <c r="E47" i="39"/>
  <c r="I52" i="39" s="1"/>
  <c r="J52" i="39" s="1"/>
  <c r="I53" i="34"/>
  <c r="J53" i="34" s="1"/>
  <c r="I54" i="34"/>
  <c r="J54" i="34" s="1"/>
  <c r="C50" i="34"/>
  <c r="B2" i="34" s="1"/>
  <c r="B3" i="34" s="1"/>
  <c r="C49" i="34"/>
  <c r="H7" i="40"/>
  <c r="J7" i="40"/>
  <c r="F7" i="40"/>
  <c r="E51" i="39" l="1"/>
  <c r="F51" i="39" s="1"/>
  <c r="E52" i="39"/>
  <c r="F52" i="39" s="1"/>
  <c r="C48" i="39"/>
  <c r="C47" i="39"/>
  <c r="AC7" i="40"/>
  <c r="V42" i="40" s="1"/>
  <c r="I42" i="40" s="1"/>
  <c r="W7" i="40"/>
  <c r="S7" i="40"/>
  <c r="AA7" i="40"/>
  <c r="R42" i="40" s="1"/>
  <c r="R43" i="40" s="1"/>
  <c r="AB7" i="40"/>
  <c r="T42" i="40" s="1"/>
  <c r="G42" i="40" s="1"/>
  <c r="G46" i="40" s="1"/>
  <c r="H46" i="40" s="1"/>
  <c r="U7" i="40"/>
  <c r="I46" i="40"/>
  <c r="J46" i="40" s="1"/>
  <c r="B63" i="39" l="1"/>
  <c r="F63" i="39" s="1"/>
  <c r="B59" i="39"/>
  <c r="F59" i="39" s="1"/>
  <c r="B64" i="39"/>
  <c r="F64" i="39" s="1"/>
  <c r="B61" i="39"/>
  <c r="F61" i="39" s="1"/>
  <c r="B65" i="39"/>
  <c r="F65" i="39" s="1"/>
  <c r="B60" i="39"/>
  <c r="F60" i="39" s="1"/>
  <c r="B56" i="39"/>
  <c r="F56" i="39" s="1"/>
  <c r="F66" i="39" s="1"/>
  <c r="B2" i="39" s="1"/>
  <c r="B3" i="39" s="1"/>
  <c r="B62" i="39"/>
  <c r="F62" i="39" s="1"/>
  <c r="B57" i="39"/>
  <c r="F57" i="39" s="1"/>
  <c r="B58" i="39"/>
  <c r="F58"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G4" i="52" s="1"/>
  <c r="B41" i="60" s="1"/>
  <c r="I121" i="9"/>
  <c r="D107" i="9" s="1"/>
  <c r="D121" i="9" l="1"/>
  <c r="D4" i="52" s="1"/>
  <c r="B37" i="60" s="1"/>
  <c r="I4" i="52"/>
  <c r="I103" i="9"/>
  <c r="F121" i="9"/>
  <c r="H121" i="9"/>
  <c r="D14" i="62" s="1"/>
  <c r="C104" i="9"/>
  <c r="E14" i="62" l="1"/>
  <c r="B5" i="62"/>
  <c r="F14" i="62"/>
  <c r="D122" i="9"/>
  <c r="D5" i="52" s="1"/>
  <c r="B39" i="60" s="1"/>
  <c r="D106" i="9"/>
  <c r="D112" i="9" s="1"/>
  <c r="C103" i="9"/>
  <c r="H4" i="52"/>
  <c r="I102" i="9"/>
  <c r="H122" i="9"/>
  <c r="H5" i="52" s="1"/>
  <c r="F4" i="52"/>
  <c r="B40" i="60" s="1"/>
  <c r="F122" i="9"/>
  <c r="F5" i="52" s="1"/>
  <c r="B42" i="60" s="1"/>
  <c r="D30" i="50"/>
  <c r="D9" i="50"/>
  <c r="B21" i="60" s="1"/>
  <c r="D5" i="62" l="1"/>
  <c r="C5" i="62"/>
  <c r="D28" i="50"/>
  <c r="D29" i="50" s="1"/>
  <c r="I110" i="9"/>
  <c r="D7" i="50"/>
  <c r="D45" i="9"/>
  <c r="N48" i="9"/>
  <c r="D117" i="9"/>
  <c r="D113" i="9"/>
  <c r="D38" i="50" l="1"/>
  <c r="B62" i="60" s="1"/>
  <c r="I111" i="9"/>
  <c r="D8" i="50"/>
  <c r="B22" i="60" s="1"/>
  <c r="B19" i="60"/>
  <c r="D36" i="50"/>
  <c r="D37" i="50" s="1"/>
  <c r="D15" i="50"/>
  <c r="D125" i="9"/>
  <c r="I115" i="9"/>
  <c r="D23" i="50" s="1"/>
  <c r="B34" i="60" s="1"/>
  <c r="D44" i="50"/>
  <c r="C72" i="9"/>
  <c r="C85" i="9"/>
  <c r="D53" i="9"/>
  <c r="D48" i="9" s="1"/>
  <c r="N52" i="9" s="1"/>
  <c r="O57" i="9" s="1"/>
  <c r="C93" i="9"/>
  <c r="C86" i="9" s="1"/>
  <c r="C78" i="9"/>
  <c r="C73" i="9" s="1"/>
  <c r="C64" i="9"/>
  <c r="C63" i="9" s="1"/>
  <c r="C67" i="9" s="1"/>
  <c r="C68" i="9" s="1"/>
  <c r="D54" i="9" s="1"/>
  <c r="D52" i="9"/>
  <c r="D8" i="52" l="1"/>
  <c r="G14" i="62"/>
  <c r="B6" i="62" s="1"/>
  <c r="C79" i="9"/>
  <c r="C95" i="9"/>
  <c r="Q57" i="9"/>
  <c r="O59" i="9"/>
  <c r="O58" i="9"/>
  <c r="D16" i="50"/>
  <c r="B30" i="60" s="1"/>
  <c r="B29" i="60"/>
  <c r="C96" i="9"/>
  <c r="E96" i="9" s="1"/>
  <c r="E97" i="9" s="1"/>
  <c r="D17" i="50"/>
  <c r="D126" i="9"/>
  <c r="D9" i="52" s="1"/>
  <c r="C80" i="9"/>
  <c r="E80" i="9" s="1"/>
  <c r="E81" i="9" s="1"/>
  <c r="C6" i="62" l="1"/>
  <c r="D6" i="62"/>
  <c r="C97" i="9"/>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rgb="FF000000"/>
            <rFont val="宋体"/>
            <family val="3"/>
            <charset val="134"/>
            <scheme val="minor"/>
          </rPr>
          <t>其它城市请在右侧录入</t>
        </r>
        <r>
          <rPr>
            <sz val="14"/>
            <color rgb="FF000000"/>
            <rFont val="楷体_GB2312"/>
            <charset val="134"/>
          </rPr>
          <t xml:space="preserve">
</t>
        </r>
      </text>
    </comment>
    <comment ref="C8" authorId="0">
      <text>
        <r>
          <rPr>
            <sz val="11"/>
            <color rgb="FF000000"/>
            <rFont val="宋体"/>
            <family val="3"/>
            <charset val="134"/>
          </rPr>
          <t>是否有门牌号，是否对应</t>
        </r>
        <r>
          <rPr>
            <sz val="9"/>
            <color rgb="FF000000"/>
            <rFont val="宋体"/>
            <family val="3"/>
            <charset val="134"/>
          </rPr>
          <t xml:space="preserve">
</t>
        </r>
      </text>
    </comment>
    <comment ref="E9" authorId="1">
      <text>
        <r>
          <rPr>
            <sz val="11"/>
            <color rgb="FF000000"/>
            <rFont val="宋体"/>
            <family val="3"/>
            <charset val="134"/>
          </rPr>
          <t>如为车库或仓储，需录入地上主用途的土地级别</t>
        </r>
        <r>
          <rPr>
            <sz val="10"/>
            <color rgb="FF000000"/>
            <rFont val="楷体_GB2312"/>
            <charset val="134"/>
          </rPr>
          <t xml:space="preserve">
</t>
        </r>
      </text>
    </comment>
    <comment ref="C10" authorId="0">
      <text>
        <r>
          <rPr>
            <sz val="10"/>
            <color rgb="FF000000"/>
            <rFont val="宋体"/>
            <family val="3"/>
            <charset val="134"/>
          </rPr>
          <t>是否为原户型，有何调整</t>
        </r>
        <r>
          <rPr>
            <sz val="9"/>
            <color rgb="FF000000"/>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rgb="FF000000"/>
            <rFont val="宋体"/>
            <family val="3"/>
            <charset val="134"/>
          </rPr>
          <t>无租约或未采用租约，此处不可有值</t>
        </r>
        <r>
          <rPr>
            <sz val="8"/>
            <color rgb="FF000000"/>
            <rFont val="宋体"/>
            <family val="3"/>
            <charset val="134"/>
          </rPr>
          <t xml:space="preserve">
</t>
        </r>
      </text>
    </comment>
    <comment ref="A42" authorId="1">
      <text>
        <r>
          <rPr>
            <b/>
            <sz val="12"/>
            <color rgb="FF000000"/>
            <rFont val="宋体"/>
            <family val="3"/>
            <charset val="134"/>
          </rPr>
          <t>按套计取租金时，在此录入套数</t>
        </r>
        <r>
          <rPr>
            <sz val="9"/>
            <color rgb="FF000000"/>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3" authorId="1">
      <text>
        <r>
          <rPr>
            <sz val="11"/>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6" authorId="1">
      <text>
        <r>
          <rPr>
            <sz val="11"/>
            <color rgb="FF000000"/>
            <rFont val="宋体"/>
            <family val="3"/>
            <charset val="134"/>
          </rPr>
          <t>采用租约时，尽量不选用收益还原法</t>
        </r>
        <r>
          <rPr>
            <sz val="9"/>
            <color rgb="FF000000"/>
            <rFont val="宋体"/>
            <family val="3"/>
            <charset val="134"/>
          </rPr>
          <t xml:space="preserve">
</t>
        </r>
      </text>
    </comment>
    <comment ref="I57" authorId="1">
      <text>
        <r>
          <rPr>
            <sz val="11"/>
            <color rgb="FF000000"/>
            <rFont val="宋体"/>
            <family val="3"/>
            <charset val="134"/>
          </rPr>
          <t>在建项目选择“是”</t>
        </r>
        <r>
          <rPr>
            <sz val="9"/>
            <color rgb="FF000000"/>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<sst xmlns="http://schemas.openxmlformats.org/spreadsheetml/2006/main" count="7233" uniqueCount="2946">
  <si>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</si>
  <si>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</si>
  <si>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</si>
  <si>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</si>
  <si>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</si>
  <si>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</si>
  <si>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</si>
  <si>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</si>
  <si>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</si>
  <si>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</si>
  <si>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</si>
  <si>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</si>
  <si>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</si>
  <si>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</si>
  <si>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</si>
  <si>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</si>
  <si>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</si>
  <si>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</si>
  <si>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</si>
  <si>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</si>
  <si>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</si>
  <si>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</si>
  <si>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</si>
  <si>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</si>
  <si>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</si>
  <si>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</si>
  <si>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</si>
  <si>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</si>
  <si>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</si>
  <si>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</si>
  <si>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</si>
  <si>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</si>
  <si>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</si>
  <si>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</si>
  <si>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</si>
  <si>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</si>
  <si>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</si>
  <si>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</si>
  <si>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</si>
  <si>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</si>
  <si>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</si>
  <si>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</si>
  <si>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</si>
  <si>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</si>
  <si>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</si>
  <si>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</si>
  <si>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</si>
  <si>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</si>
  <si>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</si>
  <si>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</si>
  <si>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</si>
  <si>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</si>
  <si>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</si>
  <si>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</si>
  <si>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</si>
  <si>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</si>
  <si>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</si>
  <si>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</si>
  <si>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</si>
  <si>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</si>
  <si>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</si>
  <si>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</si>
  <si>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</si>
  <si>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4" type="noConversion"/>
  </si>
  <si>
    <t>地下公共配套设施</t>
    <phoneticPr fontId="34" type="noConversion"/>
  </si>
  <si>
    <t>地上物业管理用房</t>
    <phoneticPr fontId="34" type="noConversion"/>
  </si>
  <si>
    <t>地下设备及其他</t>
    <phoneticPr fontId="34" type="noConversion"/>
  </si>
  <si>
    <t>分摊土地面积</t>
    <phoneticPr fontId="34" type="noConversion"/>
  </si>
  <si>
    <t>建筑面积</t>
    <phoneticPr fontId="34" type="noConversion"/>
  </si>
  <si>
    <t>面积合计</t>
    <phoneticPr fontId="34"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</si>
  <si>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</si>
  <si>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</si>
  <si>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</si>
  <si>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</si>
  <si>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</si>
  <si>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</si>
  <si>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</si>
  <si>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</si>
  <si>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</si>
  <si>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</si>
  <si>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</si>
  <si>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</si>
  <si>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</si>
  <si>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</si>
  <si>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</si>
  <si>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</si>
  <si>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</si>
  <si>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</si>
  <si>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</si>
  <si>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</si>
  <si>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</si>
  <si>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</si>
  <si>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</si>
  <si>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</si>
  <si>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</si>
  <si>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</si>
  <si>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</si>
  <si>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</si>
  <si>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</si>
  <si>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</si>
  <si>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</si>
  <si>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</si>
  <si>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</si>
  <si>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</si>
  <si>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</si>
  <si>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</si>
  <si>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</si>
  <si>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</si>
  <si>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</si>
  <si>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</si>
  <si>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</si>
  <si>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</si>
  <si>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</si>
  <si>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</si>
  <si>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</si>
  <si>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</si>
  <si>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</si>
  <si>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</si>
  <si>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</si>
  <si>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</si>
  <si>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</si>
  <si>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</si>
  <si>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</si>
  <si>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</si>
  <si>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</si>
  <si>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</si>
  <si>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</si>
  <si>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</si>
  <si>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</si>
  <si>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</si>
  <si>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</si>
  <si>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</si>
  <si>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</si>
  <si>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</si>
  <si>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</si>
  <si>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</si>
  <si>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</si>
  <si>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</si>
  <si>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</si>
  <si>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</si>
  <si>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</si>
  <si>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</si>
  <si>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</si>
  <si>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</si>
  <si>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</si>
  <si>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</si>
  <si>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</si>
  <si>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</si>
  <si>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</si>
  <si>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</si>
  <si>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</si>
  <si>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</si>
  <si>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</si>
  <si>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</si>
  <si>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</si>
  <si>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</si>
  <si>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</si>
  <si>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</si>
  <si>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</si>
  <si>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</si>
  <si>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</si>
  <si>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</si>
  <si>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</si>
  <si>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</si>
  <si>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</si>
  <si>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</si>
  <si>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</si>
  <si>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</si>
  <si>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</si>
  <si>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</si>
  <si>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</si>
  <si>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</si>
  <si>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</si>
  <si>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</si>
  <si>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</si>
  <si>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</si>
  <si>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</si>
  <si>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</si>
  <si>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</si>
  <si>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</si>
  <si>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</si>
  <si>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</si>
  <si>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</si>
  <si>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</si>
  <si>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</si>
  <si>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</si>
  <si>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</si>
  <si>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</si>
  <si>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</si>
  <si>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</si>
  <si>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</si>
  <si>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</si>
  <si>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</si>
  <si>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</si>
  <si>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</si>
  <si>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</si>
  <si>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</si>
  <si>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</si>
  <si>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</si>
  <si>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</si>
  <si>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</si>
  <si>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</si>
  <si>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</si>
  <si>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</si>
  <si>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</si>
  <si>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</si>
  <si>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</si>
  <si>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</si>
  <si>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</si>
  <si>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</si>
  <si>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</si>
  <si>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</si>
  <si>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</si>
  <si>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</si>
  <si>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</si>
  <si>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</si>
  <si>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</si>
  <si>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</si>
  <si>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</si>
  <si>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</si>
  <si>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</si>
  <si>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</si>
  <si>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</si>
  <si>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</si>
  <si>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</si>
  <si>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</si>
  <si>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</si>
  <si>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</si>
  <si>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</si>
  <si>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</si>
  <si>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</si>
  <si>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</si>
  <si>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</si>
  <si>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</si>
  <si>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</si>
  <si>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</si>
  <si>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</si>
  <si>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</si>
  <si>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</si>
  <si>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</si>
  <si>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</si>
  <si>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</si>
  <si>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</si>
  <si>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</si>
  <si>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</si>
  <si>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</si>
  <si>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</si>
  <si>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</si>
  <si>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</si>
  <si>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</si>
  <si>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</si>
  <si>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</si>
  <si>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</si>
  <si>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</si>
  <si>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</si>
  <si>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</si>
  <si>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</si>
  <si>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</si>
  <si>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</si>
  <si>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</si>
  <si>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</si>
  <si>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</si>
  <si>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</si>
  <si>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</si>
  <si>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</si>
  <si>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</si>
  <si>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</si>
  <si>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</si>
  <si>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</si>
  <si>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</si>
  <si>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</si>
  <si>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</si>
  <si>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</si>
  <si>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</si>
  <si>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</si>
  <si>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</si>
  <si>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</si>
  <si>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</si>
  <si>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</si>
  <si>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</si>
  <si>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</si>
  <si>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</si>
  <si>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</si>
  <si>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</si>
  <si>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</si>
  <si>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</si>
  <si>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</si>
  <si>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</si>
  <si>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</si>
  <si>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</si>
  <si>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</si>
  <si>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</si>
  <si>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</si>
  <si>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</si>
  <si>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</si>
  <si>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</si>
  <si>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</si>
  <si>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</si>
  <si>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</si>
  <si>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</si>
  <si>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</si>
  <si>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</si>
  <si>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</si>
  <si>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</si>
  <si>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</si>
  <si>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</si>
  <si>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</si>
  <si>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</si>
  <si>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</si>
  <si>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</si>
  <si>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</si>
  <si>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</si>
  <si>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</si>
  <si>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</si>
  <si>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</si>
  <si>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</si>
  <si>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</si>
  <si>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</si>
  <si>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</si>
  <si>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</si>
  <si>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</si>
  <si>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</si>
  <si>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</si>
  <si>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</si>
  <si>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</si>
  <si>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</si>
  <si>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</si>
  <si>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</si>
  <si>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</si>
  <si>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</si>
  <si>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</si>
  <si>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</si>
  <si>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</si>
  <si>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</si>
  <si>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</si>
  <si>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</si>
  <si>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</si>
  <si>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</si>
  <si>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</si>
  <si>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</si>
  <si>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</si>
  <si>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</si>
  <si>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</si>
  <si>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</si>
  <si>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</si>
  <si>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</si>
  <si>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</si>
  <si>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</si>
  <si>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</si>
  <si>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</si>
  <si>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</si>
  <si>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</si>
  <si>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</si>
  <si>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</si>
  <si>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</si>
  <si>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</si>
  <si>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</si>
  <si>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</si>
  <si>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</si>
  <si>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</si>
  <si>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</si>
  <si>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</si>
  <si>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</si>
  <si>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</si>
  <si>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</si>
  <si>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</si>
  <si>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</si>
  <si>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</si>
  <si>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</si>
  <si>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</si>
  <si>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</si>
  <si>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</si>
  <si>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</si>
  <si>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</si>
  <si>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</si>
  <si>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</si>
  <si>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</si>
  <si>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</si>
  <si>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</si>
  <si>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</si>
  <si>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</si>
  <si>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</si>
  <si>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</si>
  <si>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</si>
  <si>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</si>
  <si>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</si>
  <si>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</si>
  <si>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</si>
  <si>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</si>
  <si>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</si>
  <si>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</si>
  <si>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</si>
  <si>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</si>
  <si>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</si>
  <si>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</si>
  <si>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</si>
  <si>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</si>
  <si>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</si>
  <si>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</si>
  <si>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</si>
  <si>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</si>
  <si>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</si>
  <si>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</si>
  <si>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</si>
  <si>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</si>
  <si>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</si>
  <si>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</si>
  <si>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</si>
  <si>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</si>
  <si>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</si>
  <si>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</si>
  <si>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</si>
  <si>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</si>
  <si>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</si>
  <si>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</si>
  <si>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</si>
  <si>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</si>
  <si>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</si>
  <si>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</si>
  <si>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</si>
  <si>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</si>
  <si>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</si>
  <si>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</si>
  <si>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</si>
  <si>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</si>
  <si>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</si>
  <si>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</si>
  <si>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</si>
  <si>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</si>
  <si>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</si>
  <si>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</si>
  <si>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</si>
  <si>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</si>
  <si>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</si>
  <si>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</si>
  <si>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</si>
  <si>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</si>
  <si>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</si>
  <si>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</si>
  <si>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</si>
  <si>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</si>
  <si>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</si>
  <si>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</si>
  <si>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</si>
  <si>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</si>
  <si>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</si>
  <si>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</si>
  <si>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</si>
  <si>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</si>
  <si>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</si>
  <si>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</si>
  <si>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</si>
  <si>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</si>
  <si>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</si>
  <si>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</si>
  <si>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</si>
  <si>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</si>
  <si>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</si>
  <si>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</si>
  <si>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</si>
  <si>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</si>
  <si>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</si>
  <si>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</si>
  <si>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</si>
  <si>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</si>
  <si>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</si>
  <si>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</si>
  <si>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</si>
  <si>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</si>
  <si>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</si>
  <si>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</si>
  <si>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</si>
  <si>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</si>
  <si>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</si>
  <si>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</si>
  <si>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</si>
  <si>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</si>
  <si>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</si>
  <si>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</si>
  <si>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</si>
  <si>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</si>
  <si>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</si>
  <si>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</si>
  <si>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</si>
  <si>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</si>
  <si>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</si>
  <si>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</si>
  <si>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</si>
  <si>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</si>
  <si>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</si>
  <si>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</si>
  <si>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</si>
  <si>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</si>
  <si>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</si>
  <si>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</si>
  <si>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</si>
  <si>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</si>
  <si>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</si>
  <si>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</si>
  <si>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</si>
  <si>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</si>
  <si>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</si>
  <si>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</si>
  <si>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</si>
  <si>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</si>
  <si>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</si>
  <si>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</si>
  <si>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</si>
  <si>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</si>
  <si>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</si>
  <si>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</si>
  <si>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</si>
  <si>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</si>
  <si>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</si>
  <si>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</si>
  <si>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</si>
  <si>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</si>
  <si>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</si>
  <si>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</si>
  <si>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</si>
  <si>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</si>
  <si>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</si>
  <si>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</si>
  <si>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</si>
  <si>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</si>
  <si>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</si>
  <si>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</si>
  <si>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</si>
  <si>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</si>
  <si>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</si>
  <si>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</si>
  <si>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</si>
  <si>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</si>
  <si>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</si>
  <si>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</si>
  <si>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</si>
  <si>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</si>
  <si>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</si>
  <si>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</si>
  <si>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</si>
  <si>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</si>
  <si>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</si>
  <si>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</si>
  <si>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</si>
  <si>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</si>
  <si>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</si>
  <si>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</si>
  <si>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</si>
  <si>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</si>
  <si>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</si>
  <si>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</si>
  <si>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</si>
  <si>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</si>
  <si>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</si>
  <si>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</si>
  <si>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</si>
  <si>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</si>
  <si>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</si>
  <si>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</si>
  <si>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</si>
  <si>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</si>
  <si>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</si>
  <si>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</si>
  <si>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</si>
  <si>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</si>
  <si>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</si>
  <si>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</si>
  <si>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</si>
  <si>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</si>
  <si>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</si>
  <si>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</si>
  <si>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</si>
  <si>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</si>
  <si>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</si>
  <si>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</si>
  <si>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</si>
  <si>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</si>
  <si>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</si>
  <si>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</si>
  <si>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</si>
  <si>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</si>
  <si>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</si>
  <si>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</si>
  <si>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</si>
  <si>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</si>
  <si>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</si>
  <si>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</si>
  <si>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</si>
  <si>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</si>
  <si>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</si>
  <si>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</si>
  <si>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</si>
  <si>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</si>
  <si>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</si>
  <si>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</si>
  <si>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</si>
  <si>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</si>
  <si>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</si>
  <si>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</si>
  <si>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</si>
  <si>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</si>
  <si>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</si>
  <si>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</si>
  <si>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</si>
  <si>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</si>
  <si>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</si>
  <si>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</si>
  <si>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</si>
  <si>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</si>
  <si>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</si>
  <si>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</si>
  <si>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</si>
  <si>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</si>
  <si>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</si>
  <si>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</si>
  <si>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</si>
  <si>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</si>
  <si>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</si>
  <si>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</si>
  <si>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</si>
  <si>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</si>
  <si>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</si>
  <si>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</si>
  <si>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</si>
  <si>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</si>
  <si>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</si>
  <si>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</si>
  <si>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</si>
  <si>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</si>
  <si>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</si>
  <si>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</si>
  <si>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</si>
  <si>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</si>
  <si>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</si>
  <si>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</si>
  <si>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</si>
  <si>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</si>
  <si>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</si>
  <si>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</si>
  <si>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</si>
  <si>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</si>
  <si>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</si>
  <si>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</si>
  <si>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</si>
  <si>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</si>
  <si>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</si>
  <si>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</si>
  <si>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</si>
  <si>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</si>
  <si>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</si>
  <si>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</si>
  <si>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</si>
  <si>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</si>
  <si>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</si>
  <si>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</si>
  <si>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</si>
  <si>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</si>
  <si>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</si>
  <si>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</si>
  <si>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</si>
  <si>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</si>
  <si>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</si>
  <si>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</si>
  <si>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</si>
  <si>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</si>
  <si>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</si>
  <si>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</si>
  <si>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</si>
  <si>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</si>
  <si>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</si>
  <si>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</si>
  <si>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</si>
  <si>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</si>
  <si>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</si>
  <si>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</si>
  <si>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</si>
  <si>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</si>
  <si>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</si>
  <si>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</si>
  <si>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</si>
  <si>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</si>
  <si>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</si>
  <si>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</si>
  <si>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</si>
  <si>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</si>
  <si>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</si>
  <si>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</si>
  <si>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</si>
  <si>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</si>
  <si>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</si>
  <si>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</si>
  <si>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</si>
  <si>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</si>
  <si>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</si>
  <si>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</si>
  <si>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</si>
  <si>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</si>
  <si>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</si>
  <si>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</si>
  <si>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</si>
  <si>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</si>
  <si>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</si>
  <si>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</si>
  <si>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</si>
  <si>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</si>
  <si>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</si>
  <si>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</si>
  <si>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</si>
  <si>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</si>
  <si>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</si>
  <si>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</si>
  <si>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</si>
  <si>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</si>
  <si>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</si>
  <si>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</si>
  <si>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</si>
  <si>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</si>
  <si>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</si>
  <si>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</si>
  <si>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</si>
  <si>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</si>
  <si>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</si>
  <si>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</si>
  <si>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</si>
  <si>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</si>
  <si>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</si>
  <si>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</si>
  <si>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</si>
  <si>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</si>
  <si>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</si>
  <si>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2"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</si>
  <si>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</si>
  <si>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</si>
  <si>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</si>
  <si>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</si>
  <si>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</si>
  <si>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</si>
  <si>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2" type="noConversion"/>
  </si>
  <si>
    <t>宗地形状不规则，但对宗地利用影响较小</t>
    <phoneticPr fontId="72" type="noConversion"/>
  </si>
  <si>
    <t>临近区域中心，距离小于500米</t>
    <phoneticPr fontId="72"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</si>
  <si>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</si>
  <si>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</si>
  <si>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</si>
  <si>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</si>
  <si>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</si>
  <si>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</si>
  <si>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</si>
  <si>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</si>
  <si>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</si>
  <si>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</si>
  <si>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</si>
  <si>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</si>
  <si>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</si>
  <si>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</si>
  <si>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</si>
  <si>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</si>
  <si>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</si>
  <si>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</si>
  <si>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</si>
  <si>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</si>
  <si>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</si>
  <si>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</si>
  <si>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</si>
  <si>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</si>
  <si>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</si>
  <si>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</si>
  <si>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</si>
  <si>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</si>
  <si>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</si>
  <si>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</si>
  <si>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</si>
  <si>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</si>
  <si>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78" type="noConversion"/>
  </si>
  <si>
    <t>土地估价师及注册号</t>
    <phoneticPr fontId="78" type="noConversion"/>
  </si>
  <si>
    <t>估价结果：</t>
    <phoneticPr fontId="81" type="noConversion"/>
  </si>
  <si>
    <t>建筑面积（平方米）</t>
    <phoneticPr fontId="8" type="noConversion"/>
  </si>
  <si>
    <t>1.房地产价值</t>
    <phoneticPr fontId="81" type="noConversion"/>
  </si>
  <si>
    <t>XX</t>
  </si>
  <si>
    <t>——</t>
    <phoneticPr fontId="83"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</si>
  <si>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</si>
  <si>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</si>
  <si>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</si>
  <si>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</si>
  <si>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</si>
  <si>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</si>
  <si>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</si>
  <si>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</si>
  <si>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</si>
  <si>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</si>
  <si>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</si>
  <si>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</si>
  <si>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</si>
  <si>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</si>
  <si>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</si>
  <si>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</si>
  <si>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</si>
  <si>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</si>
  <si>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</si>
  <si>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</si>
  <si>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</si>
  <si>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</si>
  <si>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</si>
  <si>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</si>
  <si>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</si>
  <si>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</si>
  <si>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</si>
  <si>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</si>
  <si>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</si>
  <si>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</si>
  <si>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</si>
  <si>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</si>
  <si>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</si>
  <si>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</si>
  <si>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</si>
  <si>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</si>
  <si>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</si>
  <si>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</si>
  <si>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</si>
  <si>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</si>
  <si>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</si>
  <si>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</si>
  <si>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</si>
  <si>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</si>
  <si>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</si>
  <si>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</si>
  <si>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</si>
  <si>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</si>
  <si>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</si>
  <si>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</si>
  <si>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</si>
  <si>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</si>
  <si>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</si>
  <si>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</si>
  <si>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</si>
  <si>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</si>
  <si>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</si>
  <si>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</si>
  <si>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</si>
  <si>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</si>
  <si>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</si>
  <si>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</si>
  <si>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</si>
  <si>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</si>
  <si>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</si>
  <si>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</si>
  <si>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</si>
  <si>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</si>
  <si>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</si>
  <si>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</si>
  <si>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</si>
  <si>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</si>
  <si>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</si>
  <si>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</si>
  <si>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</si>
  <si>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</si>
  <si>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</si>
  <si>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</si>
  <si>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</si>
  <si>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</si>
  <si>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</si>
  <si>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</si>
  <si>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</si>
  <si>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</si>
  <si>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</si>
  <si>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</si>
  <si>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</si>
  <si>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</si>
  <si>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</si>
  <si>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</si>
  <si>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</si>
  <si>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</si>
  <si>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</si>
  <si>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</si>
  <si>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</si>
  <si>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</si>
  <si>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</si>
  <si>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</si>
  <si>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</si>
  <si>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</si>
  <si>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</si>
  <si>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</si>
  <si>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</si>
  <si>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</si>
  <si>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</si>
  <si>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</si>
  <si>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</si>
  <si>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</si>
  <si>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</si>
  <si>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</si>
  <si>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</si>
  <si>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</si>
  <si>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</si>
  <si>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</si>
  <si>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</si>
  <si>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</si>
  <si>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</si>
  <si>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</si>
  <si>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</si>
  <si>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</si>
  <si>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</si>
  <si>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</si>
  <si>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</si>
  <si>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</si>
  <si>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</si>
  <si>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</si>
  <si>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</si>
  <si>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</si>
  <si>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</si>
  <si>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</si>
  <si>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</si>
  <si>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</si>
  <si>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</si>
  <si>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</si>
  <si>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</si>
  <si>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</si>
  <si>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</si>
  <si>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</si>
  <si>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</si>
  <si>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</si>
  <si>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</si>
  <si>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</si>
  <si>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</si>
  <si>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</si>
  <si>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</si>
  <si>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</si>
  <si>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</si>
  <si>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</si>
  <si>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</si>
  <si>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</si>
  <si>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</si>
  <si>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</si>
  <si>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</si>
  <si>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</si>
  <si>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</si>
  <si>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</si>
  <si>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</si>
  <si>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</si>
  <si>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</si>
  <si>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</si>
  <si>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78" type="noConversion"/>
  </si>
  <si>
    <t xml:space="preserve">— </t>
    <phoneticPr fontId="78"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</si>
  <si>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</si>
  <si>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</si>
  <si>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</si>
  <si>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</si>
  <si>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</si>
  <si>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</si>
  <si>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4" type="noConversion"/>
  </si>
  <si>
    <t>B</t>
    <phoneticPr fontId="134"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</si>
  <si>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</si>
  <si>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</si>
  <si>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</si>
  <si>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</si>
  <si>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</si>
  <si>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</si>
  <si>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</si>
  <si>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</si>
  <si>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</si>
  <si>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</si>
  <si>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</si>
  <si>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</si>
  <si>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</si>
  <si>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</si>
  <si>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</si>
  <si>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</si>
  <si>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</si>
  <si>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</si>
  <si>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</si>
  <si>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</si>
  <si>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</si>
  <si>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</si>
  <si>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</si>
  <si>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</si>
  <si>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</si>
  <si>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</si>
  <si>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</si>
  <si>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</si>
  <si>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</si>
  <si>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</si>
  <si>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</si>
  <si>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</si>
  <si>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</si>
  <si>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</si>
  <si>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</si>
  <si>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</si>
  <si>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</si>
  <si>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</si>
  <si>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</si>
  <si>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</si>
  <si>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</si>
  <si>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</si>
  <si>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</si>
  <si>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</si>
  <si>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</si>
  <si>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</si>
  <si>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</si>
  <si>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</si>
  <si>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</si>
  <si>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</si>
  <si>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</si>
  <si>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</si>
  <si>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</si>
  <si>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</si>
  <si>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</si>
  <si>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</si>
  <si>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</si>
  <si>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</si>
  <si>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</si>
  <si>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</si>
  <si>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</si>
  <si>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</si>
  <si>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</si>
  <si>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</si>
  <si>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</si>
  <si>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</si>
  <si>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</si>
  <si>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</si>
  <si>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</si>
  <si>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</si>
  <si>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</si>
  <si>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6" type="noConversion"/>
  </si>
  <si>
    <r>
      <rPr>
        <b/>
        <sz val="10"/>
        <color theme="1"/>
        <rFont val="楷体_GB2312"/>
        <family val="2"/>
        <charset val="134"/>
      </rPr>
      <t>公示增长率</t>
    </r>
    <phoneticPr fontId="146" type="noConversion"/>
  </si>
  <si>
    <r>
      <rPr>
        <b/>
        <sz val="10"/>
        <color theme="1"/>
        <rFont val="楷体_GB2312"/>
        <family val="2"/>
        <charset val="134"/>
      </rPr>
      <t>核算至百分数</t>
    </r>
    <phoneticPr fontId="146" type="noConversion"/>
  </si>
  <si>
    <r>
      <rPr>
        <b/>
        <sz val="10"/>
        <color theme="1"/>
        <rFont val="楷体_GB2312"/>
        <family val="2"/>
        <charset val="134"/>
      </rPr>
      <t>验证</t>
    </r>
    <phoneticPr fontId="146" type="noConversion"/>
  </si>
  <si>
    <t>季度连乘</t>
    <phoneticPr fontId="143" type="noConversion"/>
  </si>
  <si>
    <t>平均增幅</t>
    <phoneticPr fontId="143"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</si>
  <si>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</si>
  <si>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</si>
  <si>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</si>
  <si>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</si>
  <si>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</si>
  <si>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</si>
  <si>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</si>
  <si>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</si>
  <si>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</si>
  <si>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</si>
  <si>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</si>
  <si>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</si>
  <si>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</si>
  <si>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</si>
  <si>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</si>
  <si>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</si>
  <si>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</si>
  <si>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</si>
  <si>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</si>
  <si>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</si>
  <si>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</si>
  <si>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</si>
  <si>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</si>
  <si>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</si>
  <si>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</si>
  <si>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</si>
  <si>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</si>
  <si>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</si>
  <si>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</si>
  <si>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</si>
  <si>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</si>
  <si>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</si>
  <si>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</si>
  <si>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</si>
  <si>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</si>
  <si>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</si>
  <si>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</si>
  <si>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</si>
  <si>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</si>
  <si>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</si>
  <si>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</si>
  <si>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</si>
  <si>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</si>
  <si>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</si>
  <si>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</si>
  <si>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</si>
  <si>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</si>
  <si>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</si>
  <si>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</si>
  <si>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</si>
  <si>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</si>
  <si>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</si>
  <si>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</si>
  <si>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</si>
  <si>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</si>
  <si>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</si>
  <si>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</si>
  <si>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</si>
  <si>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</si>
  <si>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</si>
  <si>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</si>
  <si>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</si>
  <si>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</si>
  <si>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</si>
  <si>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</si>
  <si>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</si>
  <si>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</si>
  <si>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</si>
  <si>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</si>
  <si>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</si>
  <si>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</si>
  <si>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</si>
  <si>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</si>
  <si>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</si>
  <si>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致函-估价对象</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</si>
  <si>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</si>
  <si>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</si>
  <si>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</si>
  <si>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46" type="noConversion"/>
  </si>
  <si>
    <t>致函-价值类型-抵押</t>
    <phoneticPr fontId="146" type="noConversion"/>
  </si>
  <si>
    <t>致函-价值类型-优先受偿</t>
    <phoneticPr fontId="146" type="noConversion"/>
  </si>
  <si>
    <t>致函-价值类型-净值</t>
    <phoneticPr fontId="146" type="noConversion"/>
  </si>
  <si>
    <t>致函-估价方法</t>
    <phoneticPr fontId="146" type="noConversion"/>
  </si>
  <si>
    <t>致函-估价结果</t>
    <phoneticPr fontId="143" type="noConversion"/>
  </si>
  <si>
    <t>致函-估价结果-表1-名称</t>
    <phoneticPr fontId="146" type="noConversion"/>
  </si>
  <si>
    <t>致函-估价结果-表1-建筑面积</t>
    <phoneticPr fontId="146" type="noConversion"/>
  </si>
  <si>
    <t>致函-估价结果-表1-总</t>
    <phoneticPr fontId="146" type="noConversion"/>
  </si>
  <si>
    <t>致函-估价结果-表1-单</t>
    <phoneticPr fontId="146" type="noConversion"/>
  </si>
  <si>
    <t>致函-估价结果-表1-大</t>
    <phoneticPr fontId="146" type="noConversion"/>
  </si>
  <si>
    <t>致函-估价结果-表1-优先（大）</t>
    <phoneticPr fontId="146" type="noConversion"/>
  </si>
  <si>
    <t>致函-估价结果-表1-优先-抵押</t>
    <phoneticPr fontId="146" type="noConversion"/>
  </si>
  <si>
    <t>致函-估价结果-表1-优先-工程</t>
    <phoneticPr fontId="146" type="noConversion"/>
  </si>
  <si>
    <t>致函-估价结果-表1-优先-其他</t>
    <phoneticPr fontId="146" type="noConversion"/>
  </si>
  <si>
    <t>致函-估价结果-表1-抵押</t>
    <phoneticPr fontId="146" type="noConversion"/>
  </si>
  <si>
    <t>致函-估价结果-表1-抵押（大）</t>
    <phoneticPr fontId="146" type="noConversion"/>
  </si>
  <si>
    <t>致函-估价结果-表1-已注</t>
    <phoneticPr fontId="146" type="noConversion"/>
  </si>
  <si>
    <t>致函-估价结果-表1-已注（大）</t>
    <phoneticPr fontId="146" type="noConversion"/>
  </si>
  <si>
    <t>致函-估价结果-表1-净值</t>
    <phoneticPr fontId="146" type="noConversion"/>
  </si>
  <si>
    <t>致函-估价结果-表1-净值（单）</t>
    <phoneticPr fontId="146" type="noConversion"/>
  </si>
  <si>
    <t>致函-估价结果-表1-净值（大）</t>
    <phoneticPr fontId="146" type="noConversion"/>
  </si>
  <si>
    <t>致函-估价结果-表2-土地面积</t>
    <phoneticPr fontId="146" type="noConversion"/>
  </si>
  <si>
    <t>致函-估价结果-表2-地（总）</t>
    <phoneticPr fontId="146" type="noConversion"/>
  </si>
  <si>
    <t>致函-估价结果-表2-地（单）</t>
    <phoneticPr fontId="146" type="noConversion"/>
  </si>
  <si>
    <t>致函-估价结果-表2-地（大）</t>
    <phoneticPr fontId="146" type="noConversion"/>
  </si>
  <si>
    <t>致函-估价结果-表2-建（总）</t>
    <phoneticPr fontId="146" type="noConversion"/>
  </si>
  <si>
    <t>致函-估价结果-表2-建（单）</t>
    <phoneticPr fontId="146" type="noConversion"/>
  </si>
  <si>
    <t>致函-估价结果-表2-建（大）</t>
    <phoneticPr fontId="146" type="noConversion"/>
  </si>
  <si>
    <t>致函-特别提示-1</t>
    <phoneticPr fontId="146" type="noConversion"/>
  </si>
  <si>
    <t>致函-特别提示-2</t>
  </si>
  <si>
    <t>致函-特别提示-优先受偿-1</t>
    <phoneticPr fontId="146" type="noConversion"/>
  </si>
  <si>
    <t>致函-特别提示-优先受偿-2</t>
  </si>
  <si>
    <t>致函-特别提示-优先受偿-3</t>
  </si>
  <si>
    <t>致函-特别提示-4</t>
    <phoneticPr fontId="146"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</si>
  <si>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</si>
  <si>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</si>
  <si>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</si>
  <si>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</si>
  <si>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</si>
  <si>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</si>
  <si>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（1）已抵押担保的债权数额</t>
  </si>
  <si>
    <t>（2）拖欠的建设工程价款</t>
  </si>
  <si>
    <t>（3）其他法定优先受偿款</t>
  </si>
  <si>
    <t>致函-特别提示-优先受偿-4</t>
  </si>
  <si>
    <t>（转下页）</t>
  </si>
  <si>
    <t>致函-估价结果-表1-总（单位）</t>
    <phoneticPr fontId="146" type="noConversion"/>
  </si>
  <si>
    <t>致函-估价结果-表1-优先</t>
    <phoneticPr fontId="146" type="noConversion"/>
  </si>
  <si>
    <t>致函-估价结果-表1-优先（单位）</t>
    <phoneticPr fontId="146" type="noConversion"/>
  </si>
  <si>
    <t>结果表内容-1</t>
    <phoneticPr fontId="151" type="noConversion"/>
  </si>
  <si>
    <t>结果表内容-2</t>
    <phoneticPr fontId="151" type="noConversion"/>
  </si>
  <si>
    <t>结果表内容-3</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</si>
  <si>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6" type="noConversion"/>
  </si>
  <si>
    <t>补充-1</t>
    <phoneticPr fontId="151" type="noConversion"/>
  </si>
  <si>
    <t>补充-2</t>
  </si>
  <si>
    <t>补充-3</t>
  </si>
  <si>
    <t>估价对象</t>
    <phoneticPr fontId="81" type="noConversion"/>
  </si>
  <si>
    <t xml:space="preserve">                                   估价对象项目及结果</t>
    <phoneticPr fontId="81" type="noConversion"/>
  </si>
  <si>
    <t>大写金额</t>
    <phoneticPr fontId="81" type="noConversion"/>
  </si>
  <si>
    <t>总价</t>
    <phoneticPr fontId="81" type="noConversion"/>
  </si>
  <si>
    <t>总额</t>
    <phoneticPr fontId="81" type="noConversion"/>
  </si>
  <si>
    <t>单价</t>
    <phoneticPr fontId="81" type="noConversion"/>
  </si>
  <si>
    <t>单价</t>
    <phoneticPr fontId="81" type="noConversion"/>
  </si>
  <si>
    <t>补充-6</t>
  </si>
  <si>
    <t>补充-7</t>
  </si>
  <si>
    <t>补充-8</t>
  </si>
  <si>
    <t>补充-9</t>
  </si>
  <si>
    <t>致函-其他专业人员</t>
    <phoneticPr fontId="151" type="noConversion"/>
  </si>
  <si>
    <t>价值时点</t>
    <phoneticPr fontId="4" type="noConversion"/>
  </si>
  <si>
    <t>开发期</t>
    <phoneticPr fontId="143" type="noConversion"/>
  </si>
  <si>
    <t>贷款利率</t>
    <phoneticPr fontId="4" type="noConversion"/>
  </si>
  <si>
    <t>贷款利率</t>
    <phoneticPr fontId="143" type="noConversion"/>
  </si>
  <si>
    <t>存款利率</t>
    <phoneticPr fontId="143"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</si>
  <si>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</si>
  <si>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</si>
  <si>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</si>
  <si>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</si>
  <si>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</si>
  <si>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</si>
  <si>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</si>
  <si>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</si>
  <si>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</si>
  <si>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</si>
  <si>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</si>
  <si>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</si>
  <si>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</si>
  <si>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</si>
  <si>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</si>
  <si>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</si>
  <si>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</si>
  <si>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</si>
  <si>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</si>
  <si>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</si>
  <si>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</si>
  <si>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</si>
  <si>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</si>
  <si>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</si>
  <si>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</si>
  <si>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</si>
  <si>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</si>
  <si>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</si>
  <si>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3" type="noConversion"/>
  </si>
  <si>
    <t>此处对应收益法中未来第一年总收益</t>
    <phoneticPr fontId="143" type="noConversion"/>
  </si>
  <si>
    <t>A</t>
    <phoneticPr fontId="134" type="noConversion"/>
  </si>
  <si>
    <t>B</t>
    <phoneticPr fontId="134" type="noConversion"/>
  </si>
  <si>
    <t>C</t>
    <phoneticPr fontId="134" type="noConversion"/>
  </si>
  <si>
    <t>D</t>
    <phoneticPr fontId="134" type="noConversion"/>
  </si>
  <si>
    <t>E</t>
    <phoneticPr fontId="134"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</si>
  <si>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</si>
  <si>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</si>
  <si>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</si>
  <si>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</si>
  <si>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</si>
  <si>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</si>
  <si>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</si>
  <si>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</si>
  <si>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</si>
  <si>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</si>
  <si>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</si>
  <si>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</si>
  <si>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</si>
  <si>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</si>
  <si>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</si>
  <si>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</si>
  <si>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</si>
  <si>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</si>
  <si>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</si>
  <si>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</si>
  <si>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</si>
  <si>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</si>
  <si>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</si>
  <si>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</si>
  <si>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</si>
  <si>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</si>
  <si>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3" type="noConversion"/>
  </si>
  <si>
    <t>重置成新价</t>
    <phoneticPr fontId="143" type="noConversion"/>
  </si>
  <si>
    <t>——</t>
  </si>
  <si>
    <t>致函-估价结果-表1-已注（单）</t>
    <phoneticPr fontId="146" type="noConversion"/>
  </si>
  <si>
    <t>致函-估价结果-表1-抵押（单）</t>
    <phoneticPr fontId="146" type="noConversion"/>
  </si>
  <si>
    <t>补充-4-致函-估价结果-表1-抵押（单）</t>
    <phoneticPr fontId="151" type="noConversion"/>
  </si>
  <si>
    <t>补充-5-致函-估价结果-表1-已注（单）</t>
    <phoneticPr fontId="15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</si>
  <si>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</si>
  <si>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</si>
  <si>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</si>
  <si>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</si>
  <si>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</si>
  <si>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</si>
  <si>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78"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</si>
  <si>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78" type="noConversion"/>
  </si>
  <si>
    <r>
      <rPr>
        <b/>
        <sz val="18"/>
        <color theme="1"/>
        <rFont val="宋体"/>
        <family val="3"/>
        <charset val="134"/>
      </rPr>
      <t>评估意见函</t>
    </r>
    <phoneticPr fontId="78"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</si>
  <si>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</si>
  <si>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78" type="noConversion"/>
  </si>
  <si>
    <r>
      <rPr>
        <b/>
        <sz val="14"/>
        <color theme="1"/>
        <rFont val="宋体"/>
        <family val="3"/>
        <charset val="134"/>
      </rPr>
      <t>价值时点：</t>
    </r>
    <phoneticPr fontId="78" type="noConversion"/>
  </si>
  <si>
    <r>
      <rPr>
        <b/>
        <sz val="14"/>
        <color theme="1"/>
        <rFont val="宋体"/>
        <family val="3"/>
        <charset val="134"/>
      </rPr>
      <t>价值类型：</t>
    </r>
    <phoneticPr fontId="7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</si>
  <si>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78" type="noConversion"/>
  </si>
  <si>
    <r>
      <t>单价</t>
    </r>
    <r>
      <rPr>
        <sz val="10"/>
        <color indexed="8"/>
        <rFont val="宋体"/>
        <family val="3"/>
        <charset val="134"/>
        <scheme val="minor"/>
      </rPr>
      <t>(元/平方米)</t>
    </r>
    <phoneticPr fontId="81" type="noConversion"/>
  </si>
  <si>
    <r>
      <t>结果表-1</t>
    </r>
    <r>
      <rPr>
        <b/>
        <i/>
        <sz val="12"/>
        <color theme="3" tint="0.39997558519241921"/>
        <rFont val="宋体"/>
        <family val="3"/>
        <charset val="134"/>
        <scheme val="minor"/>
      </rPr>
      <t>（有土地证）</t>
    </r>
    <phoneticPr fontId="81"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</si>
  <si>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</si>
  <si>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</si>
  <si>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</si>
  <si>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</si>
  <si>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</si>
  <si>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</si>
  <si>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</si>
  <si>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</si>
  <si>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</si>
  <si>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2"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</si>
  <si>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</si>
  <si>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</si>
  <si>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</si>
  <si>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</si>
  <si>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</si>
  <si>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3" type="noConversion"/>
  </si>
  <si>
    <r>
      <rPr>
        <sz val="14"/>
        <color theme="1"/>
        <rFont val="宋体"/>
        <family val="3"/>
        <charset val="134"/>
      </rPr>
      <t>相关资格或职称</t>
    </r>
  </si>
  <si>
    <r>
      <rPr>
        <b/>
        <sz val="14"/>
        <color theme="1"/>
        <rFont val="宋体"/>
        <family val="3"/>
        <charset val="134"/>
      </rPr>
      <t>特别提示：</t>
    </r>
    <phoneticPr fontId="81" type="noConversion"/>
  </si>
  <si>
    <r>
      <t xml:space="preserve">      </t>
    </r>
    <r>
      <rPr>
        <sz val="14"/>
        <color theme="1"/>
        <rFont val="宋体"/>
        <family val="3"/>
        <charset val="134"/>
      </rPr>
      <t>顺致</t>
    </r>
    <phoneticPr fontId="81" type="noConversion"/>
  </si>
  <si>
    <r>
      <rPr>
        <sz val="14"/>
        <color theme="1"/>
        <rFont val="宋体"/>
        <family val="3"/>
        <charset val="134"/>
      </rPr>
      <t>商祺</t>
    </r>
    <phoneticPr fontId="81" type="noConversion"/>
  </si>
  <si>
    <r>
      <rPr>
        <sz val="14"/>
        <color theme="1"/>
        <rFont val="宋体"/>
        <family val="3"/>
        <charset val="134"/>
      </rPr>
      <t>北京康正宏基房地产评估有限公司</t>
    </r>
    <phoneticPr fontId="81"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</si>
  <si>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3"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</si>
  <si>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3"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</si>
  <si>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1"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</si>
  <si>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</si>
  <si>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</si>
  <si>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</si>
  <si>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</si>
  <si>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</si>
  <si>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</si>
  <si>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</si>
  <si>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</si>
  <si>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4"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</si>
  <si>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</si>
  <si>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4"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</si>
  <si>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</si>
  <si>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4"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</si>
  <si>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</si>
  <si>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</si>
  <si>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</si>
  <si>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</si>
  <si>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</si>
  <si>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</si>
  <si>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</si>
  <si>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</si>
  <si>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</si>
  <si>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</si>
  <si>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</si>
  <si>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</si>
  <si>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</si>
  <si>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</si>
  <si>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</si>
  <si>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</si>
  <si>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</si>
  <si>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4"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</si>
  <si>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</si>
  <si>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</si>
  <si>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4"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</si>
  <si>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</si>
  <si>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</si>
  <si>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</si>
  <si>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</si>
  <si>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</si>
  <si>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</si>
  <si>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</si>
  <si>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</si>
  <si>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</si>
  <si>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</si>
  <si>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4"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</si>
  <si>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</si>
  <si>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</si>
  <si>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4"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</si>
  <si>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</si>
  <si>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</si>
  <si>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</si>
  <si>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</si>
  <si>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</si>
  <si>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</si>
  <si>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4" type="noConversion"/>
  </si>
  <si>
    <r>
      <rPr>
        <b/>
        <sz val="11"/>
        <color indexed="8"/>
        <rFont val="宋体"/>
        <family val="3"/>
        <charset val="134"/>
      </rPr>
      <t>利润</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</si>
  <si>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</si>
  <si>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</si>
  <si>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</si>
  <si>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4"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</si>
  <si>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</si>
  <si>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4"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</si>
  <si>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</si>
  <si>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</si>
  <si>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</si>
  <si>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</si>
  <si>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</si>
  <si>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</si>
  <si>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</si>
  <si>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</si>
  <si>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</si>
  <si>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</si>
  <si>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</si>
  <si>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</si>
  <si>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</si>
  <si>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</si>
  <si>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</si>
  <si>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</si>
  <si>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</si>
  <si>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</si>
  <si>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</si>
  <si>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</si>
  <si>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</si>
  <si>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</si>
  <si>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</si>
  <si>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</si>
  <si>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</si>
  <si>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</si>
  <si>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</si>
  <si>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</si>
  <si>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</si>
  <si>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</si>
  <si>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</si>
  <si>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</si>
  <si>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</si>
  <si>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</si>
  <si>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</si>
  <si>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</si>
  <si>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</si>
  <si>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</si>
  <si>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</si>
  <si>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</si>
  <si>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</si>
  <si>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</si>
  <si>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</si>
  <si>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</si>
  <si>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</si>
  <si>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</si>
  <si>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</si>
  <si>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</si>
  <si>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</si>
  <si>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</si>
  <si>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</si>
  <si>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</si>
  <si>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5"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</si>
  <si>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</si>
  <si>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</si>
  <si>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</si>
  <si>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5"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</si>
  <si>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</si>
  <si>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</si>
  <si>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</si>
  <si>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</si>
  <si>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</si>
  <si>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</si>
  <si>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</si>
  <si>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</si>
  <si>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</si>
  <si>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</si>
  <si>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</si>
  <si>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</si>
  <si>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</si>
  <si>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</si>
  <si>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5"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</si>
  <si>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</si>
  <si>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</si>
  <si>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</si>
  <si>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</si>
  <si>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</si>
  <si>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</si>
  <si>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</si>
  <si>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</si>
  <si>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</si>
  <si>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</si>
  <si>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</si>
  <si>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</si>
  <si>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5"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</si>
  <si>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</si>
  <si>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</si>
  <si>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</si>
  <si>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</si>
  <si>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</si>
  <si>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</si>
  <si>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</si>
  <si>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</si>
  <si>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</si>
  <si>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</si>
  <si>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</si>
  <si>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5"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</si>
  <si>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</si>
  <si>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</si>
  <si>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</si>
  <si>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</si>
  <si>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</si>
  <si>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</si>
  <si>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</si>
  <si>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</si>
  <si>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</si>
  <si>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</si>
  <si>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5"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</si>
  <si>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</si>
  <si>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</si>
  <si>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</si>
  <si>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</si>
  <si>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</si>
  <si>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</si>
  <si>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</si>
  <si>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</si>
  <si>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</si>
  <si>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</si>
  <si>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</si>
  <si>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</si>
  <si>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</si>
  <si>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</si>
  <si>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</si>
  <si>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</si>
  <si>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</si>
  <si>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</si>
  <si>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</si>
  <si>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</si>
  <si>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</si>
  <si>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</si>
  <si>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</si>
  <si>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</si>
  <si>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</si>
  <si>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</si>
  <si>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</si>
  <si>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</si>
  <si>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</si>
  <si>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</si>
  <si>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</si>
  <si>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</si>
  <si>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</si>
  <si>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</si>
  <si>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</si>
  <si>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</si>
  <si>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</si>
  <si>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</si>
  <si>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</si>
  <si>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</si>
  <si>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</si>
  <si>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</si>
  <si>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</si>
  <si>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</si>
  <si>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</si>
  <si>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</si>
  <si>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</si>
  <si>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</si>
  <si>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</si>
  <si>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</si>
  <si>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</si>
  <si>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</si>
  <si>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</si>
  <si>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</si>
  <si>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3" type="noConversion"/>
  </si>
  <si>
    <r>
      <rPr>
        <sz val="11"/>
        <color indexed="8"/>
        <rFont val="宋体"/>
        <family val="3"/>
        <charset val="134"/>
      </rPr>
      <t>自住商品房</t>
    </r>
    <phoneticPr fontId="33"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</si>
  <si>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</si>
  <si>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</si>
  <si>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</si>
  <si>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</si>
  <si>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</si>
  <si>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</si>
  <si>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</si>
  <si>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0" type="noConversion"/>
  </si>
  <si>
    <r>
      <rPr>
        <sz val="11"/>
        <color theme="1"/>
        <rFont val="宋体"/>
        <family val="3"/>
        <charset val="134"/>
      </rPr>
      <t>房地产抵押价值</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</si>
  <si>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</si>
  <si>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</si>
  <si>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</si>
  <si>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</si>
  <si>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</si>
  <si>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</si>
  <si>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</si>
  <si>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</si>
  <si>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</si>
  <si>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</si>
  <si>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</si>
  <si>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</si>
  <si>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</si>
  <si>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</si>
  <si>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</si>
  <si>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</si>
  <si>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</si>
  <si>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</si>
  <si>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</si>
  <si>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</si>
  <si>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</si>
  <si>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</si>
  <si>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</si>
  <si>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</si>
  <si>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</si>
  <si>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</si>
  <si>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</si>
  <si>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</si>
  <si>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</si>
  <si>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</si>
  <si>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</si>
  <si>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</si>
  <si>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</si>
  <si>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</si>
  <si>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</si>
  <si>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</si>
  <si>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</si>
  <si>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</si>
  <si>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</si>
  <si>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</si>
  <si>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</si>
  <si>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</si>
  <si>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</si>
  <si>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</si>
  <si>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</si>
  <si>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</si>
  <si>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</si>
  <si>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</si>
  <si>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</si>
  <si>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</si>
  <si>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</si>
  <si>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</si>
  <si>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</si>
  <si>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</si>
  <si>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</si>
  <si>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</si>
  <si>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</si>
  <si>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</si>
  <si>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</si>
  <si>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</si>
  <si>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</si>
  <si>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</si>
  <si>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</si>
  <si>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</si>
  <si>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</si>
  <si>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</si>
  <si>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</si>
  <si>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</si>
  <si>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</si>
  <si>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</si>
  <si>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</si>
  <si>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</si>
  <si>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</si>
  <si>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</si>
  <si>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</si>
  <si>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</si>
  <si>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</si>
  <si>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</si>
  <si>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</si>
  <si>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</si>
  <si>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</si>
  <si>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</si>
  <si>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</si>
  <si>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</si>
  <si>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</si>
  <si>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</si>
  <si>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</si>
  <si>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</si>
  <si>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</si>
  <si>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</si>
  <si>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</si>
  <si>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</si>
  <si>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</si>
  <si>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</si>
  <si>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</si>
  <si>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</si>
  <si>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</si>
  <si>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</si>
  <si>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</si>
  <si>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</si>
  <si>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</si>
  <si>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</si>
  <si>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</si>
  <si>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</si>
  <si>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</si>
  <si>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</si>
  <si>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</si>
  <si>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</si>
  <si>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</si>
  <si>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</si>
  <si>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</si>
  <si>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</si>
  <si>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</si>
  <si>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</si>
  <si>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</si>
  <si>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</si>
  <si>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</si>
  <si>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</si>
  <si>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</si>
  <si>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</si>
  <si>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</si>
  <si>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</si>
  <si>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</si>
  <si>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</si>
  <si>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</si>
  <si>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</si>
  <si>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</si>
  <si>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</si>
  <si>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</si>
  <si>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</si>
  <si>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</si>
  <si>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</si>
  <si>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</si>
  <si>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</si>
  <si>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</si>
  <si>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</si>
  <si>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</si>
  <si>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</si>
  <si>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</si>
  <si>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</si>
  <si>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</si>
  <si>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</si>
  <si>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</si>
  <si>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</si>
  <si>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</si>
  <si>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</si>
  <si>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</si>
  <si>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</si>
  <si>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</si>
  <si>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</si>
  <si>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</si>
  <si>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</si>
  <si>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</si>
  <si>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</si>
  <si>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</si>
  <si>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</si>
  <si>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</si>
  <si>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</si>
  <si>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</si>
  <si>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</si>
  <si>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</si>
  <si>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</si>
  <si>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</si>
  <si>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</si>
  <si>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</si>
  <si>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</si>
  <si>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</si>
  <si>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</si>
  <si>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</si>
  <si>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</si>
  <si>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</si>
  <si>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</si>
  <si>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</si>
  <si>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</si>
  <si>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</si>
  <si>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</si>
  <si>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</si>
  <si>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</si>
  <si>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</si>
  <si>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</si>
  <si>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</si>
  <si>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</si>
  <si>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</si>
  <si>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</si>
  <si>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</si>
  <si>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</si>
  <si>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</si>
  <si>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</si>
  <si>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</si>
  <si>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</si>
  <si>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</si>
  <si>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</si>
  <si>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</si>
  <si>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</si>
  <si>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</si>
  <si>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</si>
  <si>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</si>
  <si>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</si>
  <si>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</si>
  <si>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</si>
  <si>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</si>
  <si>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</si>
  <si>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</si>
  <si>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</si>
  <si>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</si>
  <si>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</si>
  <si>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</si>
  <si>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</si>
  <si>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</si>
  <si>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</si>
  <si>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</si>
  <si>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</si>
  <si>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</si>
  <si>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</si>
  <si>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</si>
  <si>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</si>
  <si>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</si>
  <si>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</si>
  <si>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</si>
  <si>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</si>
  <si>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</si>
  <si>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</si>
  <si>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</si>
  <si>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</si>
  <si>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</si>
  <si>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</si>
  <si>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</si>
  <si>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</si>
  <si>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</si>
  <si>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</si>
  <si>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</si>
  <si>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</si>
  <si>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</si>
  <si>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</si>
  <si>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</si>
  <si>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</si>
  <si>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</si>
  <si>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</si>
  <si>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</si>
  <si>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</si>
  <si>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</si>
  <si>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</si>
  <si>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</si>
  <si>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</si>
  <si>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</si>
  <si>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</si>
  <si>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</si>
  <si>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</si>
  <si>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</si>
  <si>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</si>
  <si>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</si>
  <si>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</si>
  <si>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</si>
  <si>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</si>
  <si>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</si>
  <si>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</si>
  <si>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</si>
  <si>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</si>
  <si>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</si>
  <si>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</si>
  <si>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</si>
  <si>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</si>
  <si>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</si>
  <si>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</si>
  <si>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</si>
  <si>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</si>
  <si>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</si>
  <si>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</si>
  <si>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</si>
  <si>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</si>
  <si>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</si>
  <si>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</si>
  <si>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</si>
  <si>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</si>
  <si>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</si>
  <si>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</si>
  <si>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</si>
  <si>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</si>
  <si>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</si>
  <si>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</si>
  <si>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</si>
  <si>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</si>
  <si>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</si>
  <si>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</si>
  <si>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</si>
  <si>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</si>
  <si>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</si>
  <si>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</si>
  <si>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</si>
  <si>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</si>
  <si>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</si>
  <si>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</si>
  <si>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</si>
  <si>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</si>
  <si>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</si>
  <si>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</si>
  <si>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</si>
  <si>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</si>
  <si>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</si>
  <si>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</si>
  <si>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</si>
  <si>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</si>
  <si>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</si>
  <si>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</si>
  <si>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</si>
  <si>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</si>
  <si>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</si>
  <si>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</si>
  <si>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</si>
  <si>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</si>
  <si>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</si>
  <si>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</si>
  <si>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</si>
  <si>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</si>
  <si>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</si>
  <si>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</si>
  <si>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</si>
  <si>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</si>
  <si>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</si>
  <si>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</si>
  <si>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</si>
  <si>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</si>
  <si>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</si>
  <si>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</si>
  <si>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</si>
  <si>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</si>
  <si>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</si>
  <si>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</si>
  <si>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</si>
  <si>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</si>
  <si>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</si>
  <si>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</si>
  <si>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</si>
  <si>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</si>
  <si>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</si>
  <si>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</si>
  <si>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</si>
  <si>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</si>
  <si>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</si>
  <si>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</si>
  <si>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</si>
  <si>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</si>
  <si>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</si>
  <si>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</si>
  <si>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</si>
  <si>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</si>
  <si>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</si>
  <si>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</si>
  <si>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</si>
  <si>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</si>
  <si>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</si>
  <si>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</si>
  <si>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</si>
  <si>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</si>
  <si>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</si>
  <si>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</si>
  <si>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</si>
  <si>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</si>
  <si>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</si>
  <si>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</si>
  <si>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7"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</si>
  <si>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</si>
  <si>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</si>
  <si>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</si>
  <si>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</si>
  <si>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</si>
  <si>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</si>
  <si>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</si>
  <si>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</si>
  <si>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</si>
  <si>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88"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</si>
  <si>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</si>
  <si>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</si>
  <si>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</si>
  <si>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88" type="noConversion"/>
  </si>
  <si>
    <r>
      <rPr>
        <b/>
        <sz val="11"/>
        <color indexed="8"/>
        <rFont val="宋体"/>
        <family val="3"/>
        <charset val="134"/>
      </rPr>
      <t>基准户型楼面单价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</si>
  <si>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</si>
  <si>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b/>
        <sz val="11"/>
        <color indexed="8"/>
        <rFont val="宋体"/>
        <family val="3"/>
        <charset val="134"/>
      </rPr>
      <t>房地产总值</t>
    </r>
    <phoneticPr fontId="88" type="noConversion"/>
  </si>
  <si>
    <r>
      <rPr>
        <b/>
        <sz val="11"/>
        <color indexed="8"/>
        <rFont val="宋体"/>
        <family val="3"/>
        <charset val="134"/>
      </rPr>
      <t>总价</t>
    </r>
    <phoneticPr fontId="88" type="noConversion"/>
  </si>
  <si>
    <r>
      <rPr>
        <b/>
        <sz val="11"/>
        <color indexed="8"/>
        <rFont val="宋体"/>
        <family val="3"/>
        <charset val="134"/>
      </rPr>
      <t>平均楼面单价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</si>
  <si>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</si>
  <si>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</si>
  <si>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</si>
  <si>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</si>
  <si>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</si>
  <si>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</si>
  <si>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</si>
  <si>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</si>
  <si>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</si>
  <si>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</si>
  <si>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</si>
  <si>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</si>
  <si>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</si>
  <si>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</si>
  <si>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</si>
  <si>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</si>
  <si>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</si>
  <si>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</si>
  <si>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</si>
  <si>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</si>
  <si>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</si>
  <si>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</si>
  <si>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</si>
  <si>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</si>
  <si>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</si>
  <si>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</si>
  <si>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</si>
  <si>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</si>
  <si>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</si>
  <si>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</si>
  <si>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</si>
  <si>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</si>
  <si>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</si>
  <si>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</si>
  <si>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</si>
  <si>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</si>
  <si>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</si>
  <si>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</si>
  <si>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</si>
  <si>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</si>
  <si>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</si>
  <si>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</si>
  <si>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</si>
  <si>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</si>
  <si>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</si>
  <si>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</si>
  <si>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</si>
  <si>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</si>
  <si>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</si>
  <si>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</si>
  <si>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</si>
  <si>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</si>
  <si>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</si>
  <si>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</si>
  <si>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</si>
  <si>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</si>
  <si>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</si>
  <si>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</si>
  <si>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</si>
  <si>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</si>
  <si>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</si>
  <si>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</si>
  <si>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</si>
  <si>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</si>
  <si>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</si>
  <si>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</si>
  <si>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</si>
  <si>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</si>
  <si>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</si>
  <si>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</si>
  <si>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</si>
  <si>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</si>
  <si>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</si>
  <si>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</si>
  <si>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</si>
  <si>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</si>
  <si>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</si>
  <si>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</si>
  <si>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</si>
  <si>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</si>
  <si>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</si>
  <si>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</si>
  <si>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</si>
  <si>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</si>
  <si>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</si>
  <si>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</si>
  <si>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</si>
  <si>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</si>
  <si>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</si>
  <si>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</si>
  <si>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</si>
  <si>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</si>
  <si>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</si>
  <si>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</si>
  <si>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</si>
  <si>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</si>
  <si>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</si>
  <si>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</si>
  <si>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</si>
  <si>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</si>
  <si>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</si>
  <si>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</si>
  <si>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</si>
  <si>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</si>
  <si>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</si>
  <si>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</si>
  <si>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</si>
  <si>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</si>
  <si>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</si>
  <si>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</si>
  <si>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</si>
  <si>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</si>
  <si>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</si>
  <si>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</si>
  <si>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</si>
  <si>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</si>
  <si>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</si>
  <si>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</si>
  <si>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</si>
  <si>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</si>
  <si>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</si>
  <si>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</si>
  <si>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</si>
  <si>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</si>
  <si>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</si>
  <si>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</si>
  <si>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</si>
  <si>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</si>
  <si>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</si>
  <si>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</si>
  <si>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</si>
  <si>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</si>
  <si>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</si>
  <si>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</si>
  <si>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</si>
  <si>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</si>
  <si>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</si>
  <si>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</si>
  <si>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</si>
  <si>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</si>
  <si>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</si>
  <si>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</si>
  <si>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</si>
  <si>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</si>
  <si>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</si>
  <si>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</si>
  <si>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</si>
  <si>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</si>
  <si>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</si>
  <si>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</si>
  <si>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</si>
  <si>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</si>
  <si>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</si>
  <si>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</si>
  <si>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</si>
  <si>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</si>
  <si>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</si>
  <si>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</si>
  <si>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</si>
  <si>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</si>
  <si>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</si>
  <si>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</si>
  <si>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</si>
  <si>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</si>
  <si>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</si>
  <si>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</si>
  <si>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</si>
  <si>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</si>
  <si>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</si>
  <si>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</si>
  <si>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</si>
  <si>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</si>
  <si>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</si>
  <si>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</si>
  <si>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</si>
  <si>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</si>
  <si>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</si>
  <si>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</si>
  <si>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</si>
  <si>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</si>
  <si>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</si>
  <si>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</si>
  <si>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</si>
  <si>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</si>
  <si>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</si>
  <si>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</si>
  <si>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</si>
  <si>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</si>
  <si>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</si>
  <si>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</si>
  <si>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</si>
  <si>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</si>
  <si>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</si>
  <si>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</si>
  <si>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</si>
  <si>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</si>
  <si>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</si>
  <si>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</si>
  <si>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</si>
  <si>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</si>
  <si>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</si>
  <si>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</si>
  <si>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</si>
  <si>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</si>
  <si>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</si>
  <si>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</si>
  <si>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</si>
  <si>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</si>
  <si>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</si>
  <si>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</si>
  <si>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</si>
  <si>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</si>
  <si>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</si>
  <si>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</si>
  <si>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</si>
  <si>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</si>
  <si>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</si>
  <si>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</si>
  <si>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</si>
  <si>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</si>
  <si>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</si>
  <si>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</si>
  <si>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</si>
  <si>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</si>
  <si>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</si>
  <si>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</si>
  <si>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</si>
  <si>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</si>
  <si>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</si>
  <si>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</si>
  <si>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</si>
  <si>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</si>
  <si>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</si>
  <si>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</si>
  <si>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</si>
  <si>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</si>
  <si>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</si>
  <si>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</si>
  <si>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</si>
  <si>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</si>
  <si>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</si>
  <si>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</si>
  <si>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</si>
  <si>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</si>
  <si>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</si>
  <si>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</si>
  <si>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</si>
  <si>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</si>
  <si>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</si>
  <si>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</si>
  <si>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</si>
  <si>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</si>
  <si>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</si>
  <si>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</si>
  <si>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</si>
  <si>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</si>
  <si>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</si>
  <si>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</si>
  <si>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</si>
  <si>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</si>
  <si>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</si>
  <si>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</si>
  <si>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</si>
  <si>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</si>
  <si>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</si>
  <si>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</si>
  <si>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</si>
  <si>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</si>
  <si>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</si>
  <si>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</si>
  <si>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</si>
  <si>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</si>
  <si>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</si>
  <si>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</si>
  <si>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</si>
  <si>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</si>
  <si>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</si>
  <si>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</si>
  <si>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</si>
  <si>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</si>
  <si>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</si>
  <si>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</si>
  <si>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</si>
  <si>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</si>
  <si>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</si>
  <si>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</si>
  <si>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</si>
  <si>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</si>
  <si>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</si>
  <si>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</si>
  <si>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</si>
  <si>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</si>
  <si>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</si>
  <si>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</si>
  <si>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</si>
  <si>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</si>
  <si>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</si>
  <si>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</si>
  <si>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</si>
  <si>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</si>
  <si>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</si>
  <si>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</si>
  <si>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</si>
  <si>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</si>
  <si>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</si>
  <si>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</si>
  <si>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</si>
  <si>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</si>
  <si>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</si>
  <si>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</si>
  <si>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</si>
  <si>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</si>
  <si>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</si>
  <si>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</si>
  <si>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</si>
  <si>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</si>
  <si>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</si>
  <si>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</si>
  <si>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</si>
  <si>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</si>
  <si>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</si>
  <si>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</si>
  <si>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</si>
  <si>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</si>
  <si>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</si>
  <si>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</si>
  <si>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</si>
  <si>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</si>
  <si>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</si>
  <si>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</si>
  <si>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</si>
  <si>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</si>
  <si>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</si>
  <si>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</si>
  <si>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</si>
  <si>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</si>
  <si>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</si>
  <si>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</si>
  <si>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</si>
  <si>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</si>
  <si>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</si>
  <si>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</si>
  <si>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</si>
  <si>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</si>
  <si>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</si>
  <si>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</si>
  <si>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</si>
  <si>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</si>
  <si>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</si>
  <si>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</si>
  <si>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</si>
  <si>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</si>
  <si>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</si>
  <si>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</si>
  <si>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</si>
  <si>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</si>
  <si>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</si>
  <si>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</si>
  <si>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</si>
  <si>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</si>
  <si>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</si>
  <si>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</si>
  <si>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</si>
  <si>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</si>
  <si>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</si>
  <si>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</si>
  <si>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</si>
  <si>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</si>
  <si>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</si>
  <si>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</si>
  <si>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</si>
  <si>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</si>
  <si>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</si>
  <si>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</si>
  <si>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</si>
  <si>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</si>
  <si>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</si>
  <si>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</si>
  <si>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</si>
  <si>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</si>
  <si>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</si>
  <si>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</si>
  <si>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</si>
  <si>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</si>
  <si>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</si>
  <si>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</si>
  <si>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</si>
  <si>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</si>
  <si>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</si>
  <si>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</si>
  <si>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</si>
  <si>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</si>
  <si>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</si>
  <si>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</si>
  <si>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</si>
  <si>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</si>
  <si>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</si>
  <si>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</si>
  <si>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</si>
  <si>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</si>
  <si>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</si>
  <si>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</si>
  <si>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</si>
  <si>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</si>
  <si>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</si>
  <si>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</si>
  <si>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</si>
  <si>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</si>
  <si>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</si>
  <si>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</si>
  <si>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</si>
  <si>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</si>
  <si>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</si>
  <si>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</si>
  <si>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</si>
  <si>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</si>
  <si>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</si>
  <si>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</si>
  <si>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</si>
  <si>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</si>
  <si>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</si>
  <si>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</si>
  <si>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</si>
  <si>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</si>
  <si>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</si>
  <si>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</si>
  <si>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</si>
  <si>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</si>
  <si>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</si>
  <si>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</si>
  <si>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</si>
  <si>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</si>
  <si>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</si>
  <si>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</si>
  <si>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</si>
  <si>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</si>
  <si>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</si>
  <si>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</si>
  <si>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</si>
  <si>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</si>
  <si>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</si>
  <si>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</si>
  <si>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</si>
  <si>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5" type="noConversion"/>
  </si>
  <si>
    <r>
      <rPr>
        <sz val="11"/>
        <color theme="1"/>
        <rFont val="宋体"/>
        <family val="3"/>
        <charset val="134"/>
      </rPr>
      <t>高层</t>
    </r>
    <phoneticPr fontId="85" type="noConversion"/>
  </si>
  <si>
    <r>
      <rPr>
        <sz val="11"/>
        <color theme="1"/>
        <rFont val="宋体"/>
        <family val="3"/>
        <charset val="134"/>
      </rPr>
      <t>无电梯</t>
    </r>
    <phoneticPr fontId="85" type="noConversion"/>
  </si>
  <si>
    <r>
      <rPr>
        <sz val="11"/>
        <color theme="1"/>
        <rFont val="宋体"/>
        <family val="3"/>
        <charset val="134"/>
      </rPr>
      <t>增值项</t>
    </r>
    <phoneticPr fontId="85" type="noConversion"/>
  </si>
  <si>
    <r>
      <rPr>
        <sz val="11"/>
        <color theme="1"/>
        <rFont val="宋体"/>
        <family val="3"/>
        <charset val="134"/>
      </rPr>
      <t>系数</t>
    </r>
    <phoneticPr fontId="85" type="noConversion"/>
  </si>
  <si>
    <r>
      <rPr>
        <sz val="11"/>
        <color theme="1"/>
        <rFont val="宋体"/>
        <family val="3"/>
        <charset val="134"/>
      </rPr>
      <t>有电梯</t>
    </r>
    <phoneticPr fontId="8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</si>
  <si>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5" type="noConversion"/>
  </si>
  <si>
    <r>
      <rPr>
        <sz val="11"/>
        <color theme="1"/>
        <rFont val="宋体"/>
        <family val="3"/>
        <charset val="134"/>
      </rPr>
      <t>层差</t>
    </r>
    <r>
      <rPr>
        <sz val="11"/>
        <color theme="1"/>
        <rFont val="Arial"/>
        <family val="2"/>
      </rPr>
      <t>/</t>
    </r>
    <r>
      <rPr>
        <sz val="11"/>
        <color theme="1"/>
        <rFont val="宋体"/>
        <family val="3"/>
        <charset val="134"/>
      </rPr>
      <t>系数</t>
    </r>
    <phoneticPr fontId="85" type="noConversion"/>
  </si>
  <si>
    <r>
      <rPr>
        <sz val="11"/>
        <color theme="1"/>
        <rFont val="宋体"/>
        <family val="3"/>
        <charset val="134"/>
      </rPr>
      <t>露台</t>
    </r>
    <phoneticPr fontId="85" type="noConversion"/>
  </si>
  <si>
    <r>
      <rPr>
        <sz val="11"/>
        <color theme="1"/>
        <rFont val="宋体"/>
        <family val="3"/>
        <charset val="134"/>
      </rPr>
      <t>总层数</t>
    </r>
    <phoneticPr fontId="85" type="noConversion"/>
  </si>
  <si>
    <r>
      <rPr>
        <sz val="11"/>
        <color theme="1"/>
        <rFont val="宋体"/>
        <family val="3"/>
        <charset val="134"/>
      </rPr>
      <t>中间层</t>
    </r>
    <phoneticPr fontId="85" type="noConversion"/>
  </si>
  <si>
    <r>
      <rPr>
        <sz val="11"/>
        <color theme="1"/>
        <rFont val="宋体"/>
        <family val="3"/>
        <charset val="134"/>
      </rPr>
      <t>首层</t>
    </r>
    <phoneticPr fontId="85" type="noConversion"/>
  </si>
  <si>
    <r>
      <rPr>
        <sz val="11"/>
        <color theme="1"/>
        <rFont val="宋体"/>
        <family val="3"/>
        <charset val="134"/>
      </rPr>
      <t>顶层</t>
    </r>
    <phoneticPr fontId="85" type="noConversion"/>
  </si>
  <si>
    <r>
      <rPr>
        <sz val="11"/>
        <color theme="1"/>
        <rFont val="宋体"/>
        <family val="3"/>
        <charset val="134"/>
      </rPr>
      <t>所在楼层</t>
    </r>
    <phoneticPr fontId="85" type="noConversion"/>
  </si>
  <si>
    <r>
      <rPr>
        <sz val="11"/>
        <color theme="1"/>
        <rFont val="宋体"/>
        <family val="3"/>
        <charset val="134"/>
      </rPr>
      <t>花园</t>
    </r>
    <phoneticPr fontId="85" type="noConversion"/>
  </si>
  <si>
    <r>
      <rPr>
        <sz val="11"/>
        <color theme="1"/>
        <rFont val="宋体"/>
        <family val="3"/>
        <charset val="134"/>
      </rPr>
      <t>最高最低差</t>
    </r>
    <phoneticPr fontId="85"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</si>
  <si>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</si>
  <si>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</si>
  <si>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</si>
  <si>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</si>
  <si>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</si>
  <si>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</si>
  <si>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</si>
  <si>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</si>
  <si>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</si>
  <si>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</si>
  <si>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</si>
  <si>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</si>
  <si>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</si>
  <si>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</si>
  <si>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</si>
  <si>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</si>
  <si>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</si>
  <si>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</si>
  <si>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</si>
  <si>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</si>
  <si>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</si>
  <si>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</si>
  <si>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</si>
  <si>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</si>
  <si>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</si>
  <si>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</si>
  <si>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</si>
  <si>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</si>
  <si>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</si>
  <si>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</si>
  <si>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</si>
  <si>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</si>
  <si>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</si>
  <si>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</si>
  <si>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</si>
  <si>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</si>
  <si>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</si>
  <si>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</si>
  <si>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</si>
  <si>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</si>
  <si>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</si>
  <si>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</si>
  <si>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</si>
  <si>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</si>
  <si>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</si>
  <si>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</si>
  <si>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</si>
  <si>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</si>
  <si>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</si>
  <si>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</si>
  <si>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</si>
  <si>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</si>
  <si>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</si>
  <si>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</si>
  <si>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</si>
  <si>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</si>
  <si>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</si>
  <si>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</si>
  <si>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</si>
  <si>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</si>
  <si>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</si>
  <si>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</si>
  <si>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</si>
  <si>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</si>
  <si>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</si>
  <si>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</si>
  <si>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</si>
  <si>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</si>
  <si>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</si>
  <si>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</si>
  <si>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</si>
  <si>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</si>
  <si>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</si>
  <si>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</si>
  <si>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</si>
  <si>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</si>
  <si>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</si>
  <si>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</si>
  <si>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</si>
  <si>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</si>
  <si>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</si>
  <si>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</si>
  <si>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</si>
  <si>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</si>
  <si>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</si>
  <si>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</si>
  <si>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</si>
  <si>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</si>
  <si>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</si>
  <si>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</si>
  <si>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</si>
  <si>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</si>
  <si>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</si>
  <si>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</si>
  <si>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</si>
  <si>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</si>
  <si>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</si>
  <si>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</si>
  <si>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</si>
  <si>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</si>
  <si>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</si>
  <si>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</si>
  <si>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</si>
  <si>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</si>
  <si>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</si>
  <si>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</si>
  <si>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</si>
  <si>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</si>
  <si>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</si>
  <si>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</si>
  <si>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</si>
  <si>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</si>
  <si>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</si>
  <si>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</si>
  <si>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</si>
  <si>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</si>
  <si>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</si>
  <si>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</si>
  <si>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</si>
  <si>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</si>
  <si>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</si>
  <si>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</si>
  <si>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</si>
  <si>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</si>
  <si>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</si>
  <si>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</si>
  <si>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</si>
  <si>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</si>
  <si>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</si>
  <si>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</si>
  <si>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</si>
  <si>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</si>
  <si>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</si>
  <si>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</si>
  <si>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</si>
  <si>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</si>
  <si>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</si>
  <si>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</si>
  <si>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</si>
  <si>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</si>
  <si>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</si>
  <si>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</si>
  <si>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</si>
  <si>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</si>
  <si>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</si>
  <si>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</si>
  <si>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2"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</si>
  <si>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</si>
  <si>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</si>
  <si>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</si>
  <si>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</si>
  <si>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</si>
  <si>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</si>
  <si>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</si>
  <si>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</si>
  <si>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</si>
  <si>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</si>
  <si>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</si>
  <si>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</si>
  <si>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</si>
  <si>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</si>
  <si>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</si>
  <si>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2"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</si>
  <si>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</si>
  <si>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</si>
  <si>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</si>
  <si>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</si>
  <si>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</si>
  <si>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</si>
  <si>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</si>
  <si>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</si>
  <si>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</si>
  <si>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</si>
  <si>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</si>
  <si>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</si>
  <si>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</si>
  <si>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</si>
  <si>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</si>
  <si>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</si>
  <si>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</si>
  <si>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</si>
  <si>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</si>
  <si>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</si>
  <si>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</si>
  <si>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</si>
  <si>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</si>
  <si>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</si>
  <si>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</si>
  <si>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</si>
  <si>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</si>
  <si>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</si>
  <si>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</si>
  <si>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</si>
  <si>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</si>
  <si>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</si>
  <si>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</si>
  <si>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</si>
  <si>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</si>
  <si>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</si>
  <si>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</si>
  <si>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</si>
  <si>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</si>
  <si>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</si>
  <si>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</si>
  <si>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</si>
  <si>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</si>
  <si>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</si>
  <si>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</si>
  <si>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</si>
  <si>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</si>
  <si>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</si>
  <si>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</si>
  <si>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</si>
  <si>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</si>
  <si>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</si>
  <si>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</si>
  <si>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2"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</si>
  <si>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</si>
  <si>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</si>
  <si>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</si>
  <si>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</si>
  <si>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</si>
  <si>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</si>
  <si>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</si>
  <si>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</si>
  <si>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</si>
  <si>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</si>
  <si>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</si>
  <si>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</si>
  <si>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</si>
  <si>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</si>
  <si>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</si>
  <si>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</si>
  <si>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</si>
  <si>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</si>
  <si>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</si>
  <si>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</si>
  <si>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</si>
  <si>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</si>
  <si>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</si>
  <si>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2"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</si>
  <si>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</si>
  <si>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</si>
  <si>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</si>
  <si>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</si>
  <si>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</si>
  <si>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</si>
  <si>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</si>
  <si>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</si>
  <si>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</si>
  <si>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</si>
  <si>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</si>
  <si>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</si>
  <si>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</si>
  <si>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</si>
  <si>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</si>
  <si>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</si>
  <si>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</si>
  <si>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</si>
  <si>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</si>
  <si>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</si>
  <si>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</si>
  <si>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</si>
  <si>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2" type="noConversion"/>
  </si>
  <si>
    <r>
      <rPr>
        <sz val="11"/>
        <rFont val="宋体"/>
        <family val="3"/>
        <charset val="134"/>
      </rPr>
      <t>政府土地出让收益</t>
    </r>
    <phoneticPr fontId="72"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</si>
  <si>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</si>
  <si>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</si>
  <si>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</si>
  <si>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</si>
  <si>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</si>
  <si>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</si>
  <si>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</si>
  <si>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</si>
  <si>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</si>
  <si>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2"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</si>
  <si>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2"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</si>
  <si>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</si>
  <si>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</si>
  <si>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</si>
  <si>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</si>
  <si>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</si>
  <si>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</si>
  <si>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</si>
  <si>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2"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</si>
  <si>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</si>
  <si>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</si>
  <si>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</si>
  <si>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</si>
  <si>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</si>
  <si>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</si>
  <si>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</si>
  <si>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</si>
  <si>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</si>
  <si>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</si>
  <si>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</si>
  <si>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</si>
  <si>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</si>
  <si>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</si>
  <si>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</si>
  <si>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</si>
  <si>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</si>
  <si>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</si>
  <si>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</si>
  <si>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</si>
  <si>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</si>
  <si>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</si>
  <si>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</si>
  <si>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</si>
  <si>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</si>
  <si>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</si>
  <si>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</si>
  <si>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</si>
  <si>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</si>
  <si>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</si>
  <si>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</si>
  <si>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</si>
  <si>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</si>
  <si>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</si>
  <si>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</si>
  <si>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</si>
  <si>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</si>
  <si>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</si>
  <si>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</si>
  <si>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</si>
  <si>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</si>
  <si>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</si>
  <si>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</si>
  <si>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</si>
  <si>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</si>
  <si>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</si>
  <si>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</si>
  <si>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</si>
  <si>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</si>
  <si>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</si>
  <si>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</si>
  <si>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</si>
  <si>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</si>
  <si>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</si>
  <si>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</si>
  <si>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</si>
  <si>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</si>
  <si>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</si>
  <si>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</si>
  <si>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</si>
  <si>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</si>
  <si>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</si>
  <si>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</si>
  <si>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</si>
  <si>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</si>
  <si>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</si>
  <si>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</si>
  <si>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</si>
  <si>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</si>
  <si>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</si>
  <si>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本行不参与计算</t>
    <phoneticPr fontId="143"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</si>
  <si>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</si>
  <si>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</si>
  <si>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</si>
  <si>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</si>
  <si>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</si>
  <si>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</si>
  <si>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</si>
  <si>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</si>
  <si>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</si>
  <si>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</si>
  <si>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</si>
  <si>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</si>
  <si>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</si>
  <si>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</si>
  <si>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</si>
  <si>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</si>
  <si>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</si>
  <si>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</si>
  <si>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</si>
  <si>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</si>
  <si>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</si>
  <si>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</si>
  <si>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</si>
  <si>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</si>
  <si>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</si>
  <si>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</si>
  <si>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</si>
  <si>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</si>
  <si>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</si>
  <si>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</si>
  <si>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</si>
  <si>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88"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</si>
  <si>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</si>
  <si>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3"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</si>
  <si>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1"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</si>
  <si>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</si>
  <si>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</si>
  <si>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</si>
  <si>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</si>
  <si>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</si>
  <si>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</si>
  <si>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</si>
  <si>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</si>
  <si>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</si>
  <si>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</si>
  <si>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</si>
  <si>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</si>
  <si>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</si>
  <si>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</si>
  <si>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</si>
  <si>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</si>
  <si>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</si>
  <si>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</si>
  <si>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</si>
  <si>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</si>
  <si>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</si>
  <si>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</si>
  <si>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</si>
  <si>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</si>
  <si>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</si>
  <si>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</si>
  <si>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</si>
  <si>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</si>
  <si>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</si>
  <si>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</si>
  <si>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</si>
  <si>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</si>
  <si>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</si>
  <si>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</si>
  <si>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8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</si>
  <si>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</si>
  <si>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88" type="noConversion"/>
  </si>
  <si>
    <r>
      <rPr>
        <sz val="10"/>
        <color theme="1"/>
        <rFont val="宋体"/>
        <family val="3"/>
        <charset val="134"/>
      </rPr>
      <t>评估总值</t>
    </r>
    <phoneticPr fontId="8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</si>
  <si>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</si>
  <si>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</si>
  <si>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</si>
  <si>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</si>
  <si>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</si>
  <si>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</si>
  <si>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</si>
  <si>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</si>
  <si>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</si>
  <si>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</si>
  <si>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</si>
  <si>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</si>
  <si>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</si>
  <si>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</si>
  <si>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</si>
  <si>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</si>
  <si>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</si>
  <si>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</si>
  <si>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</si>
  <si>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</si>
  <si>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</si>
  <si>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</si>
  <si>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</si>
  <si>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</si>
  <si>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</si>
  <si>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</si>
  <si>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</si>
  <si>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</si>
  <si>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</si>
  <si>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</si>
  <si>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</si>
  <si>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</si>
  <si>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</si>
  <si>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</si>
  <si>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</si>
  <si>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</si>
  <si>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</si>
  <si>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</si>
  <si>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</si>
  <si>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</si>
  <si>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</si>
  <si>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</si>
  <si>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</si>
  <si>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</si>
  <si>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</si>
  <si>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</si>
  <si>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</si>
  <si>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</si>
  <si>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</si>
  <si>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88"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</si>
  <si>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</si>
  <si>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</si>
  <si>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</si>
  <si>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78" type="noConversion"/>
  </si>
  <si>
    <t>备案等级：一级</t>
    <phoneticPr fontId="4" type="noConversion"/>
  </si>
  <si>
    <t>建房估备字[2013第]081号</t>
    <phoneticPr fontId="4" type="noConversion"/>
  </si>
  <si>
    <t>延期至2020年底</t>
    <phoneticPr fontId="78" type="noConversion"/>
  </si>
  <si>
    <t>赵雯</t>
    <phoneticPr fontId="7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</si>
  <si>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</si>
  <si>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</si>
  <si>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</si>
  <si>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</si>
  <si>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</si>
  <si>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</si>
  <si>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</si>
  <si>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</si>
  <si>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</si>
  <si>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</si>
  <si>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</si>
  <si>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</si>
  <si>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</si>
  <si>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</si>
  <si>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</si>
  <si>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</si>
  <si>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</si>
  <si>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</si>
  <si>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3"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</si>
  <si>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</si>
  <si>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</si>
  <si>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</si>
  <si>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</si>
  <si>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</si>
  <si>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3"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</si>
  <si>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</si>
  <si>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</si>
  <si>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</si>
  <si>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3"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</si>
  <si>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</si>
  <si>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</si>
  <si>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</si>
  <si>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</si>
  <si>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</si>
  <si>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</si>
  <si>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3"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</si>
  <si>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</si>
  <si>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</si>
  <si>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</si>
  <si>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</si>
  <si>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</si>
  <si>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</si>
  <si>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</si>
  <si>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</si>
  <si>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</si>
  <si>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</si>
  <si>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</si>
  <si>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</si>
  <si>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</si>
  <si>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</si>
  <si>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3" type="noConversion"/>
  </si>
  <si>
    <t>2020-4</t>
    <phoneticPr fontId="4" type="noConversion"/>
  </si>
  <si>
    <t>核定资产</t>
  </si>
  <si>
    <t>房地产市场价值</t>
  </si>
  <si>
    <t>北京市</t>
  </si>
  <si>
    <t>自然人</t>
  </si>
  <si>
    <t>元</t>
  </si>
  <si>
    <t>楼面单价</t>
  </si>
  <si>
    <t>住宅</t>
  </si>
  <si>
    <t>居住用地（指二类居住用地）</t>
  </si>
  <si>
    <t>Ⅷ-昌1</t>
  </si>
  <si>
    <t>与级别开发程度不一致</t>
  </si>
  <si>
    <t>通路</t>
  </si>
  <si>
    <t>通电</t>
  </si>
  <si>
    <t>通讯</t>
  </si>
  <si>
    <t>通上水</t>
  </si>
  <si>
    <t>通下水</t>
  </si>
  <si>
    <t>通热</t>
  </si>
  <si>
    <t>燃气</t>
  </si>
  <si>
    <t>平整</t>
  </si>
  <si>
    <t>未包含在土地购买价格中</t>
  </si>
  <si>
    <t>已包含在土地取得成本中</t>
  </si>
  <si>
    <t>无租约</t>
  </si>
  <si>
    <t>七通</t>
  </si>
  <si>
    <t>60-70（含）</t>
  </si>
  <si>
    <t>住宅</t>
    <phoneticPr fontId="20" type="noConversion"/>
  </si>
  <si>
    <t>多层板楼</t>
    <phoneticPr fontId="20" type="noConversion"/>
  </si>
  <si>
    <t>高层板楼</t>
  </si>
  <si>
    <t>高层板楼</t>
    <phoneticPr fontId="20" type="noConversion"/>
  </si>
  <si>
    <t>砖混</t>
    <phoneticPr fontId="20" type="noConversion"/>
  </si>
  <si>
    <t>钢混</t>
  </si>
  <si>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</si>
  <si>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</si>
  <si>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</si>
  <si>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</si>
  <si>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</si>
  <si>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</si>
  <si>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</si>
  <si>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</si>
  <si>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</si>
  <si>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</si>
  <si>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简单装修</t>
    <phoneticPr fontId="20" type="noConversion"/>
  </si>
  <si>
    <t>毛坯</t>
  </si>
  <si>
    <t>毛坯</t>
    <phoneticPr fontId="20" type="noConversion"/>
  </si>
  <si>
    <t>路劲世界城</t>
    <phoneticPr fontId="4" type="noConversion"/>
  </si>
  <si>
    <t>北京风景</t>
    <phoneticPr fontId="4" type="noConversion"/>
  </si>
  <si>
    <t>板塔结合</t>
  </si>
  <si>
    <t>板塔结合</t>
    <phoneticPr fontId="20" type="noConversion"/>
  </si>
  <si>
    <t>比较法-住宅</t>
  </si>
  <si>
    <t>估价对象1（结果表）</t>
  </si>
  <si>
    <t>青秀尚城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</si>
</sst>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3"/>
      <charset val="134"/>
      <scheme val="minor"/>
    </font>
    <font>
      <sz val="14"/>
      <color rgb="FF000000"/>
      <name val="楷体_GB2312"/>
      <charset val="134"/>
    </font>
    <font>
      <sz val="11"/>
      <color rgb="FF000000"/>
      <name val="宋体"/>
      <family val="3"/>
      <charset val="134"/>
    </font>
    <font>
      <sz val="10"/>
      <color rgb="FF000000"/>
      <name val="楷体_GB2312"/>
      <charset val="134"/>
    </font>
    <font>
      <sz val="8"/>
      <color rgb="FF000000"/>
      <name val="宋体"/>
      <family val="3"/>
      <charset val="134"/>
    </font>
    <font>
      <b/>
      <sz val="9"/>
      <color rgb="FF000000"/>
      <name val="宋体"/>
      <family val="3"/>
      <charset val="134"/>
    </font>
    <font>
      <sz val="9"/>
      <color rgb="FF000000"/>
      <name val="宋体"/>
      <family val="3"/>
      <charset val="134"/>
    </font>
    <font>
      <b/>
      <sz val="12"/>
      <color rgb="FF000000"/>
      <name val="宋体"/>
      <family val="3"/>
      <charset val="134"/>
    </font>
    <font>
      <sz val="11"/>
      <color rgb="FF000000"/>
      <name val="SimSun"/>
      <family val="3"/>
      <charset val="134"/>
    </font>
    <font>
      <sz val="11"/>
      <name val="SimSun"/>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0" fillId="0" borderId="0">
      <alignment vertical="center"/>
    </xf>
    <xf numFmtId="0" fontId="90" fillId="0" borderId="0"/>
    <xf numFmtId="0" fontId="90" fillId="0" borderId="0">
      <alignment vertical="center"/>
    </xf>
    <xf numFmtId="0" fontId="30" fillId="0" borderId="0"/>
    <xf numFmtId="0" fontId="90" fillId="0" borderId="0">
      <alignment vertical="center"/>
    </xf>
    <xf numFmtId="0" fontId="90" fillId="0" borderId="0">
      <alignment vertical="center"/>
    </xf>
    <xf numFmtId="0" fontId="3" fillId="0" borderId="0">
      <alignment vertical="center"/>
    </xf>
    <xf numFmtId="0" fontId="90" fillId="0" borderId="0">
      <alignment vertical="center"/>
    </xf>
    <xf numFmtId="0" fontId="90" fillId="0" borderId="0"/>
    <xf numFmtId="0" fontId="90" fillId="0" borderId="0">
      <alignment vertical="center"/>
    </xf>
    <xf numFmtId="0" fontId="2" fillId="0" borderId="0">
      <alignment vertical="center"/>
    </xf>
    <xf numFmtId="0" fontId="1" fillId="0" borderId="0">
      <alignment vertical="center"/>
    </xf>
    <xf numFmtId="0" fontId="167" fillId="0" borderId="0"/>
  </cellStyleXfs>
  <cellXfs count="3563">
    <xf numFmtId="0" fontId="0" fillId="0" borderId="0" xfId="0">
      <alignment vertical="center"/>
    </xf>
    <xf numFmtId="0" fontId="0" fillId="0" borderId="0" xfId="0" applyAlignment="1">
      <alignment vertical="center" wrapText="1"/>
    </xf>
    <xf numFmtId="0" fontId="93" fillId="0" borderId="1" xfId="0" applyFont="1" applyBorder="1" applyAlignment="1">
      <alignment vertical="center" wrapText="1"/>
    </xf>
    <xf numFmtId="0" fontId="93" fillId="0" borderId="1" xfId="0" applyFont="1" applyBorder="1" applyAlignment="1">
      <alignment horizontal="center" vertical="center" wrapText="1"/>
    </xf>
    <xf numFmtId="0" fontId="95" fillId="5" borderId="49" xfId="0" applyFont="1" applyFill="1" applyBorder="1" applyAlignment="1" applyProtection="1">
      <alignment horizontal="center" vertical="center" wrapText="1"/>
    </xf>
    <xf numFmtId="0" fontId="95" fillId="5" borderId="0" xfId="0" applyFont="1" applyFill="1" applyAlignment="1" applyProtection="1">
      <alignment horizontal="center" vertical="center" wrapText="1"/>
    </xf>
    <xf numFmtId="0" fontId="37" fillId="5" borderId="0" xfId="0" applyNumberFormat="1" applyFont="1" applyFill="1" applyBorder="1" applyAlignment="1" applyProtection="1">
      <alignment horizontal="center" vertical="center" wrapText="1"/>
    </xf>
    <xf numFmtId="0" fontId="95" fillId="5" borderId="0" xfId="0" applyFont="1" applyFill="1" applyAlignment="1" applyProtection="1">
      <alignment horizontal="center" vertical="center"/>
    </xf>
    <xf numFmtId="0" fontId="95" fillId="5" borderId="0" xfId="0" applyFont="1" applyFill="1" applyBorder="1" applyAlignment="1" applyProtection="1">
      <alignment horizontal="center" vertical="center"/>
    </xf>
    <xf numFmtId="0" fontId="95" fillId="5" borderId="0" xfId="0" applyFont="1" applyFill="1" applyProtection="1">
      <alignment vertical="center"/>
    </xf>
    <xf numFmtId="0" fontId="40" fillId="5" borderId="1" xfId="0" applyFont="1" applyFill="1" applyBorder="1" applyAlignment="1" applyProtection="1">
      <alignment horizontal="center" vertical="center" wrapText="1"/>
    </xf>
    <xf numFmtId="0" fontId="40" fillId="0" borderId="0" xfId="0" applyFont="1" applyAlignment="1" applyProtection="1">
      <alignment horizontal="center" vertical="center" wrapText="1"/>
      <protection locked="0"/>
    </xf>
    <xf numFmtId="0" fontId="40" fillId="5" borderId="2" xfId="0" applyFont="1" applyFill="1" applyBorder="1" applyAlignment="1" applyProtection="1">
      <alignment horizontal="left" vertical="center"/>
    </xf>
    <xf numFmtId="0" fontId="40" fillId="5" borderId="1" xfId="0" applyFont="1" applyFill="1" applyBorder="1" applyAlignment="1" applyProtection="1">
      <alignment horizontal="center" vertical="center"/>
    </xf>
    <xf numFmtId="0" fontId="40" fillId="5" borderId="18" xfId="0" applyFont="1" applyFill="1" applyBorder="1" applyAlignment="1" applyProtection="1">
      <alignment horizontal="center" vertical="center"/>
    </xf>
    <xf numFmtId="0" fontId="40" fillId="5" borderId="41" xfId="0" applyFont="1" applyFill="1" applyBorder="1" applyAlignment="1" applyProtection="1">
      <alignment horizontal="center" vertical="center"/>
    </xf>
    <xf numFmtId="0" fontId="40" fillId="0" borderId="0" xfId="0" applyFont="1" applyAlignment="1" applyProtection="1">
      <alignment horizontal="center" vertical="center"/>
      <protection locked="0"/>
    </xf>
    <xf numFmtId="0" fontId="40" fillId="5" borderId="17"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39" fillId="5" borderId="10"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37" fillId="5" borderId="31"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7" fillId="0" borderId="0" xfId="0" applyNumberFormat="1" applyFont="1" applyFill="1" applyBorder="1" applyAlignment="1" applyProtection="1">
      <alignment horizontal="center" vertical="center" wrapText="1"/>
      <protection locked="0"/>
    </xf>
    <xf numFmtId="0" fontId="37" fillId="5" borderId="31" xfId="0" applyNumberFormat="1" applyFont="1" applyFill="1" applyBorder="1" applyAlignment="1" applyProtection="1">
      <alignment horizontal="center" vertical="center" wrapText="1"/>
    </xf>
    <xf numFmtId="0" fontId="37" fillId="5" borderId="6" xfId="0" applyNumberFormat="1" applyFont="1" applyFill="1" applyBorder="1" applyAlignment="1" applyProtection="1">
      <alignment horizontal="center" vertical="center" wrapText="1"/>
    </xf>
    <xf numFmtId="0" fontId="37" fillId="5" borderId="43" xfId="0" applyNumberFormat="1" applyFont="1" applyFill="1" applyBorder="1" applyAlignment="1" applyProtection="1">
      <alignment horizontal="center" vertical="center" wrapText="1"/>
    </xf>
    <xf numFmtId="0" fontId="40" fillId="5" borderId="0" xfId="0" applyFont="1" applyFill="1" applyProtection="1">
      <alignment vertical="center"/>
      <protection locked="0"/>
    </xf>
    <xf numFmtId="0" fontId="40" fillId="0" borderId="0" xfId="0" applyFont="1" applyProtection="1">
      <alignment vertical="center"/>
      <protection locked="0"/>
    </xf>
    <xf numFmtId="0" fontId="40" fillId="5" borderId="2" xfId="0" applyFont="1" applyFill="1" applyBorder="1" applyAlignment="1" applyProtection="1">
      <alignment vertical="center"/>
    </xf>
    <xf numFmtId="0" fontId="40" fillId="5" borderId="1" xfId="0" applyFont="1" applyFill="1" applyBorder="1" applyProtection="1">
      <alignment vertical="center"/>
    </xf>
    <xf numFmtId="0" fontId="40" fillId="0" borderId="1" xfId="0" applyFont="1" applyBorder="1" applyProtection="1">
      <alignment vertical="center"/>
      <protection locked="0"/>
    </xf>
    <xf numFmtId="0" fontId="40" fillId="5" borderId="18" xfId="0" applyFont="1" applyFill="1" applyBorder="1" applyAlignment="1" applyProtection="1">
      <alignment vertical="center"/>
    </xf>
    <xf numFmtId="0" fontId="40" fillId="5" borderId="0" xfId="0" applyFont="1" applyFill="1" applyAlignment="1" applyProtection="1">
      <alignment horizontal="center" vertical="center"/>
      <protection locked="0"/>
    </xf>
    <xf numFmtId="0" fontId="45" fillId="5" borderId="39" xfId="0" applyFont="1" applyFill="1" applyBorder="1" applyAlignment="1" applyProtection="1">
      <alignment horizontal="left" vertical="center" wrapText="1"/>
    </xf>
    <xf numFmtId="0" fontId="45" fillId="5" borderId="65"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35" xfId="0" applyFont="1" applyFill="1" applyBorder="1" applyAlignment="1" applyProtection="1">
      <alignment vertical="center"/>
    </xf>
    <xf numFmtId="0" fontId="40" fillId="5" borderId="60" xfId="0" applyFont="1" applyFill="1" applyBorder="1" applyAlignment="1" applyProtection="1">
      <alignment vertical="center"/>
    </xf>
    <xf numFmtId="0" fontId="40" fillId="5" borderId="2" xfId="0" applyFont="1" applyFill="1" applyBorder="1" applyAlignment="1" applyProtection="1">
      <alignment horizontal="right" vertical="center"/>
    </xf>
    <xf numFmtId="0" fontId="40" fillId="5" borderId="31" xfId="0" applyFont="1" applyFill="1" applyBorder="1" applyAlignment="1" applyProtection="1">
      <alignment horizontal="left" vertical="center" wrapText="1"/>
    </xf>
    <xf numFmtId="0" fontId="47" fillId="5" borderId="23"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49" fontId="40" fillId="5" borderId="7"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left" vertical="center" wrapText="1"/>
    </xf>
    <xf numFmtId="49" fontId="45"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49" fontId="45" fillId="5" borderId="8"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43" xfId="0" applyFont="1" applyFill="1" applyBorder="1" applyAlignment="1" applyProtection="1">
      <alignment horizontal="left" vertical="center"/>
    </xf>
    <xf numFmtId="0" fontId="40" fillId="5" borderId="13" xfId="0" applyFont="1" applyFill="1" applyBorder="1" applyAlignment="1" applyProtection="1">
      <alignment horizontal="left" vertical="center" wrapText="1"/>
    </xf>
    <xf numFmtId="0" fontId="40" fillId="5" borderId="47" xfId="0" applyFont="1" applyFill="1" applyBorder="1" applyAlignment="1" applyProtection="1">
      <alignment horizontal="left" vertical="center" wrapText="1"/>
    </xf>
    <xf numFmtId="0" fontId="37" fillId="5" borderId="38"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7" fillId="5" borderId="41" xfId="2"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37" fillId="5" borderId="1" xfId="2"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49" fontId="45" fillId="5" borderId="8" xfId="0" applyNumberFormat="1" applyFont="1" applyFill="1" applyBorder="1" applyAlignment="1" applyProtection="1">
      <alignment vertical="center" wrapText="1"/>
    </xf>
    <xf numFmtId="0" fontId="45" fillId="5" borderId="61" xfId="0" applyFont="1" applyFill="1" applyBorder="1" applyAlignment="1" applyProtection="1">
      <alignment horizontal="center" vertical="center" wrapText="1"/>
    </xf>
    <xf numFmtId="0" fontId="46" fillId="5" borderId="61" xfId="0" applyFont="1" applyFill="1" applyBorder="1" applyAlignment="1" applyProtection="1">
      <alignment horizontal="center" vertical="center" wrapText="1"/>
    </xf>
    <xf numFmtId="0" fontId="40" fillId="5" borderId="44" xfId="0" applyFont="1" applyFill="1" applyBorder="1" applyAlignment="1" applyProtection="1">
      <alignment horizontal="left" vertical="center"/>
    </xf>
    <xf numFmtId="0" fontId="40" fillId="5" borderId="48" xfId="0" applyFont="1" applyFill="1" applyBorder="1" applyAlignment="1" applyProtection="1">
      <alignment horizontal="left" vertical="center" wrapText="1"/>
    </xf>
    <xf numFmtId="0" fontId="37" fillId="5" borderId="62" xfId="2"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0" fillId="5" borderId="62" xfId="2" applyFont="1" applyFill="1" applyBorder="1" applyAlignment="1" applyProtection="1">
      <alignment horizontal="left" vertical="center" wrapText="1"/>
    </xf>
    <xf numFmtId="0" fontId="97" fillId="5" borderId="46" xfId="1" applyFont="1" applyFill="1" applyBorder="1" applyAlignment="1" applyProtection="1">
      <alignment vertical="center"/>
    </xf>
    <xf numFmtId="0" fontId="50" fillId="5" borderId="37" xfId="1" applyFont="1" applyFill="1" applyBorder="1" applyAlignment="1" applyProtection="1">
      <alignment vertical="center"/>
    </xf>
    <xf numFmtId="0" fontId="50" fillId="5" borderId="0" xfId="1" applyFont="1" applyFill="1" applyBorder="1" applyAlignment="1" applyProtection="1">
      <alignment vertical="center"/>
    </xf>
    <xf numFmtId="0" fontId="51" fillId="3" borderId="0" xfId="0" applyFont="1" applyFill="1" applyAlignment="1" applyProtection="1">
      <alignment vertical="center"/>
      <protection locked="0"/>
    </xf>
    <xf numFmtId="0" fontId="50" fillId="5" borderId="1" xfId="1" applyFont="1" applyFill="1" applyBorder="1" applyAlignment="1" applyProtection="1">
      <alignment vertical="center"/>
    </xf>
    <xf numFmtId="177" fontId="50" fillId="5" borderId="1" xfId="1" applyNumberFormat="1" applyFont="1" applyFill="1" applyBorder="1" applyAlignment="1" applyProtection="1">
      <alignment horizontal="right" vertical="center"/>
    </xf>
    <xf numFmtId="0" fontId="50" fillId="5" borderId="18" xfId="1" applyFont="1" applyFill="1" applyBorder="1" applyAlignment="1" applyProtection="1">
      <alignment vertical="center"/>
    </xf>
    <xf numFmtId="0" fontId="50" fillId="5" borderId="18" xfId="1" applyFont="1" applyFill="1" applyBorder="1" applyAlignment="1" applyProtection="1">
      <alignment horizontal="right" vertical="center"/>
    </xf>
    <xf numFmtId="49" fontId="50" fillId="5" borderId="46" xfId="1" applyNumberFormat="1" applyFont="1" applyFill="1" applyBorder="1" applyAlignment="1" applyProtection="1"/>
    <xf numFmtId="49" fontId="50" fillId="5" borderId="47" xfId="1" applyNumberFormat="1" applyFont="1" applyFill="1" applyBorder="1" applyAlignment="1" applyProtection="1"/>
    <xf numFmtId="49" fontId="50" fillId="5" borderId="38" xfId="1" applyNumberFormat="1" applyFont="1" applyFill="1" applyBorder="1" applyAlignment="1" applyProtection="1"/>
    <xf numFmtId="0" fontId="50" fillId="3" borderId="0" xfId="0" applyFont="1" applyFill="1" applyAlignment="1" applyProtection="1">
      <alignment vertical="center"/>
      <protection locked="0"/>
    </xf>
    <xf numFmtId="0" fontId="47" fillId="5" borderId="2" xfId="1" applyFont="1" applyFill="1" applyBorder="1" applyAlignment="1" applyProtection="1"/>
    <xf numFmtId="0" fontId="47" fillId="5" borderId="6" xfId="1" applyFont="1" applyFill="1" applyBorder="1" applyAlignment="1" applyProtection="1">
      <alignment horizontal="left"/>
    </xf>
    <xf numFmtId="0" fontId="47" fillId="3" borderId="0" xfId="0" applyFont="1" applyFill="1" applyAlignment="1" applyProtection="1">
      <alignment vertical="center"/>
      <protection locked="0"/>
    </xf>
    <xf numFmtId="49" fontId="46" fillId="5" borderId="7" xfId="1" applyNumberFormat="1" applyFont="1" applyFill="1" applyBorder="1" applyAlignment="1" applyProtection="1">
      <alignment horizontal="left"/>
    </xf>
    <xf numFmtId="0" fontId="46" fillId="5" borderId="2" xfId="1" applyFont="1" applyFill="1" applyBorder="1" applyAlignment="1" applyProtection="1"/>
    <xf numFmtId="0" fontId="46" fillId="5" borderId="1" xfId="1" applyFont="1" applyFill="1" applyBorder="1" applyAlignment="1" applyProtection="1">
      <alignment horizontal="center"/>
    </xf>
    <xf numFmtId="0" fontId="46" fillId="5" borderId="6" xfId="1" applyFont="1" applyFill="1" applyBorder="1" applyAlignment="1" applyProtection="1">
      <alignment horizontal="left"/>
    </xf>
    <xf numFmtId="0" fontId="47" fillId="0" borderId="0" xfId="0" applyFont="1" applyFill="1" applyAlignment="1" applyProtection="1">
      <alignment vertical="center"/>
      <protection locked="0"/>
    </xf>
    <xf numFmtId="0" fontId="52" fillId="5" borderId="2" xfId="1" applyFont="1" applyFill="1" applyBorder="1" applyAlignment="1" applyProtection="1"/>
    <xf numFmtId="0" fontId="46" fillId="5" borderId="6" xfId="1" applyFont="1" applyFill="1" applyBorder="1" applyAlignment="1" applyProtection="1">
      <alignment vertical="center" wrapText="1"/>
    </xf>
    <xf numFmtId="0" fontId="47" fillId="5" borderId="1" xfId="0" applyFont="1" applyFill="1" applyBorder="1" applyAlignment="1" applyProtection="1">
      <alignment horizontal="center" vertical="center"/>
    </xf>
    <xf numFmtId="0" fontId="47" fillId="5" borderId="6" xfId="0" applyFont="1" applyFill="1" applyBorder="1" applyAlignment="1" applyProtection="1">
      <alignment vertical="center"/>
    </xf>
    <xf numFmtId="0" fontId="47" fillId="5" borderId="1" xfId="0" applyFont="1" applyFill="1" applyBorder="1" applyAlignment="1" applyProtection="1">
      <alignment horizontal="right" vertical="center"/>
    </xf>
    <xf numFmtId="0" fontId="47" fillId="5" borderId="1" xfId="0" applyFont="1" applyFill="1" applyBorder="1" applyAlignment="1" applyProtection="1">
      <alignment horizontal="left" vertical="center"/>
    </xf>
    <xf numFmtId="10" fontId="47" fillId="5" borderId="2" xfId="1"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79" fontId="46" fillId="5" borderId="2" xfId="1" applyNumberFormat="1" applyFont="1" applyFill="1" applyBorder="1" applyAlignment="1" applyProtection="1">
      <alignment horizontal="center" vertical="center"/>
    </xf>
    <xf numFmtId="0" fontId="46" fillId="5" borderId="6" xfId="0" applyFont="1" applyFill="1" applyBorder="1" applyAlignment="1" applyProtection="1">
      <alignment vertical="center"/>
    </xf>
    <xf numFmtId="0" fontId="47" fillId="5" borderId="1" xfId="0" applyFont="1" applyFill="1" applyBorder="1" applyAlignment="1" applyProtection="1">
      <alignment vertical="center"/>
    </xf>
    <xf numFmtId="0" fontId="46" fillId="5" borderId="58" xfId="0" applyFont="1" applyFill="1" applyBorder="1" applyAlignment="1" applyProtection="1">
      <alignment vertical="center" wrapText="1"/>
    </xf>
    <xf numFmtId="0" fontId="46" fillId="5" borderId="34" xfId="0" applyFont="1" applyFill="1" applyBorder="1" applyAlignment="1" applyProtection="1">
      <alignment vertical="center"/>
    </xf>
    <xf numFmtId="0" fontId="47" fillId="5" borderId="2" xfId="1" applyFont="1" applyFill="1" applyBorder="1" applyAlignment="1" applyProtection="1">
      <alignment vertical="center"/>
    </xf>
    <xf numFmtId="177" fontId="47" fillId="5" borderId="1" xfId="1" applyNumberFormat="1" applyFont="1" applyFill="1" applyBorder="1" applyAlignment="1" applyProtection="1">
      <alignment horizontal="center" vertical="center"/>
    </xf>
    <xf numFmtId="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wrapText="1"/>
    </xf>
    <xf numFmtId="0" fontId="46" fillId="5" borderId="2" xfId="1" applyFont="1" applyFill="1" applyBorder="1" applyAlignment="1" applyProtection="1">
      <alignment horizontal="left"/>
    </xf>
    <xf numFmtId="177" fontId="46" fillId="5" borderId="1" xfId="1" applyNumberFormat="1" applyFont="1" applyFill="1" applyBorder="1" applyAlignment="1" applyProtection="1">
      <alignment horizontal="center" vertical="center"/>
    </xf>
    <xf numFmtId="0" fontId="46" fillId="3" borderId="0" xfId="0" applyFont="1" applyFill="1" applyAlignment="1" applyProtection="1">
      <alignment vertical="center"/>
      <protection locked="0"/>
    </xf>
    <xf numFmtId="49" fontId="50" fillId="5" borderId="19" xfId="1" applyNumberFormat="1" applyFont="1" applyFill="1" applyBorder="1" applyAlignment="1" applyProtection="1"/>
    <xf numFmtId="49" fontId="50" fillId="5" borderId="51" xfId="1" applyNumberFormat="1" applyFont="1" applyFill="1" applyBorder="1" applyAlignment="1" applyProtection="1"/>
    <xf numFmtId="49" fontId="50" fillId="5" borderId="41" xfId="1" applyNumberFormat="1" applyFont="1" applyFill="1" applyBorder="1" applyAlignment="1" applyProtection="1"/>
    <xf numFmtId="49" fontId="47" fillId="5" borderId="7" xfId="1" applyNumberFormat="1" applyFont="1" applyFill="1" applyBorder="1" applyAlignment="1" applyProtection="1">
      <alignment horizontal="left"/>
    </xf>
    <xf numFmtId="177" fontId="47" fillId="5" borderId="1" xfId="0" applyNumberFormat="1" applyFont="1" applyFill="1" applyBorder="1" applyAlignment="1" applyProtection="1">
      <alignment horizontal="center" vertical="center"/>
    </xf>
    <xf numFmtId="0" fontId="46" fillId="0" borderId="0" xfId="0" applyFont="1" applyFill="1" applyAlignment="1" applyProtection="1">
      <alignment vertical="center"/>
      <protection locked="0"/>
    </xf>
    <xf numFmtId="0" fontId="46" fillId="5" borderId="6" xfId="0" applyFont="1" applyFill="1" applyBorder="1" applyAlignment="1" applyProtection="1">
      <alignment vertical="center" wrapText="1"/>
    </xf>
    <xf numFmtId="0" fontId="46" fillId="5" borderId="6" xfId="1" applyFont="1" applyFill="1" applyBorder="1" applyAlignment="1" applyProtection="1">
      <alignment horizontal="left" vertical="center"/>
    </xf>
    <xf numFmtId="185" fontId="47" fillId="5" borderId="1" xfId="0" applyNumberFormat="1" applyFont="1" applyFill="1" applyBorder="1" applyAlignment="1" applyProtection="1">
      <alignment horizontal="right" vertical="center"/>
    </xf>
    <xf numFmtId="10" fontId="47" fillId="5" borderId="1" xfId="1" applyNumberFormat="1" applyFont="1" applyFill="1" applyBorder="1" applyAlignment="1" applyProtection="1">
      <alignment horizontal="center" vertical="center"/>
    </xf>
    <xf numFmtId="49" fontId="50" fillId="5" borderId="20" xfId="1" applyNumberFormat="1" applyFont="1" applyFill="1" applyBorder="1" applyAlignment="1" applyProtection="1"/>
    <xf numFmtId="49" fontId="50" fillId="5" borderId="48" xfId="1" applyNumberFormat="1" applyFont="1" applyFill="1" applyBorder="1" applyAlignment="1" applyProtection="1"/>
    <xf numFmtId="177" fontId="47" fillId="5" borderId="61" xfId="0" applyNumberFormat="1" applyFont="1" applyFill="1" applyBorder="1" applyAlignment="1" applyProtection="1">
      <alignment horizontal="center" vertical="center"/>
    </xf>
    <xf numFmtId="49" fontId="50" fillId="5" borderId="62" xfId="1" applyNumberFormat="1" applyFont="1" applyFill="1" applyBorder="1" applyAlignment="1" applyProtection="1"/>
    <xf numFmtId="0" fontId="46" fillId="3" borderId="0" xfId="0" applyFont="1" applyFill="1" applyAlignment="1" applyProtection="1">
      <alignment horizontal="left" vertical="center"/>
      <protection locked="0"/>
    </xf>
    <xf numFmtId="0" fontId="53" fillId="5" borderId="1" xfId="0" applyFont="1" applyFill="1" applyBorder="1" applyAlignment="1" applyProtection="1">
      <alignment horizontal="left"/>
    </xf>
    <xf numFmtId="0" fontId="51" fillId="5" borderId="1" xfId="0" applyFont="1" applyFill="1" applyBorder="1" applyAlignment="1" applyProtection="1">
      <alignment horizontal="center" vertical="center"/>
    </xf>
    <xf numFmtId="0" fontId="46" fillId="3" borderId="0" xfId="0" applyFont="1" applyFill="1" applyAlignment="1" applyProtection="1">
      <alignment horizontal="center" vertical="center"/>
      <protection locked="0"/>
    </xf>
    <xf numFmtId="0" fontId="40" fillId="5" borderId="1" xfId="0" applyFont="1" applyFill="1" applyBorder="1" applyAlignment="1" applyProtection="1"/>
    <xf numFmtId="181" fontId="46" fillId="5" borderId="1" xfId="0" applyNumberFormat="1" applyFont="1" applyFill="1" applyBorder="1" applyAlignment="1" applyProtection="1">
      <alignment horizontal="center"/>
    </xf>
    <xf numFmtId="181" fontId="40" fillId="5" borderId="1" xfId="0" applyNumberFormat="1" applyFont="1" applyFill="1" applyBorder="1" applyAlignment="1" applyProtection="1">
      <alignment horizontal="center"/>
    </xf>
    <xf numFmtId="0" fontId="38" fillId="5" borderId="47" xfId="1" applyFont="1" applyFill="1" applyBorder="1" applyAlignment="1" applyProtection="1">
      <alignment vertical="center"/>
    </xf>
    <xf numFmtId="0" fontId="40" fillId="3" borderId="0" xfId="0" applyFont="1" applyFill="1" applyProtection="1">
      <alignment vertical="center"/>
      <protection locked="0"/>
    </xf>
    <xf numFmtId="0" fontId="38" fillId="5" borderId="46" xfId="0" applyFont="1" applyFill="1" applyBorder="1" applyAlignment="1" applyProtection="1"/>
    <xf numFmtId="0" fontId="38" fillId="5" borderId="47" xfId="0" applyFont="1" applyFill="1" applyBorder="1" applyAlignment="1" applyProtection="1"/>
    <xf numFmtId="0" fontId="38" fillId="5" borderId="38" xfId="0" applyFont="1" applyFill="1" applyBorder="1" applyAlignment="1" applyProtection="1"/>
    <xf numFmtId="0" fontId="54" fillId="3" borderId="0" xfId="0" applyFont="1" applyFill="1" applyAlignment="1" applyProtection="1">
      <protection locked="0"/>
    </xf>
    <xf numFmtId="0" fontId="39" fillId="5" borderId="7" xfId="0" applyFont="1" applyFill="1" applyBorder="1" applyAlignment="1" applyProtection="1">
      <alignment horizontal="center"/>
    </xf>
    <xf numFmtId="0" fontId="39" fillId="5" borderId="35" xfId="0" applyFont="1" applyFill="1" applyBorder="1" applyAlignment="1" applyProtection="1"/>
    <xf numFmtId="0" fontId="39" fillId="0" borderId="0" xfId="0" applyFont="1" applyFill="1" applyAlignment="1" applyProtection="1">
      <protection locked="0"/>
    </xf>
    <xf numFmtId="0" fontId="40" fillId="5" borderId="2" xfId="0" applyFont="1" applyFill="1" applyBorder="1" applyAlignment="1" applyProtection="1"/>
    <xf numFmtId="186" fontId="40" fillId="0" borderId="1" xfId="0" applyNumberFormat="1" applyFont="1" applyFill="1" applyBorder="1" applyAlignment="1" applyProtection="1">
      <alignment horizontal="center"/>
      <protection locked="0"/>
    </xf>
    <xf numFmtId="0" fontId="40" fillId="0" borderId="0" xfId="0" applyFont="1" applyFill="1" applyAlignment="1" applyProtection="1">
      <protection locked="0"/>
    </xf>
    <xf numFmtId="176" fontId="98" fillId="5" borderId="1"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0" fontId="39" fillId="5" borderId="1" xfId="0" applyFont="1" applyFill="1" applyBorder="1" applyAlignment="1" applyProtection="1"/>
    <xf numFmtId="0" fontId="38" fillId="5" borderId="19"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0" fontId="39" fillId="5" borderId="2" xfId="0" applyFont="1" applyFill="1" applyBorder="1" applyAlignment="1" applyProtection="1"/>
    <xf numFmtId="186" fontId="39" fillId="5" borderId="1" xfId="0" applyNumberFormat="1" applyFont="1" applyFill="1" applyBorder="1" applyAlignment="1" applyProtection="1">
      <alignment horizontal="center"/>
    </xf>
    <xf numFmtId="0" fontId="39" fillId="5" borderId="1" xfId="0" applyFont="1" applyFill="1" applyBorder="1" applyAlignment="1" applyProtection="1">
      <alignment horizontal="center"/>
    </xf>
    <xf numFmtId="0" fontId="39" fillId="5" borderId="51" xfId="0" applyFont="1" applyFill="1" applyBorder="1" applyAlignment="1" applyProtection="1"/>
    <xf numFmtId="0" fontId="39" fillId="5" borderId="41" xfId="0" applyFont="1" applyFill="1" applyBorder="1" applyAlignment="1" applyProtection="1"/>
    <xf numFmtId="0" fontId="37" fillId="3" borderId="0" xfId="0" applyFont="1" applyFill="1" applyAlignment="1" applyProtection="1">
      <protection locked="0"/>
    </xf>
    <xf numFmtId="0" fontId="40" fillId="5" borderId="2" xfId="1" applyFont="1" applyFill="1" applyBorder="1" applyAlignment="1" applyProtection="1"/>
    <xf numFmtId="177" fontId="40" fillId="5" borderId="1" xfId="0" applyNumberFormat="1" applyFont="1" applyFill="1" applyBorder="1" applyAlignment="1" applyProtection="1">
      <alignment horizontal="center" vertical="center"/>
    </xf>
    <xf numFmtId="179" fontId="40" fillId="5" borderId="1" xfId="1" applyNumberFormat="1" applyFont="1" applyFill="1" applyBorder="1" applyAlignment="1" applyProtection="1">
      <alignment horizontal="center"/>
    </xf>
    <xf numFmtId="181" fontId="40" fillId="5" borderId="1" xfId="1" applyNumberFormat="1" applyFont="1" applyFill="1" applyBorder="1" applyAlignment="1" applyProtection="1">
      <alignment horizontal="center"/>
    </xf>
    <xf numFmtId="0" fontId="42" fillId="3" borderId="0" xfId="0" applyFont="1" applyFill="1" applyProtection="1">
      <alignment vertical="center"/>
      <protection locked="0"/>
    </xf>
    <xf numFmtId="9" fontId="40" fillId="5" borderId="1" xfId="1" applyNumberFormat="1" applyFont="1" applyFill="1" applyBorder="1" applyAlignment="1" applyProtection="1">
      <alignment horizontal="center"/>
    </xf>
    <xf numFmtId="0" fontId="42" fillId="0" borderId="0" xfId="0" applyFont="1" applyFill="1" applyProtection="1">
      <alignment vertical="center"/>
      <protection locked="0"/>
    </xf>
    <xf numFmtId="177" fontId="40" fillId="5" borderId="1" xfId="1" applyNumberFormat="1"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0" fillId="5" borderId="2" xfId="0" applyFont="1" applyFill="1" applyBorder="1" applyAlignment="1" applyProtection="1">
      <alignment horizontal="left"/>
    </xf>
    <xf numFmtId="0" fontId="40" fillId="5" borderId="51" xfId="0" applyFont="1" applyFill="1" applyBorder="1" applyAlignment="1" applyProtection="1">
      <alignment horizontal="left"/>
    </xf>
    <xf numFmtId="0" fontId="40" fillId="5" borderId="41" xfId="0" applyFont="1" applyFill="1" applyBorder="1" applyAlignment="1" applyProtection="1">
      <alignment horizontal="left"/>
    </xf>
    <xf numFmtId="177" fontId="40" fillId="5" borderId="1" xfId="1" applyNumberFormat="1" applyFont="1" applyFill="1" applyBorder="1" applyAlignment="1" applyProtection="1">
      <alignment horizontal="center"/>
    </xf>
    <xf numFmtId="10" fontId="40" fillId="5" borderId="1" xfId="1" applyNumberFormat="1" applyFont="1" applyFill="1" applyBorder="1" applyAlignment="1" applyProtection="1">
      <alignment horizontal="center"/>
    </xf>
    <xf numFmtId="0" fontId="39" fillId="5" borderId="2" xfId="1" applyFont="1" applyFill="1" applyBorder="1" applyAlignment="1" applyProtection="1"/>
    <xf numFmtId="177" fontId="39" fillId="5" borderId="1" xfId="1" applyNumberFormat="1" applyFont="1" applyFill="1" applyBorder="1" applyAlignment="1" applyProtection="1">
      <alignment horizontal="center"/>
    </xf>
    <xf numFmtId="0" fontId="39" fillId="5" borderId="1" xfId="1" applyFont="1" applyFill="1" applyBorder="1" applyAlignment="1" applyProtection="1"/>
    <xf numFmtId="177" fontId="39" fillId="5" borderId="1" xfId="1" applyNumberFormat="1" applyFont="1" applyFill="1" applyBorder="1" applyAlignment="1" applyProtection="1"/>
    <xf numFmtId="10" fontId="39" fillId="5" borderId="1" xfId="1" applyNumberFormat="1" applyFont="1" applyFill="1" applyBorder="1" applyAlignment="1" applyProtection="1">
      <alignment horizontal="center"/>
    </xf>
    <xf numFmtId="0" fontId="42" fillId="3" borderId="0" xfId="0" applyFont="1" applyFill="1" applyAlignment="1" applyProtection="1">
      <protection locked="0"/>
    </xf>
    <xf numFmtId="0" fontId="39" fillId="5" borderId="1" xfId="0" applyFont="1" applyFill="1" applyBorder="1" applyAlignment="1" applyProtection="1">
      <alignment horizontal="right" vertical="center"/>
    </xf>
    <xf numFmtId="177" fontId="39" fillId="5" borderId="1" xfId="1" applyNumberFormat="1" applyFont="1" applyFill="1" applyBorder="1" applyAlignment="1" applyProtection="1">
      <alignment vertical="center"/>
    </xf>
    <xf numFmtId="0" fontId="37" fillId="5" borderId="2" xfId="0" applyFont="1" applyFill="1" applyBorder="1" applyAlignment="1" applyProtection="1"/>
    <xf numFmtId="0" fontId="37" fillId="5" borderId="51" xfId="0" applyFont="1" applyFill="1" applyBorder="1" applyAlignment="1" applyProtection="1"/>
    <xf numFmtId="0" fontId="37" fillId="5" borderId="41" xfId="0" applyFont="1" applyFill="1" applyBorder="1" applyAlignment="1" applyProtection="1"/>
    <xf numFmtId="177" fontId="39" fillId="5" borderId="0" xfId="0" applyNumberFormat="1" applyFont="1" applyFill="1" applyBorder="1" applyAlignment="1" applyProtection="1">
      <alignment horizontal="center"/>
    </xf>
    <xf numFmtId="177" fontId="39" fillId="5" borderId="51" xfId="1" applyNumberFormat="1" applyFont="1" applyFill="1" applyBorder="1" applyAlignment="1" applyProtection="1">
      <alignment vertical="center"/>
    </xf>
    <xf numFmtId="10" fontId="39" fillId="5" borderId="18" xfId="0" applyNumberFormat="1" applyFont="1" applyFill="1" applyBorder="1" applyAlignment="1" applyProtection="1">
      <alignment horizontal="center" vertical="center"/>
    </xf>
    <xf numFmtId="0" fontId="40" fillId="5" borderId="1" xfId="1" applyFont="1" applyFill="1" applyBorder="1" applyAlignment="1" applyProtection="1">
      <alignment horizontal="left"/>
    </xf>
    <xf numFmtId="187" fontId="40" fillId="5" borderId="3" xfId="0" applyNumberFormat="1" applyFont="1" applyFill="1" applyBorder="1" applyAlignment="1" applyProtection="1">
      <alignment horizontal="center"/>
    </xf>
    <xf numFmtId="187" fontId="40" fillId="5" borderId="1" xfId="0" applyNumberFormat="1" applyFont="1" applyFill="1" applyBorder="1" applyAlignment="1" applyProtection="1">
      <alignment horizontal="center" vertic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3" borderId="0" xfId="0" applyFont="1" applyFill="1" applyAlignment="1" applyProtection="1">
      <protection locked="0"/>
    </xf>
    <xf numFmtId="177" fontId="40" fillId="5" borderId="0" xfId="0" applyNumberFormat="1" applyFont="1" applyFill="1" applyBorder="1" applyAlignment="1" applyProtection="1">
      <alignment horizontal="center"/>
    </xf>
    <xf numFmtId="0" fontId="39" fillId="5" borderId="1" xfId="1" applyFont="1" applyFill="1" applyBorder="1" applyAlignment="1" applyProtection="1">
      <alignment vertical="center" wrapText="1"/>
    </xf>
    <xf numFmtId="177" fontId="39" fillId="5" borderId="3" xfId="0" applyNumberFormat="1" applyFont="1" applyFill="1" applyBorder="1" applyAlignment="1" applyProtection="1">
      <alignment horizontal="center" vertical="center" wrapText="1"/>
    </xf>
    <xf numFmtId="10" fontId="39"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0" fontId="40" fillId="5" borderId="2" xfId="1" applyFont="1" applyFill="1" applyBorder="1" applyAlignment="1" applyProtection="1">
      <alignment horizontal="left"/>
    </xf>
    <xf numFmtId="10" fontId="40" fillId="5" borderId="1" xfId="0" applyNumberFormat="1" applyFont="1" applyFill="1" applyBorder="1" applyAlignment="1" applyProtection="1">
      <alignment horizontal="center" vertical="center" wrapText="1"/>
    </xf>
    <xf numFmtId="0" fontId="41" fillId="3" borderId="0" xfId="0" applyFont="1" applyFill="1" applyAlignment="1" applyProtection="1">
      <alignment vertical="center" wrapText="1"/>
      <protection locked="0"/>
    </xf>
    <xf numFmtId="177" fontId="40" fillId="5" borderId="1" xfId="0" applyNumberFormat="1" applyFont="1" applyFill="1" applyBorder="1" applyAlignment="1" applyProtection="1">
      <alignment horizontal="center" vertical="center" wrapText="1"/>
    </xf>
    <xf numFmtId="177" fontId="40" fillId="5" borderId="51" xfId="1" applyNumberFormat="1" applyFont="1" applyFill="1" applyBorder="1" applyAlignment="1" applyProtection="1"/>
    <xf numFmtId="177" fontId="39" fillId="5" borderId="1" xfId="0" applyNumberFormat="1" applyFont="1" applyFill="1" applyBorder="1" applyAlignment="1" applyProtection="1">
      <alignment horizontal="center"/>
    </xf>
    <xf numFmtId="177" fontId="39" fillId="5" borderId="1" xfId="0" applyNumberFormat="1" applyFont="1" applyFill="1" applyBorder="1" applyAlignment="1" applyProtection="1"/>
    <xf numFmtId="10" fontId="39" fillId="5" borderId="1" xfId="0" applyNumberFormat="1" applyFont="1" applyFill="1" applyBorder="1" applyAlignment="1" applyProtection="1">
      <alignment horizontal="center"/>
    </xf>
    <xf numFmtId="177" fontId="39" fillId="5" borderId="2" xfId="0" applyNumberFormat="1" applyFont="1" applyFill="1" applyBorder="1" applyAlignment="1" applyProtection="1"/>
    <xf numFmtId="177" fontId="39" fillId="5" borderId="51" xfId="0" applyNumberFormat="1" applyFont="1" applyFill="1" applyBorder="1" applyAlignment="1" applyProtection="1"/>
    <xf numFmtId="177" fontId="39" fillId="5" borderId="41" xfId="0" applyNumberFormat="1" applyFont="1" applyFill="1" applyBorder="1" applyAlignment="1" applyProtection="1"/>
    <xf numFmtId="0" fontId="39" fillId="5" borderId="20" xfId="0" applyFont="1" applyFill="1" applyBorder="1" applyAlignment="1" applyProtection="1"/>
    <xf numFmtId="0" fontId="39" fillId="5" borderId="48" xfId="0" applyFont="1" applyFill="1" applyBorder="1" applyAlignment="1" applyProtection="1"/>
    <xf numFmtId="186" fontId="38" fillId="5" borderId="61" xfId="0" applyNumberFormat="1" applyFont="1" applyFill="1" applyBorder="1" applyAlignment="1" applyProtection="1">
      <alignment horizontal="center"/>
    </xf>
    <xf numFmtId="0" fontId="38" fillId="5" borderId="44" xfId="0" applyFont="1" applyFill="1" applyBorder="1" applyAlignment="1" applyProtection="1"/>
    <xf numFmtId="0" fontId="39" fillId="5" borderId="62" xfId="0" applyFont="1" applyFill="1" applyBorder="1" applyAlignment="1" applyProtection="1"/>
    <xf numFmtId="0" fontId="40" fillId="3" borderId="0" xfId="0" applyFont="1" applyFill="1" applyAlignment="1" applyProtection="1">
      <alignment horizontal="center"/>
      <protection locked="0"/>
    </xf>
    <xf numFmtId="0" fontId="40" fillId="3" borderId="0" xfId="0" applyFont="1" applyFill="1" applyAlignment="1" applyProtection="1">
      <protection locked="0"/>
    </xf>
    <xf numFmtId="186" fontId="40" fillId="3" borderId="0" xfId="0" applyNumberFormat="1" applyFont="1" applyFill="1" applyAlignment="1" applyProtection="1">
      <alignment horizontal="center"/>
      <protection locked="0"/>
    </xf>
    <xf numFmtId="49" fontId="55" fillId="5" borderId="65" xfId="0" applyNumberFormat="1" applyFont="1" applyFill="1" applyBorder="1" applyAlignment="1" applyProtection="1"/>
    <xf numFmtId="0" fontId="56" fillId="5" borderId="0" xfId="0" applyFont="1" applyFill="1" applyAlignment="1" applyProtection="1">
      <alignment horizontal="center" vertical="center"/>
    </xf>
    <xf numFmtId="0" fontId="57" fillId="0" borderId="0" xfId="0" applyFont="1" applyFill="1" applyAlignment="1" applyProtection="1">
      <alignment vertical="center"/>
      <protection locked="0"/>
    </xf>
    <xf numFmtId="0" fontId="38" fillId="5" borderId="1" xfId="0" applyFont="1" applyFill="1" applyBorder="1" applyAlignment="1" applyProtection="1">
      <alignment horizontal="center" vertical="center"/>
    </xf>
    <xf numFmtId="0" fontId="51" fillId="0" borderId="0" xfId="0" applyFont="1" applyFill="1" applyAlignment="1" applyProtection="1">
      <alignment vertical="center"/>
      <protection locked="0"/>
    </xf>
    <xf numFmtId="0" fontId="50" fillId="5" borderId="61" xfId="1" applyFont="1" applyFill="1" applyBorder="1" applyAlignment="1" applyProtection="1">
      <alignment vertical="center"/>
    </xf>
    <xf numFmtId="49" fontId="55" fillId="5" borderId="0" xfId="0" applyNumberFormat="1" applyFont="1" applyFill="1" applyBorder="1" applyAlignment="1" applyProtection="1">
      <alignment horizontal="center"/>
    </xf>
    <xf numFmtId="49" fontId="40" fillId="5" borderId="4" xfId="0" applyNumberFormat="1"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40" fillId="5" borderId="38" xfId="0" applyFont="1" applyFill="1" applyBorder="1" applyAlignment="1" applyProtection="1">
      <alignment horizontal="center" vertical="center"/>
    </xf>
    <xf numFmtId="49" fontId="45" fillId="5" borderId="16" xfId="0" applyNumberFormat="1" applyFont="1" applyFill="1" applyBorder="1" applyAlignment="1" applyProtection="1">
      <alignment vertical="center"/>
    </xf>
    <xf numFmtId="0" fontId="45" fillId="5" borderId="18" xfId="0" applyFont="1" applyFill="1" applyBorder="1" applyAlignment="1" applyProtection="1">
      <alignment vertical="center" wrapText="1"/>
    </xf>
    <xf numFmtId="0" fontId="45" fillId="5" borderId="18" xfId="0" applyFont="1" applyFill="1" applyBorder="1" applyAlignment="1" applyProtection="1">
      <alignment horizontal="center" vertical="center"/>
    </xf>
    <xf numFmtId="0" fontId="40" fillId="5" borderId="1" xfId="0" applyFont="1" applyFill="1" applyBorder="1" applyAlignment="1" applyProtection="1">
      <alignment horizontal="left" vertical="center"/>
    </xf>
    <xf numFmtId="0" fontId="45" fillId="5" borderId="6" xfId="0" applyFont="1" applyFill="1" applyBorder="1" applyAlignment="1" applyProtection="1">
      <alignment horizontal="center" vertical="center"/>
    </xf>
    <xf numFmtId="49" fontId="45" fillId="5" borderId="26" xfId="0" applyNumberFormat="1" applyFont="1" applyFill="1" applyBorder="1" applyAlignment="1" applyProtection="1">
      <alignment vertical="center"/>
    </xf>
    <xf numFmtId="0" fontId="45" fillId="5" borderId="49" xfId="0" applyFont="1" applyFill="1" applyBorder="1" applyAlignment="1" applyProtection="1">
      <alignment vertical="center" wrapText="1"/>
    </xf>
    <xf numFmtId="0" fontId="45" fillId="5" borderId="49" xfId="0" applyFont="1" applyFill="1" applyBorder="1" applyAlignment="1" applyProtection="1">
      <alignment horizontal="center" vertical="center"/>
    </xf>
    <xf numFmtId="0" fontId="40" fillId="5" borderId="49" xfId="0" applyFont="1" applyFill="1" applyBorder="1" applyAlignment="1" applyProtection="1">
      <alignment vertical="center"/>
    </xf>
    <xf numFmtId="49" fontId="45" fillId="5" borderId="23" xfId="0" applyNumberFormat="1" applyFont="1" applyFill="1" applyBorder="1" applyAlignment="1" applyProtection="1">
      <alignment vertical="center"/>
    </xf>
    <xf numFmtId="0" fontId="45" fillId="5" borderId="17" xfId="0" applyFont="1" applyFill="1" applyBorder="1" applyAlignment="1" applyProtection="1">
      <alignment vertical="center" wrapText="1"/>
    </xf>
    <xf numFmtId="0" fontId="45" fillId="5" borderId="17" xfId="0" applyFont="1" applyFill="1" applyBorder="1" applyAlignment="1" applyProtection="1">
      <alignment horizontal="center" vertical="center"/>
    </xf>
    <xf numFmtId="0" fontId="40" fillId="5" borderId="17" xfId="0" applyFont="1" applyFill="1" applyBorder="1" applyAlignment="1" applyProtection="1">
      <alignment vertical="center"/>
    </xf>
    <xf numFmtId="181" fontId="45" fillId="5" borderId="6" xfId="0" applyNumberFormat="1" applyFont="1" applyFill="1" applyBorder="1" applyAlignment="1" applyProtection="1">
      <alignment horizontal="center" vertical="center"/>
    </xf>
    <xf numFmtId="0" fontId="40" fillId="5" borderId="18" xfId="0" applyFont="1" applyFill="1" applyBorder="1" applyAlignment="1" applyProtection="1">
      <alignment horizontal="left" vertical="center"/>
    </xf>
    <xf numFmtId="181" fontId="45" fillId="5" borderId="58" xfId="0" applyNumberFormat="1" applyFont="1" applyFill="1" applyBorder="1" applyAlignment="1" applyProtection="1">
      <alignment horizontal="center" vertical="center"/>
    </xf>
    <xf numFmtId="49" fontId="45" fillId="5" borderId="7" xfId="0" applyNumberFormat="1"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xf>
    <xf numFmtId="0" fontId="54" fillId="5" borderId="51" xfId="0" applyFont="1" applyFill="1" applyBorder="1" applyAlignment="1" applyProtection="1">
      <alignment vertical="center"/>
    </xf>
    <xf numFmtId="0" fontId="54" fillId="5" borderId="41" xfId="0" applyFont="1" applyFill="1" applyBorder="1" applyAlignment="1" applyProtection="1">
      <alignment vertical="center"/>
    </xf>
    <xf numFmtId="49" fontId="40" fillId="5" borderId="7" xfId="0" applyNumberFormat="1" applyFont="1" applyFill="1" applyBorder="1" applyAlignment="1" applyProtection="1">
      <alignment horizontal="left" vertical="center"/>
    </xf>
    <xf numFmtId="0" fontId="98" fillId="5" borderId="2" xfId="0" applyFont="1" applyFill="1" applyBorder="1" applyAlignment="1" applyProtection="1">
      <alignment horizontal="center" vertical="center"/>
    </xf>
    <xf numFmtId="0" fontId="40" fillId="5" borderId="17" xfId="0" applyFont="1" applyFill="1" applyBorder="1" applyAlignment="1" applyProtection="1">
      <alignment horizontal="left" vertical="center"/>
    </xf>
    <xf numFmtId="181" fontId="40" fillId="5" borderId="34" xfId="0" applyNumberFormat="1" applyFont="1" applyFill="1" applyBorder="1" applyAlignment="1" applyProtection="1">
      <alignment horizontal="center" vertical="center"/>
    </xf>
    <xf numFmtId="0" fontId="58" fillId="0" borderId="0" xfId="0" applyFont="1" applyFill="1" applyAlignment="1" applyProtection="1">
      <alignment vertical="center"/>
      <protection locked="0"/>
    </xf>
    <xf numFmtId="181" fontId="40" fillId="5" borderId="6" xfId="0" applyNumberFormat="1" applyFont="1" applyFill="1" applyBorder="1" applyAlignment="1" applyProtection="1">
      <alignment horizontal="center" vertical="center"/>
    </xf>
    <xf numFmtId="0" fontId="40" fillId="5" borderId="1" xfId="0" applyFont="1" applyFill="1" applyBorder="1" applyAlignment="1" applyProtection="1">
      <alignment vertical="center" wrapText="1"/>
    </xf>
    <xf numFmtId="49" fontId="40" fillId="5" borderId="16" xfId="0" applyNumberFormat="1" applyFont="1" applyFill="1" applyBorder="1" applyAlignment="1" applyProtection="1">
      <alignment vertical="center"/>
    </xf>
    <xf numFmtId="0" fontId="40" fillId="5" borderId="18" xfId="0" applyFont="1" applyFill="1" applyBorder="1" applyAlignment="1" applyProtection="1">
      <alignment horizontal="left" vertical="center" wrapText="1"/>
    </xf>
    <xf numFmtId="0" fontId="40" fillId="5" borderId="6" xfId="0" applyFont="1" applyFill="1" applyBorder="1" applyAlignment="1" applyProtection="1">
      <alignment horizontal="center" vertical="center"/>
    </xf>
    <xf numFmtId="49" fontId="40" fillId="5" borderId="23" xfId="0" applyNumberFormat="1" applyFont="1" applyFill="1" applyBorder="1" applyAlignment="1" applyProtection="1">
      <alignment vertical="center"/>
    </xf>
    <xf numFmtId="0" fontId="40" fillId="5" borderId="17" xfId="0" applyFont="1" applyFill="1" applyBorder="1" applyAlignment="1" applyProtection="1">
      <alignment horizontal="left" vertical="center" wrapText="1"/>
    </xf>
    <xf numFmtId="10" fontId="45" fillId="5" borderId="6" xfId="0" applyNumberFormat="1" applyFont="1" applyFill="1" applyBorder="1" applyAlignment="1" applyProtection="1">
      <alignment horizontal="center" vertical="center"/>
    </xf>
    <xf numFmtId="183" fontId="45" fillId="5" borderId="6" xfId="0" applyNumberFormat="1" applyFont="1" applyFill="1" applyBorder="1" applyAlignment="1" applyProtection="1">
      <alignment horizontal="center" vertical="center"/>
    </xf>
    <xf numFmtId="10" fontId="40" fillId="5" borderId="6" xfId="0" applyNumberFormat="1" applyFont="1" applyFill="1" applyBorder="1" applyAlignment="1" applyProtection="1">
      <alignment horizontal="center" vertical="center"/>
    </xf>
    <xf numFmtId="0" fontId="40" fillId="5" borderId="41" xfId="0" applyFont="1" applyFill="1" applyBorder="1" applyAlignment="1" applyProtection="1">
      <alignment horizontal="center" vertical="center" wrapText="1"/>
    </xf>
    <xf numFmtId="0" fontId="40" fillId="5" borderId="49" xfId="0" applyFont="1" applyFill="1" applyBorder="1" applyAlignment="1" applyProtection="1">
      <alignment horizontal="left" vertical="center" wrapText="1"/>
    </xf>
    <xf numFmtId="179" fontId="45" fillId="5" borderId="6" xfId="0" applyNumberFormat="1" applyFont="1" applyFill="1" applyBorder="1" applyAlignment="1" applyProtection="1">
      <alignment horizontal="center" vertical="center"/>
    </xf>
    <xf numFmtId="49" fontId="45" fillId="5" borderId="8" xfId="0" applyNumberFormat="1" applyFont="1" applyFill="1" applyBorder="1" applyAlignment="1" applyProtection="1">
      <alignment horizontal="left" vertical="center"/>
    </xf>
    <xf numFmtId="0" fontId="45" fillId="5" borderId="61" xfId="0" applyFont="1" applyFill="1" applyBorder="1" applyAlignment="1" applyProtection="1">
      <alignment horizontal="left" vertical="center"/>
    </xf>
    <xf numFmtId="0" fontId="45" fillId="5" borderId="61" xfId="0" applyFont="1" applyFill="1" applyBorder="1" applyAlignment="1" applyProtection="1">
      <alignment horizontal="center" vertical="center"/>
    </xf>
    <xf numFmtId="0" fontId="40" fillId="5" borderId="61" xfId="0" applyFont="1" applyFill="1" applyBorder="1" applyAlignment="1" applyProtection="1">
      <alignment vertical="center"/>
    </xf>
    <xf numFmtId="0" fontId="40" fillId="5" borderId="61" xfId="0" applyFont="1" applyFill="1" applyBorder="1" applyAlignment="1" applyProtection="1">
      <alignment horizontal="left" vertical="center"/>
    </xf>
    <xf numFmtId="179" fontId="45" fillId="5" borderId="43" xfId="0" applyNumberFormat="1" applyFont="1" applyFill="1" applyBorder="1" applyAlignment="1" applyProtection="1">
      <alignment horizontal="center" vertical="center"/>
    </xf>
    <xf numFmtId="0" fontId="51" fillId="0" borderId="0" xfId="0" applyFont="1" applyFill="1" applyAlignment="1" applyProtection="1">
      <alignment horizontal="left" vertical="center"/>
      <protection locked="0"/>
    </xf>
    <xf numFmtId="0" fontId="37" fillId="5" borderId="1" xfId="0" applyFont="1" applyFill="1" applyBorder="1" applyAlignment="1" applyProtection="1"/>
    <xf numFmtId="0" fontId="37" fillId="5" borderId="1" xfId="0" applyFont="1" applyFill="1" applyBorder="1" applyAlignment="1" applyProtection="1">
      <alignment horizontal="center"/>
    </xf>
    <xf numFmtId="0" fontId="46" fillId="5" borderId="1" xfId="0" applyFont="1" applyFill="1" applyBorder="1" applyAlignment="1" applyProtection="1">
      <alignment horizontal="left"/>
    </xf>
    <xf numFmtId="186" fontId="46" fillId="5" borderId="1" xfId="0" applyNumberFormat="1" applyFont="1" applyFill="1" applyBorder="1" applyAlignment="1" applyProtection="1">
      <alignment horizontal="center"/>
    </xf>
    <xf numFmtId="0" fontId="46" fillId="5" borderId="1" xfId="0" applyFont="1" applyFill="1" applyBorder="1" applyAlignment="1" applyProtection="1">
      <alignment vertical="center" wrapText="1"/>
    </xf>
    <xf numFmtId="181" fontId="45" fillId="5" borderId="1" xfId="0" applyNumberFormat="1" applyFont="1" applyFill="1" applyBorder="1" applyAlignment="1" applyProtection="1">
      <alignment horizontal="center" vertical="center"/>
    </xf>
    <xf numFmtId="0" fontId="99" fillId="5" borderId="1" xfId="0" applyFont="1" applyFill="1" applyBorder="1" applyAlignment="1" applyProtection="1">
      <alignment horizontal="left"/>
    </xf>
    <xf numFmtId="0" fontId="99" fillId="5" borderId="1" xfId="0" applyFont="1" applyFill="1" applyBorder="1" applyAlignment="1" applyProtection="1">
      <alignment horizontal="center"/>
    </xf>
    <xf numFmtId="0" fontId="53" fillId="5" borderId="1" xfId="0" applyFont="1" applyFill="1" applyBorder="1" applyAlignment="1" applyProtection="1">
      <alignment horizontal="center"/>
    </xf>
    <xf numFmtId="0" fontId="51" fillId="0" borderId="0" xfId="0" applyFont="1" applyFill="1" applyAlignment="1" applyProtection="1">
      <alignment horizontal="center" vertical="center"/>
      <protection locked="0"/>
    </xf>
    <xf numFmtId="0" fontId="97" fillId="5" borderId="35" xfId="0" applyFont="1" applyFill="1" applyBorder="1" applyAlignment="1" applyProtection="1">
      <alignment vertical="center"/>
    </xf>
    <xf numFmtId="0" fontId="55" fillId="5" borderId="36" xfId="0" applyFont="1" applyFill="1" applyBorder="1" applyAlignment="1" applyProtection="1">
      <alignment horizontal="right" vertical="center"/>
    </xf>
    <xf numFmtId="0" fontId="55" fillId="5" borderId="0" xfId="0" applyFont="1" applyFill="1" applyAlignment="1" applyProtection="1">
      <alignment horizontal="center" vertical="center"/>
    </xf>
    <xf numFmtId="0" fontId="57" fillId="0" borderId="0" xfId="0" applyFont="1" applyFill="1" applyAlignment="1" applyProtection="1">
      <alignment horizontal="center" vertical="center"/>
      <protection locked="0"/>
    </xf>
    <xf numFmtId="0" fontId="50" fillId="5" borderId="18" xfId="0" applyFont="1" applyFill="1" applyBorder="1" applyAlignment="1" applyProtection="1">
      <alignment horizontal="right" vertical="center"/>
    </xf>
    <xf numFmtId="0" fontId="50" fillId="5" borderId="18" xfId="0" applyFont="1" applyFill="1" applyBorder="1" applyAlignment="1" applyProtection="1">
      <alignment horizontal="center" vertical="center"/>
    </xf>
    <xf numFmtId="0" fontId="43" fillId="5" borderId="5" xfId="0" applyFont="1" applyFill="1" applyBorder="1" applyAlignment="1" applyProtection="1">
      <alignment vertical="center" wrapText="1"/>
    </xf>
    <xf numFmtId="0" fontId="43" fillId="5" borderId="37" xfId="0" applyFont="1" applyFill="1" applyBorder="1" applyAlignment="1" applyProtection="1">
      <alignment vertical="center" wrapText="1"/>
    </xf>
    <xf numFmtId="0" fontId="44" fillId="0" borderId="0" xfId="0" applyFont="1" applyFill="1" applyAlignment="1" applyProtection="1">
      <alignment horizontal="center" vertical="center"/>
      <protection locked="0"/>
    </xf>
    <xf numFmtId="0" fontId="43" fillId="5" borderId="39" xfId="0" applyFont="1" applyFill="1" applyBorder="1" applyAlignment="1" applyProtection="1">
      <alignment vertical="center" wrapText="1"/>
    </xf>
    <xf numFmtId="0" fontId="43" fillId="5" borderId="0" xfId="0" applyFont="1" applyFill="1" applyBorder="1" applyAlignment="1" applyProtection="1">
      <alignment vertical="center" wrapText="1"/>
    </xf>
    <xf numFmtId="0" fontId="43" fillId="5" borderId="29" xfId="0" applyFont="1" applyFill="1" applyBorder="1" applyAlignment="1" applyProtection="1">
      <alignment vertical="center" wrapText="1"/>
    </xf>
    <xf numFmtId="0" fontId="43" fillId="5" borderId="40" xfId="0" applyFont="1" applyFill="1" applyBorder="1" applyAlignment="1" applyProtection="1">
      <alignment vertical="center" wrapText="1"/>
    </xf>
    <xf numFmtId="0" fontId="39" fillId="5" borderId="55" xfId="0" applyFont="1" applyFill="1" applyBorder="1" applyAlignment="1" applyProtection="1">
      <alignment vertical="center" wrapText="1"/>
    </xf>
    <xf numFmtId="0" fontId="39" fillId="5" borderId="66" xfId="0" applyFont="1" applyFill="1" applyBorder="1" applyAlignment="1" applyProtection="1">
      <alignment vertical="center" wrapText="1"/>
    </xf>
    <xf numFmtId="184" fontId="37" fillId="5" borderId="9" xfId="0" applyNumberFormat="1" applyFont="1" applyFill="1" applyBorder="1" applyAlignment="1" applyProtection="1">
      <alignment horizontal="center" vertical="center" wrapText="1"/>
    </xf>
    <xf numFmtId="0" fontId="37" fillId="5" borderId="15" xfId="0" applyNumberFormat="1" applyFont="1" applyFill="1" applyBorder="1" applyAlignment="1" applyProtection="1">
      <alignment horizontal="center" vertical="center" wrapText="1"/>
    </xf>
    <xf numFmtId="184" fontId="37" fillId="0" borderId="67"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xf>
    <xf numFmtId="49" fontId="37" fillId="2" borderId="9" xfId="0" applyNumberFormat="1" applyFont="1" applyFill="1" applyBorder="1" applyAlignment="1" applyProtection="1">
      <alignment horizontal="center" vertical="center" wrapText="1"/>
      <protection locked="0"/>
    </xf>
    <xf numFmtId="0" fontId="39" fillId="5" borderId="22" xfId="0" applyFont="1" applyFill="1" applyBorder="1" applyAlignment="1" applyProtection="1">
      <alignment vertical="center" wrapText="1"/>
    </xf>
    <xf numFmtId="0" fontId="37" fillId="0" borderId="46" xfId="0" applyNumberFormat="1" applyFont="1" applyFill="1" applyBorder="1" applyAlignment="1" applyProtection="1">
      <alignment horizontal="center" vertical="center" wrapText="1"/>
      <protection locked="0"/>
    </xf>
    <xf numFmtId="49" fontId="37" fillId="2" borderId="28" xfId="0" applyNumberFormat="1" applyFont="1" applyFill="1" applyBorder="1" applyAlignment="1" applyProtection="1">
      <alignment horizontal="center" vertical="center" wrapText="1"/>
      <protection locked="0"/>
    </xf>
    <xf numFmtId="49" fontId="37" fillId="2" borderId="4"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37" fillId="5" borderId="2" xfId="0" applyFont="1" applyFill="1" applyBorder="1" applyAlignment="1" applyProtection="1">
      <alignment horizontal="center" vertical="center" wrapText="1"/>
    </xf>
    <xf numFmtId="49" fontId="37" fillId="2" borderId="7" xfId="0" applyNumberFormat="1" applyFont="1" applyFill="1" applyBorder="1" applyAlignment="1" applyProtection="1">
      <alignment horizontal="center" vertical="center" wrapText="1"/>
      <protection locked="0"/>
    </xf>
    <xf numFmtId="49" fontId="37" fillId="2" borderId="3" xfId="0" applyNumberFormat="1" applyFont="1" applyFill="1" applyBorder="1" applyAlignment="1" applyProtection="1">
      <alignment horizontal="center" vertical="center" wrapText="1"/>
      <protection locked="0"/>
    </xf>
    <xf numFmtId="0" fontId="37" fillId="5" borderId="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wrapText="1"/>
    </xf>
    <xf numFmtId="0" fontId="37" fillId="0" borderId="7" xfId="0" applyNumberFormat="1" applyFont="1" applyFill="1" applyBorder="1" applyAlignment="1" applyProtection="1">
      <alignment horizontal="center" vertical="center" wrapText="1"/>
      <protection locked="0"/>
    </xf>
    <xf numFmtId="0" fontId="37" fillId="0" borderId="3" xfId="0" applyNumberFormat="1" applyFont="1" applyFill="1" applyBorder="1" applyAlignment="1" applyProtection="1">
      <alignment horizontal="center" vertical="center" wrapText="1"/>
      <protection locked="0"/>
    </xf>
    <xf numFmtId="0" fontId="39" fillId="5" borderId="26" xfId="0" applyFont="1" applyFill="1" applyBorder="1" applyAlignment="1" applyProtection="1">
      <alignment vertical="center" wrapText="1"/>
    </xf>
    <xf numFmtId="0" fontId="37" fillId="0" borderId="23" xfId="0" applyNumberFormat="1" applyFont="1" applyFill="1" applyBorder="1" applyAlignment="1" applyProtection="1">
      <alignment horizontal="center" vertical="center" wrapText="1"/>
      <protection locked="0"/>
    </xf>
    <xf numFmtId="0" fontId="37" fillId="5" borderId="68"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protection locked="0"/>
    </xf>
    <xf numFmtId="0" fontId="44" fillId="5" borderId="6" xfId="0" applyNumberFormat="1" applyFont="1" applyFill="1" applyBorder="1" applyAlignment="1" applyProtection="1">
      <alignment horizontal="center" vertical="center" wrapText="1"/>
    </xf>
    <xf numFmtId="0" fontId="43" fillId="5" borderId="42" xfId="0" applyFont="1" applyFill="1" applyBorder="1" applyAlignment="1" applyProtection="1">
      <alignment vertical="center" wrapText="1"/>
    </xf>
    <xf numFmtId="0" fontId="44" fillId="5" borderId="43" xfId="0" applyNumberFormat="1" applyFont="1" applyFill="1" applyBorder="1" applyAlignment="1" applyProtection="1">
      <alignment horizontal="center" vertical="center" wrapText="1"/>
    </xf>
    <xf numFmtId="0" fontId="44" fillId="5" borderId="4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wrapText="1"/>
    </xf>
    <xf numFmtId="0" fontId="44" fillId="5" borderId="59" xfId="0" applyNumberFormat="1" applyFont="1" applyFill="1" applyBorder="1" applyAlignment="1" applyProtection="1">
      <alignment horizontal="center" vertical="center" wrapText="1"/>
    </xf>
    <xf numFmtId="49" fontId="44" fillId="0" borderId="21" xfId="0" applyNumberFormat="1" applyFont="1" applyFill="1" applyBorder="1" applyAlignment="1" applyProtection="1">
      <alignment horizontal="center" vertical="center" wrapText="1"/>
      <protection locked="0"/>
    </xf>
    <xf numFmtId="0" fontId="44" fillId="5" borderId="12" xfId="0" applyNumberFormat="1" applyFont="1" applyFill="1" applyBorder="1" applyAlignment="1" applyProtection="1">
      <alignment horizontal="center" vertical="center" wrapText="1"/>
    </xf>
    <xf numFmtId="49" fontId="44" fillId="0" borderId="22"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xf>
    <xf numFmtId="0" fontId="44" fillId="2" borderId="23" xfId="0" applyNumberFormat="1" applyFont="1" applyFill="1" applyBorder="1" applyAlignment="1" applyProtection="1">
      <alignment horizontal="center" vertical="center" wrapText="1"/>
      <protection locked="0"/>
    </xf>
    <xf numFmtId="0" fontId="44" fillId="5" borderId="34" xfId="0" applyNumberFormat="1" applyFont="1" applyFill="1" applyBorder="1" applyAlignment="1" applyProtection="1">
      <alignment horizontal="center" vertical="center" wrapText="1"/>
    </xf>
    <xf numFmtId="49" fontId="44" fillId="2" borderId="24" xfId="0" applyNumberFormat="1" applyFont="1" applyFill="1" applyBorder="1" applyAlignment="1" applyProtection="1">
      <alignment horizontal="center" vertical="center" wrapText="1"/>
      <protection locked="0"/>
    </xf>
    <xf numFmtId="0" fontId="44" fillId="5" borderId="64" xfId="0" applyNumberFormat="1"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37" fillId="5" borderId="35" xfId="0" applyFont="1" applyFill="1" applyBorder="1" applyAlignment="1" applyProtection="1">
      <alignment horizontal="center" vertical="center" wrapText="1"/>
    </xf>
    <xf numFmtId="49" fontId="44" fillId="0" borderId="25" xfId="0" applyNumberFormat="1" applyFont="1" applyFill="1" applyBorder="1" applyAlignment="1" applyProtection="1">
      <alignment horizontal="center" vertical="center" wrapText="1"/>
      <protection locked="0"/>
    </xf>
    <xf numFmtId="0" fontId="44" fillId="5" borderId="60" xfId="0" applyNumberFormat="1" applyFont="1" applyFill="1" applyBorder="1" applyAlignment="1" applyProtection="1">
      <alignment horizontal="center" vertical="center" wrapText="1"/>
    </xf>
    <xf numFmtId="49" fontId="44" fillId="0" borderId="26" xfId="0" applyNumberFormat="1" applyFont="1" applyFill="1" applyBorder="1" applyAlignment="1" applyProtection="1">
      <alignment horizontal="center" vertical="center" wrapText="1"/>
      <protection locked="0"/>
    </xf>
    <xf numFmtId="0" fontId="44" fillId="5" borderId="58" xfId="0" applyNumberFormat="1"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4" fillId="2" borderId="26" xfId="0" applyNumberFormat="1" applyFont="1" applyFill="1" applyBorder="1" applyAlignment="1" applyProtection="1">
      <alignment horizontal="center" vertical="center" wrapText="1"/>
      <protection locked="0"/>
    </xf>
    <xf numFmtId="49" fontId="44" fillId="0" borderId="27" xfId="0" applyNumberFormat="1" applyFont="1" applyFill="1" applyBorder="1" applyAlignment="1" applyProtection="1">
      <alignment horizontal="center" vertical="center" wrapText="1"/>
      <protection locked="0"/>
    </xf>
    <xf numFmtId="0" fontId="44" fillId="5" borderId="35" xfId="0" applyNumberFormat="1" applyFont="1" applyFill="1" applyBorder="1" applyAlignment="1" applyProtection="1">
      <alignment horizontal="center" vertical="center" wrapText="1"/>
    </xf>
    <xf numFmtId="49" fontId="44" fillId="0" borderId="16"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5" borderId="2" xfId="0" applyNumberFormat="1" applyFont="1" applyFill="1" applyBorder="1" applyAlignment="1" applyProtection="1">
      <alignment horizontal="center" vertical="center" wrapText="1"/>
    </xf>
    <xf numFmtId="0" fontId="37" fillId="5" borderId="34" xfId="0" applyNumberFormat="1" applyFont="1" applyFill="1" applyBorder="1" applyAlignment="1" applyProtection="1">
      <alignment horizontal="center" vertical="center" wrapText="1"/>
    </xf>
    <xf numFmtId="0" fontId="37" fillId="5" borderId="6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textRotation="255" wrapText="1"/>
    </xf>
    <xf numFmtId="0" fontId="44" fillId="5" borderId="31" xfId="0" applyNumberFormat="1" applyFont="1" applyFill="1" applyBorder="1" applyAlignment="1" applyProtection="1">
      <alignment horizontal="center" vertical="center" wrapText="1"/>
    </xf>
    <xf numFmtId="0" fontId="67" fillId="5" borderId="26" xfId="0" applyFont="1" applyFill="1" applyBorder="1" applyAlignment="1" applyProtection="1">
      <alignment vertical="center" textRotation="255" wrapText="1"/>
    </xf>
    <xf numFmtId="0" fontId="37" fillId="0" borderId="19"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textRotation="255" wrapText="1"/>
    </xf>
    <xf numFmtId="0" fontId="39" fillId="5" borderId="26" xfId="0" applyFont="1" applyFill="1" applyBorder="1" applyAlignment="1" applyProtection="1">
      <alignment vertical="center" textRotation="255" wrapText="1"/>
    </xf>
    <xf numFmtId="9" fontId="37" fillId="0" borderId="19" xfId="0" applyNumberFormat="1" applyFont="1" applyFill="1" applyBorder="1" applyAlignment="1" applyProtection="1">
      <alignment horizontal="center" vertical="center" wrapText="1"/>
      <protection locked="0"/>
    </xf>
    <xf numFmtId="9" fontId="37" fillId="0" borderId="3" xfId="0" applyNumberFormat="1" applyFont="1" applyFill="1" applyBorder="1" applyAlignment="1" applyProtection="1">
      <alignment horizontal="center" vertical="center" wrapText="1"/>
      <protection locked="0"/>
    </xf>
    <xf numFmtId="9" fontId="37" fillId="0" borderId="7"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3" fillId="5" borderId="42" xfId="0" applyFont="1" applyFill="1" applyBorder="1" applyAlignment="1" applyProtection="1">
      <alignment vertical="center" textRotation="255" wrapText="1"/>
    </xf>
    <xf numFmtId="49" fontId="43" fillId="5" borderId="46" xfId="0" applyNumberFormat="1" applyFont="1" applyFill="1" applyBorder="1" applyAlignment="1" applyProtection="1">
      <alignment vertical="center"/>
    </xf>
    <xf numFmtId="49" fontId="43" fillId="5" borderId="47" xfId="0" applyNumberFormat="1" applyFont="1" applyFill="1" applyBorder="1" applyAlignment="1" applyProtection="1">
      <alignment vertical="center"/>
    </xf>
    <xf numFmtId="0" fontId="43" fillId="5" borderId="38" xfId="0" applyFont="1" applyFill="1" applyBorder="1" applyAlignment="1" applyProtection="1">
      <alignment vertical="center" wrapText="1"/>
    </xf>
    <xf numFmtId="0" fontId="68" fillId="3" borderId="47" xfId="0" applyFont="1" applyFill="1" applyBorder="1" applyAlignment="1" applyProtection="1">
      <alignment vertical="center" wrapText="1"/>
      <protection locked="0"/>
    </xf>
    <xf numFmtId="0" fontId="68" fillId="5" borderId="47" xfId="0" applyFont="1" applyFill="1" applyBorder="1" applyAlignment="1" applyProtection="1">
      <alignment vertical="center" wrapText="1"/>
    </xf>
    <xf numFmtId="0" fontId="68" fillId="3" borderId="46" xfId="0" applyFont="1" applyFill="1" applyBorder="1" applyAlignment="1" applyProtection="1">
      <alignment vertical="center" wrapText="1"/>
      <protection locked="0"/>
    </xf>
    <xf numFmtId="0" fontId="68" fillId="5" borderId="38" xfId="0" applyFont="1" applyFill="1" applyBorder="1" applyAlignment="1" applyProtection="1">
      <alignment vertical="center" wrapText="1"/>
    </xf>
    <xf numFmtId="49" fontId="43" fillId="5" borderId="20" xfId="0" applyNumberFormat="1" applyFont="1" applyFill="1" applyBorder="1" applyAlignment="1" applyProtection="1">
      <alignment vertical="center"/>
    </xf>
    <xf numFmtId="49" fontId="43" fillId="5" borderId="48" xfId="0" applyNumberFormat="1" applyFont="1" applyFill="1" applyBorder="1" applyAlignment="1" applyProtection="1">
      <alignment vertical="center"/>
    </xf>
    <xf numFmtId="186" fontId="43" fillId="5" borderId="20" xfId="0" applyNumberFormat="1" applyFont="1" applyFill="1" applyBorder="1" applyAlignment="1" applyProtection="1">
      <alignment vertical="center" wrapText="1"/>
    </xf>
    <xf numFmtId="186" fontId="43" fillId="5" borderId="48" xfId="0" applyNumberFormat="1" applyFont="1" applyFill="1" applyBorder="1" applyAlignment="1" applyProtection="1">
      <alignment vertical="center" wrapText="1"/>
    </xf>
    <xf numFmtId="49" fontId="43" fillId="0" borderId="29" xfId="0" applyNumberFormat="1" applyFont="1" applyFill="1" applyBorder="1" applyAlignment="1" applyProtection="1">
      <alignment vertical="center"/>
      <protection locked="0"/>
    </xf>
    <xf numFmtId="49" fontId="43" fillId="0" borderId="30" xfId="0" applyNumberFormat="1" applyFont="1" applyFill="1" applyBorder="1" applyAlignment="1" applyProtection="1">
      <alignment vertical="center"/>
      <protection locked="0"/>
    </xf>
    <xf numFmtId="186" fontId="43" fillId="5" borderId="40" xfId="0" applyNumberFormat="1" applyFont="1" applyFill="1" applyBorder="1" applyAlignment="1" applyProtection="1">
      <alignment vertical="center" wrapText="1"/>
    </xf>
    <xf numFmtId="189"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43"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wrapText="1"/>
    </xf>
    <xf numFmtId="181" fontId="44" fillId="5" borderId="2" xfId="0" applyNumberFormat="1" applyFont="1" applyFill="1" applyBorder="1" applyAlignment="1" applyProtection="1">
      <alignment horizontal="center" vertical="center"/>
    </xf>
    <xf numFmtId="181" fontId="44" fillId="5" borderId="3" xfId="0" applyNumberFormat="1" applyFont="1" applyFill="1" applyBorder="1" applyAlignment="1" applyProtection="1">
      <alignment vertical="center"/>
    </xf>
    <xf numFmtId="0" fontId="43" fillId="5" borderId="3" xfId="0"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44" fillId="0" borderId="0" xfId="0" applyFont="1" applyBorder="1" applyAlignment="1" applyProtection="1">
      <protection locked="0"/>
    </xf>
    <xf numFmtId="9" fontId="37" fillId="0" borderId="0" xfId="0" applyNumberFormat="1" applyFont="1" applyFill="1" applyBorder="1" applyAlignment="1" applyProtection="1">
      <alignment horizontal="center" vertical="center" wrapText="1"/>
      <protection locked="0"/>
    </xf>
    <xf numFmtId="0" fontId="39" fillId="5" borderId="5" xfId="0" applyNumberFormat="1" applyFont="1" applyFill="1" applyBorder="1" applyAlignment="1" applyProtection="1">
      <alignment vertical="center" wrapText="1"/>
    </xf>
    <xf numFmtId="0" fontId="39" fillId="5" borderId="21" xfId="0" applyNumberFormat="1" applyFont="1" applyFill="1" applyBorder="1" applyAlignment="1" applyProtection="1">
      <alignment vertical="center" wrapText="1"/>
    </xf>
    <xf numFmtId="49" fontId="37" fillId="0" borderId="0" xfId="0" applyNumberFormat="1" applyFont="1" applyFill="1" applyBorder="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9" fillId="5" borderId="39" xfId="0" applyNumberFormat="1" applyFont="1" applyFill="1" applyBorder="1" applyAlignment="1" applyProtection="1">
      <alignment vertical="center" wrapText="1"/>
    </xf>
    <xf numFmtId="0" fontId="39" fillId="5" borderId="25" xfId="0" applyNumberFormat="1" applyFont="1" applyFill="1" applyBorder="1" applyAlignment="1" applyProtection="1">
      <alignment vertical="center" wrapText="1"/>
    </xf>
    <xf numFmtId="0" fontId="37" fillId="0" borderId="18" xfId="0" applyNumberFormat="1" applyFont="1" applyFill="1" applyBorder="1" applyAlignment="1" applyProtection="1">
      <alignment horizontal="center" vertical="center" wrapText="1"/>
      <protection locked="0"/>
    </xf>
    <xf numFmtId="0" fontId="37" fillId="0" borderId="35"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9" fillId="5" borderId="29" xfId="0" applyNumberFormat="1" applyFont="1" applyFill="1" applyBorder="1" applyAlignment="1" applyProtection="1">
      <alignment vertical="center"/>
    </xf>
    <xf numFmtId="0" fontId="39" fillId="5" borderId="70" xfId="0" applyNumberFormat="1" applyFont="1" applyFill="1" applyBorder="1" applyAlignment="1" applyProtection="1">
      <alignment vertical="center" wrapText="1"/>
    </xf>
    <xf numFmtId="0" fontId="37"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vertical="center" wrapText="1"/>
    </xf>
    <xf numFmtId="0" fontId="37" fillId="5" borderId="24"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left" vertical="center" wrapText="1"/>
      <protection locked="0"/>
    </xf>
    <xf numFmtId="0" fontId="37" fillId="0" borderId="34" xfId="0" applyNumberFormat="1" applyFont="1" applyFill="1" applyBorder="1" applyAlignment="1" applyProtection="1">
      <alignment horizontal="center" vertical="center" wrapText="1"/>
      <protection locked="0"/>
    </xf>
    <xf numFmtId="0" fontId="95" fillId="0" borderId="0" xfId="0" applyFont="1" applyFill="1" applyBorder="1" applyAlignment="1" applyProtection="1">
      <alignment vertical="center"/>
      <protection locked="0"/>
    </xf>
    <xf numFmtId="0" fontId="43" fillId="5" borderId="22" xfId="0" applyNumberFormat="1" applyFont="1" applyFill="1" applyBorder="1" applyAlignment="1" applyProtection="1">
      <alignment vertical="center" wrapText="1"/>
    </xf>
    <xf numFmtId="0" fontId="37" fillId="5" borderId="57"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wrapText="1"/>
    </xf>
    <xf numFmtId="0" fontId="42" fillId="5" borderId="74" xfId="0" applyNumberFormat="1" applyFont="1" applyFill="1" applyBorder="1" applyAlignment="1" applyProtection="1">
      <alignment horizontal="center" vertical="center" wrapText="1"/>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7" fillId="5" borderId="54"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center" vertical="center" wrapText="1"/>
    </xf>
    <xf numFmtId="0" fontId="37" fillId="5" borderId="74"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37" fillId="5" borderId="49" xfId="0" applyNumberFormat="1" applyFont="1" applyFill="1" applyBorder="1" applyAlignment="1" applyProtection="1">
      <alignment horizontal="center" vertical="center" wrapText="1"/>
    </xf>
    <xf numFmtId="0" fontId="44" fillId="5" borderId="17"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left" vertical="center" wrapText="1"/>
      <protection locked="0"/>
    </xf>
    <xf numFmtId="0" fontId="42" fillId="0" borderId="33"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37" fillId="0" borderId="75" xfId="0" applyNumberFormat="1"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protection locked="0"/>
    </xf>
    <xf numFmtId="0" fontId="42" fillId="0" borderId="75" xfId="0" applyNumberFormat="1" applyFont="1" applyFill="1" applyBorder="1" applyAlignment="1" applyProtection="1">
      <alignment horizontal="center" vertical="center" wrapText="1"/>
      <protection locked="0"/>
    </xf>
    <xf numFmtId="0" fontId="42" fillId="0" borderId="76"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wrapText="1"/>
      <protection locked="0"/>
    </xf>
    <xf numFmtId="0" fontId="67" fillId="5" borderId="42" xfId="0" applyNumberFormat="1" applyFont="1" applyFill="1" applyBorder="1" applyAlignment="1" applyProtection="1">
      <alignment vertical="center" wrapText="1"/>
    </xf>
    <xf numFmtId="0" fontId="37" fillId="5" borderId="71" xfId="0" applyNumberFormat="1" applyFont="1" applyFill="1" applyBorder="1" applyAlignment="1" applyProtection="1">
      <alignment horizontal="center" vertical="center" wrapText="1"/>
    </xf>
    <xf numFmtId="0" fontId="37" fillId="0" borderId="61"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37"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37" fillId="5" borderId="32" xfId="0" applyNumberFormat="1" applyFont="1" applyFill="1" applyBorder="1" applyAlignment="1" applyProtection="1">
      <alignment horizontal="center" vertical="center" wrapText="1"/>
    </xf>
    <xf numFmtId="0" fontId="39"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left" vertical="center" wrapText="1"/>
      <protection locked="0"/>
    </xf>
    <xf numFmtId="0" fontId="37" fillId="0" borderId="33" xfId="0" applyNumberFormat="1" applyFont="1" applyFill="1" applyBorder="1" applyAlignment="1" applyProtection="1">
      <alignment horizontal="center" vertical="center" wrapText="1"/>
      <protection locked="0"/>
    </xf>
    <xf numFmtId="0" fontId="37" fillId="5" borderId="75"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textRotation="255" wrapText="1"/>
    </xf>
    <xf numFmtId="0" fontId="37" fillId="5" borderId="6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textRotation="255" wrapText="1"/>
    </xf>
    <xf numFmtId="0" fontId="42" fillId="5" borderId="32" xfId="0" applyNumberFormat="1" applyFont="1" applyFill="1" applyBorder="1" applyAlignment="1" applyProtection="1">
      <alignment horizontal="center" vertical="center" wrapText="1"/>
    </xf>
    <xf numFmtId="0" fontId="42" fillId="5" borderId="32" xfId="0" applyNumberFormat="1" applyFont="1" applyFill="1" applyBorder="1" applyAlignment="1" applyProtection="1">
      <alignment horizontal="left" vertical="center" wrapText="1"/>
    </xf>
    <xf numFmtId="0" fontId="42" fillId="5" borderId="33"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center" vertical="center" wrapText="1"/>
    </xf>
    <xf numFmtId="0" fontId="42" fillId="5" borderId="76" xfId="0" applyNumberFormat="1" applyFont="1" applyFill="1" applyBorder="1" applyAlignment="1" applyProtection="1">
      <alignment horizontal="center" vertical="center" wrapText="1"/>
    </xf>
    <xf numFmtId="186" fontId="50" fillId="5" borderId="18" xfId="0" applyNumberFormat="1" applyFont="1" applyFill="1" applyBorder="1" applyAlignment="1" applyProtection="1">
      <alignment horizontal="right" vertical="center"/>
    </xf>
    <xf numFmtId="189" fontId="37" fillId="5" borderId="3" xfId="0" applyNumberFormat="1" applyFont="1" applyFill="1" applyBorder="1" applyAlignment="1" applyProtection="1">
      <alignment horizontal="center" vertical="center" wrapText="1"/>
    </xf>
    <xf numFmtId="0" fontId="37" fillId="5" borderId="3"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5" borderId="3"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5" borderId="23" xfId="0" applyNumberFormat="1" applyFont="1" applyFill="1" applyBorder="1" applyAlignment="1" applyProtection="1">
      <alignment horizontal="center" vertical="center" wrapText="1"/>
    </xf>
    <xf numFmtId="0" fontId="44" fillId="2" borderId="19" xfId="0" applyNumberFormat="1" applyFont="1" applyFill="1" applyBorder="1" applyAlignment="1" applyProtection="1">
      <alignment horizontal="center" vertical="center" wrapText="1"/>
      <protection locked="0"/>
    </xf>
    <xf numFmtId="189" fontId="44" fillId="3" borderId="3" xfId="0" applyNumberFormat="1" applyFont="1" applyFill="1" applyBorder="1" applyAlignment="1" applyProtection="1">
      <alignment horizontal="center" vertical="center"/>
      <protection locked="0"/>
    </xf>
    <xf numFmtId="189" fontId="44" fillId="3" borderId="1" xfId="0" applyNumberFormat="1" applyFont="1" applyFill="1" applyBorder="1" applyAlignment="1" applyProtection="1">
      <alignment horizontal="center" vertical="center" wrapText="1"/>
      <protection locked="0"/>
    </xf>
    <xf numFmtId="0" fontId="37" fillId="5" borderId="33" xfId="0" applyNumberFormat="1" applyFont="1" applyFill="1" applyBorder="1" applyAlignment="1" applyProtection="1">
      <alignment horizontal="center" vertical="center" wrapText="1"/>
    </xf>
    <xf numFmtId="0" fontId="44"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center" vertical="center" wrapText="1"/>
      <protection locked="0"/>
    </xf>
    <xf numFmtId="0" fontId="37" fillId="0" borderId="42" xfId="0" applyNumberFormat="1" applyFont="1" applyFill="1" applyBorder="1" applyAlignment="1" applyProtection="1">
      <alignment horizontal="center" vertical="center" wrapText="1"/>
      <protection locked="0"/>
    </xf>
    <xf numFmtId="0" fontId="37" fillId="5" borderId="59" xfId="0" applyFont="1" applyFill="1" applyBorder="1" applyAlignment="1" applyProtection="1">
      <alignment horizontal="center" vertical="center" wrapText="1"/>
    </xf>
    <xf numFmtId="0" fontId="44" fillId="5" borderId="53" xfId="0" applyFont="1" applyFill="1" applyBorder="1" applyAlignment="1" applyProtection="1">
      <alignment horizontal="center" vertical="center"/>
    </xf>
    <xf numFmtId="0" fontId="37" fillId="5" borderId="58" xfId="0" applyFont="1" applyFill="1" applyBorder="1" applyAlignment="1" applyProtection="1">
      <alignment horizontal="center" vertical="center" wrapText="1"/>
    </xf>
    <xf numFmtId="0" fontId="37" fillId="5" borderId="34" xfId="0" applyFont="1" applyFill="1" applyBorder="1" applyAlignment="1" applyProtection="1">
      <alignment horizontal="center" vertical="center" wrapText="1"/>
    </xf>
    <xf numFmtId="0" fontId="37" fillId="5" borderId="50" xfId="0" applyFont="1" applyFill="1" applyBorder="1" applyAlignment="1" applyProtection="1">
      <alignment horizontal="center" vertical="center" wrapText="1"/>
    </xf>
    <xf numFmtId="0" fontId="44" fillId="2" borderId="51" xfId="0" applyNumberFormat="1" applyFont="1" applyFill="1" applyBorder="1" applyAlignment="1" applyProtection="1">
      <alignment horizontal="center" vertical="center" wrapText="1"/>
      <protection locked="0"/>
    </xf>
    <xf numFmtId="0" fontId="37" fillId="0" borderId="43" xfId="0" applyFont="1" applyFill="1" applyBorder="1" applyAlignment="1" applyProtection="1">
      <alignment horizontal="center" vertical="center" wrapText="1"/>
      <protection locked="0"/>
    </xf>
    <xf numFmtId="0" fontId="44" fillId="5" borderId="54"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64" fillId="5" borderId="77" xfId="0" applyFont="1" applyFill="1" applyBorder="1" applyAlignment="1" applyProtection="1">
      <alignment vertical="center" wrapText="1"/>
    </xf>
    <xf numFmtId="0" fontId="37" fillId="5" borderId="51" xfId="0" applyFont="1" applyFill="1" applyBorder="1" applyAlignment="1" applyProtection="1">
      <alignment horizontal="center" vertical="center" wrapText="1"/>
    </xf>
    <xf numFmtId="0" fontId="43" fillId="5" borderId="77" xfId="0" applyFont="1" applyFill="1" applyBorder="1" applyAlignment="1" applyProtection="1">
      <alignment vertical="center" wrapText="1"/>
    </xf>
    <xf numFmtId="0" fontId="37" fillId="0" borderId="36" xfId="0" applyFont="1" applyFill="1" applyBorder="1" applyAlignment="1" applyProtection="1">
      <alignment horizontal="center" vertical="center" wrapText="1"/>
      <protection locked="0"/>
    </xf>
    <xf numFmtId="0" fontId="39"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0" fontId="44" fillId="5" borderId="50" xfId="0" applyFont="1" applyFill="1" applyBorder="1" applyAlignment="1" applyProtection="1">
      <alignment horizontal="center" vertical="center"/>
    </xf>
    <xf numFmtId="0" fontId="37" fillId="0" borderId="58" xfId="0"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wrapText="1"/>
    </xf>
    <xf numFmtId="0" fontId="37" fillId="5" borderId="73" xfId="0" applyNumberFormat="1" applyFont="1" applyFill="1" applyBorder="1" applyAlignment="1" applyProtection="1">
      <alignment horizontal="center" vertical="center" wrapText="1"/>
    </xf>
    <xf numFmtId="0" fontId="43" fillId="5" borderId="5" xfId="0" applyFont="1" applyFill="1" applyBorder="1" applyAlignment="1" applyProtection="1">
      <alignment vertical="center" textRotation="255" wrapText="1"/>
    </xf>
    <xf numFmtId="0" fontId="67" fillId="5" borderId="39" xfId="0" applyFont="1" applyFill="1" applyBorder="1" applyAlignment="1" applyProtection="1">
      <alignment vertical="center" textRotation="255" wrapText="1"/>
    </xf>
    <xf numFmtId="0" fontId="37" fillId="5" borderId="6" xfId="0" applyFont="1" applyFill="1" applyBorder="1" applyAlignment="1" applyProtection="1">
      <alignment horizontal="center" vertical="center" wrapText="1"/>
    </xf>
    <xf numFmtId="49" fontId="37" fillId="0"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37" fillId="2" borderId="19" xfId="0" applyNumberFormat="1"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textRotation="255" wrapText="1"/>
    </xf>
    <xf numFmtId="0" fontId="43" fillId="5" borderId="29" xfId="0" applyFont="1" applyFill="1" applyBorder="1" applyAlignment="1" applyProtection="1">
      <alignment vertical="center" textRotation="255" wrapText="1"/>
    </xf>
    <xf numFmtId="0" fontId="44" fillId="5" borderId="49" xfId="0" applyNumberFormat="1" applyFont="1" applyFill="1" applyBorder="1" applyAlignment="1" applyProtection="1">
      <alignment horizontal="center" vertical="center" wrapText="1"/>
    </xf>
    <xf numFmtId="49" fontId="44"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left" vertical="center" wrapText="1"/>
      <protection locked="0"/>
    </xf>
    <xf numFmtId="49" fontId="66" fillId="0" borderId="3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horizontal="center" vertical="center" wrapText="1"/>
    </xf>
    <xf numFmtId="0" fontId="37" fillId="5" borderId="60" xfId="0" applyNumberFormat="1" applyFont="1" applyFill="1" applyBorder="1" applyAlignment="1" applyProtection="1">
      <alignment horizontal="center" vertical="center" wrapText="1"/>
    </xf>
    <xf numFmtId="0" fontId="44" fillId="5" borderId="13"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left" vertical="center" wrapText="1"/>
    </xf>
    <xf numFmtId="0" fontId="66" fillId="5" borderId="50" xfId="0" applyNumberFormat="1" applyFont="1" applyFill="1" applyBorder="1" applyAlignment="1" applyProtection="1">
      <alignment horizontal="center" vertical="center" wrapText="1"/>
    </xf>
    <xf numFmtId="177" fontId="50" fillId="5" borderId="1" xfId="0" applyNumberFormat="1" applyFont="1" applyFill="1" applyBorder="1" applyAlignment="1" applyProtection="1">
      <alignment horizontal="right" vertical="center"/>
    </xf>
    <xf numFmtId="0" fontId="54"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xf>
    <xf numFmtId="0" fontId="67" fillId="5" borderId="29" xfId="0" applyFont="1" applyFill="1" applyBorder="1" applyAlignment="1" applyProtection="1">
      <alignment vertical="center" textRotation="255" wrapText="1"/>
    </xf>
    <xf numFmtId="0" fontId="44" fillId="0" borderId="1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69" fillId="5" borderId="3" xfId="0" applyNumberFormat="1" applyFont="1" applyFill="1" applyBorder="1" applyAlignment="1" applyProtection="1">
      <alignment horizontal="center" vertical="center" wrapText="1"/>
    </xf>
    <xf numFmtId="0" fontId="43" fillId="5" borderId="47" xfId="0" applyFont="1" applyFill="1" applyBorder="1" applyAlignment="1" applyProtection="1">
      <alignment horizontal="right" vertical="center" wrapText="1"/>
    </xf>
    <xf numFmtId="49" fontId="43" fillId="5" borderId="62" xfId="0" applyNumberFormat="1" applyFont="1" applyFill="1" applyBorder="1" applyAlignment="1" applyProtection="1">
      <alignment vertical="center"/>
    </xf>
    <xf numFmtId="14" fontId="44" fillId="5" borderId="4" xfId="0" applyNumberFormat="1" applyFont="1" applyFill="1" applyBorder="1" applyAlignment="1" applyProtection="1">
      <alignment horizontal="left" vertical="center"/>
    </xf>
    <xf numFmtId="176" fontId="44" fillId="5" borderId="11"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31" xfId="0" applyFont="1" applyFill="1" applyBorder="1" applyAlignment="1" applyProtection="1">
      <alignment horizontal="center" vertical="center"/>
    </xf>
    <xf numFmtId="0" fontId="46" fillId="5" borderId="7" xfId="0" applyFont="1" applyFill="1" applyBorder="1" applyAlignment="1" applyProtection="1"/>
    <xf numFmtId="186" fontId="46" fillId="5" borderId="1" xfId="1" applyNumberFormat="1" applyFont="1" applyFill="1" applyBorder="1" applyAlignment="1" applyProtection="1">
      <alignment horizontal="center"/>
    </xf>
    <xf numFmtId="0" fontId="46" fillId="5" borderId="1" xfId="0" applyFont="1" applyFill="1" applyBorder="1" applyAlignment="1" applyProtection="1">
      <alignment horizontal="center"/>
    </xf>
    <xf numFmtId="177" fontId="46" fillId="5" borderId="6" xfId="1" applyNumberFormat="1" applyFont="1" applyFill="1" applyBorder="1" applyAlignment="1" applyProtection="1">
      <alignment horizontal="center"/>
    </xf>
    <xf numFmtId="0" fontId="70" fillId="0" borderId="0" xfId="0" applyFont="1" applyFill="1" applyAlignment="1" applyProtection="1">
      <alignment horizontal="center" vertical="center"/>
      <protection locked="0"/>
    </xf>
    <xf numFmtId="0" fontId="46" fillId="5" borderId="7" xfId="1" applyFont="1" applyFill="1" applyBorder="1" applyAlignment="1" applyProtection="1"/>
    <xf numFmtId="179" fontId="46" fillId="0" borderId="1" xfId="1" applyNumberFormat="1" applyFont="1" applyFill="1" applyBorder="1" applyAlignment="1" applyProtection="1">
      <alignment horizontal="center"/>
      <protection locked="0"/>
    </xf>
    <xf numFmtId="0" fontId="40" fillId="5" borderId="61" xfId="0" applyFont="1" applyFill="1" applyBorder="1" applyAlignment="1" applyProtection="1">
      <alignment horizontal="center" vertical="center"/>
    </xf>
    <xf numFmtId="0" fontId="47" fillId="5" borderId="8" xfId="1" applyFont="1" applyFill="1" applyBorder="1" applyAlignment="1" applyProtection="1"/>
    <xf numFmtId="0" fontId="46" fillId="5" borderId="61" xfId="0" applyFont="1" applyFill="1" applyBorder="1" applyAlignment="1" applyProtection="1">
      <alignment horizontal="center"/>
    </xf>
    <xf numFmtId="177" fontId="47" fillId="5" borderId="43" xfId="0" applyNumberFormat="1" applyFont="1" applyFill="1" applyBorder="1" applyAlignment="1" applyProtection="1">
      <alignment horizontal="center"/>
    </xf>
    <xf numFmtId="0" fontId="37" fillId="5" borderId="32" xfId="0" applyNumberFormat="1" applyFont="1" applyFill="1" applyBorder="1" applyAlignment="1" applyProtection="1">
      <alignment horizontal="left" vertical="center" wrapText="1"/>
    </xf>
    <xf numFmtId="0" fontId="44" fillId="0" borderId="58" xfId="0" applyNumberFormat="1" applyFont="1" applyFill="1" applyBorder="1" applyAlignment="1" applyProtection="1">
      <alignment horizontal="center" vertical="center" wrapText="1"/>
      <protection locked="0"/>
    </xf>
    <xf numFmtId="0" fontId="44" fillId="0" borderId="56" xfId="0" applyNumberFormat="1" applyFont="1" applyFill="1" applyBorder="1" applyAlignment="1" applyProtection="1">
      <alignment horizontal="center" vertical="center" wrapText="1"/>
      <protection locked="0"/>
    </xf>
    <xf numFmtId="0" fontId="40" fillId="0" borderId="0" xfId="0" applyNumberFormat="1" applyFont="1" applyAlignment="1" applyProtection="1">
      <alignment horizontal="center" vertical="center"/>
      <protection locked="0"/>
    </xf>
    <xf numFmtId="0" fontId="40" fillId="5" borderId="5"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79"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protection locked="0"/>
    </xf>
    <xf numFmtId="0" fontId="40" fillId="5" borderId="39"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5" borderId="80" xfId="0" applyNumberFormat="1"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0" fillId="0" borderId="53"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xf>
    <xf numFmtId="0" fontId="53" fillId="2" borderId="1" xfId="0" applyFont="1" applyFill="1" applyBorder="1" applyAlignment="1" applyProtection="1">
      <alignment horizontal="center" vertical="center"/>
      <protection locked="0"/>
    </xf>
    <xf numFmtId="0" fontId="53" fillId="0" borderId="0" xfId="0" applyFont="1" applyProtection="1">
      <alignment vertical="center"/>
      <protection locked="0"/>
    </xf>
    <xf numFmtId="0" fontId="100" fillId="0" borderId="0" xfId="0" applyFont="1" applyProtection="1">
      <alignment vertical="center"/>
    </xf>
    <xf numFmtId="0" fontId="95" fillId="0" borderId="0" xfId="0" applyFont="1" applyAlignment="1" applyProtection="1">
      <alignment horizontal="center" vertical="center" wrapText="1"/>
    </xf>
    <xf numFmtId="0" fontId="95" fillId="0" borderId="0" xfId="0" applyFont="1" applyProtection="1">
      <alignment vertical="center"/>
    </xf>
    <xf numFmtId="0" fontId="95" fillId="0" borderId="0" xfId="0" applyFont="1" applyBorder="1" applyAlignment="1" applyProtection="1">
      <alignment horizontal="center" vertical="center"/>
    </xf>
    <xf numFmtId="0" fontId="95" fillId="5" borderId="0" xfId="0" applyFont="1" applyFill="1" applyAlignment="1" applyProtection="1">
      <alignment vertical="center"/>
    </xf>
    <xf numFmtId="0" fontId="95" fillId="5" borderId="0" xfId="0" applyFont="1" applyFill="1" applyAlignment="1" applyProtection="1">
      <alignment horizontal="left" vertical="center"/>
    </xf>
    <xf numFmtId="0" fontId="95" fillId="5" borderId="0" xfId="2" applyFont="1" applyFill="1" applyAlignment="1" applyProtection="1">
      <alignment horizontal="left"/>
    </xf>
    <xf numFmtId="186" fontId="98" fillId="0" borderId="1" xfId="0" applyNumberFormat="1" applyFont="1" applyFill="1" applyBorder="1" applyAlignment="1" applyProtection="1">
      <alignment horizontal="center"/>
      <protection locked="0"/>
    </xf>
    <xf numFmtId="49" fontId="55" fillId="5" borderId="0" xfId="0" applyNumberFormat="1" applyFont="1" applyFill="1" applyBorder="1" applyAlignment="1" applyProtection="1"/>
    <xf numFmtId="0" fontId="50" fillId="5" borderId="0" xfId="0" applyFont="1" applyFill="1" applyBorder="1" applyAlignment="1" applyProtection="1">
      <alignment vertical="center"/>
    </xf>
    <xf numFmtId="0" fontId="63" fillId="5" borderId="36" xfId="0" applyFont="1" applyFill="1" applyBorder="1" applyAlignment="1" applyProtection="1">
      <alignment vertical="center"/>
    </xf>
    <xf numFmtId="0" fontId="55" fillId="5" borderId="36" xfId="0" applyFont="1" applyFill="1" applyBorder="1" applyAlignment="1" applyProtection="1">
      <alignment vertical="center"/>
    </xf>
    <xf numFmtId="189" fontId="55" fillId="5" borderId="36" xfId="0" applyNumberFormat="1" applyFont="1" applyFill="1" applyBorder="1" applyAlignment="1" applyProtection="1">
      <alignment horizontal="center" vertical="center"/>
    </xf>
    <xf numFmtId="181" fontId="55" fillId="5" borderId="36" xfId="0" applyNumberFormat="1" applyFont="1" applyFill="1" applyBorder="1" applyAlignment="1" applyProtection="1">
      <alignment vertical="center"/>
    </xf>
    <xf numFmtId="0" fontId="55" fillId="5" borderId="3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66" fillId="5" borderId="0" xfId="0" applyFont="1" applyFill="1" applyAlignment="1" applyProtection="1">
      <alignment horizontal="center" vertical="center"/>
    </xf>
    <xf numFmtId="0" fontId="49" fillId="5" borderId="0" xfId="0" applyFont="1" applyFill="1" applyBorder="1" applyAlignment="1" applyProtection="1"/>
    <xf numFmtId="0" fontId="44" fillId="5" borderId="0" xfId="0" applyFont="1" applyFill="1" applyBorder="1" applyAlignment="1" applyProtection="1"/>
    <xf numFmtId="0" fontId="44" fillId="5" borderId="0" xfId="0" applyFont="1" applyFill="1" applyBorder="1" applyAlignment="1" applyProtection="1">
      <alignment horizontal="center"/>
    </xf>
    <xf numFmtId="189" fontId="44" fillId="5" borderId="0" xfId="0" applyNumberFormat="1" applyFont="1" applyFill="1" applyBorder="1" applyAlignment="1" applyProtection="1">
      <alignment horizontal="center"/>
    </xf>
    <xf numFmtId="181" fontId="44" fillId="5" borderId="0" xfId="0" applyNumberFormat="1" applyFont="1" applyFill="1" applyBorder="1" applyAlignment="1" applyProtection="1"/>
    <xf numFmtId="0" fontId="55" fillId="5" borderId="0" xfId="0" applyFont="1" applyFill="1" applyBorder="1" applyAlignment="1" applyProtection="1">
      <alignment horizontal="center" vertical="center"/>
    </xf>
    <xf numFmtId="0" fontId="57" fillId="5" borderId="0" xfId="0" applyFont="1" applyFill="1" applyBorder="1" applyAlignment="1" applyProtection="1">
      <alignment horizontal="center" vertical="center"/>
    </xf>
    <xf numFmtId="188" fontId="37" fillId="5" borderId="2" xfId="0" applyNumberFormat="1" applyFont="1" applyFill="1" applyBorder="1" applyAlignment="1" applyProtection="1">
      <alignment horizontal="center" vertical="center"/>
    </xf>
    <xf numFmtId="49" fontId="37" fillId="5" borderId="3" xfId="0" applyNumberFormat="1" applyFont="1" applyFill="1" applyBorder="1" applyAlignment="1" applyProtection="1">
      <alignment horizontal="center" vertical="center"/>
    </xf>
    <xf numFmtId="0" fontId="37" fillId="5" borderId="49" xfId="0" applyFont="1" applyFill="1" applyBorder="1" applyAlignment="1" applyProtection="1">
      <alignment horizontal="center" vertical="center"/>
    </xf>
    <xf numFmtId="0" fontId="37" fillId="5" borderId="1" xfId="0" applyNumberFormat="1" applyFont="1" applyFill="1" applyBorder="1" applyAlignment="1" applyProtection="1">
      <alignment horizontal="center" vertical="center"/>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2" fillId="5" borderId="1" xfId="0" applyFont="1" applyFill="1" applyBorder="1" applyAlignment="1" applyProtection="1">
      <alignment horizontal="center" vertical="center" wrapText="1"/>
    </xf>
    <xf numFmtId="188" fontId="42" fillId="5" borderId="2" xfId="0" applyNumberFormat="1" applyFont="1" applyFill="1" applyBorder="1" applyAlignment="1" applyProtection="1">
      <alignment horizontal="center" vertical="center"/>
    </xf>
    <xf numFmtId="49" fontId="42" fillId="5" borderId="3"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4" fillId="5" borderId="17" xfId="0" applyFont="1" applyFill="1" applyBorder="1" applyAlignment="1" applyProtection="1">
      <alignment vertical="center" textRotation="255" wrapText="1"/>
    </xf>
    <xf numFmtId="0" fontId="57" fillId="5" borderId="0" xfId="0" applyFont="1" applyFill="1" applyAlignment="1" applyProtection="1">
      <alignment horizontal="center" vertical="center"/>
    </xf>
    <xf numFmtId="189" fontId="44" fillId="5" borderId="3" xfId="0" applyNumberFormat="1" applyFont="1" applyFill="1" applyBorder="1" applyAlignment="1" applyProtection="1">
      <alignment horizontal="center" vertical="center"/>
    </xf>
    <xf numFmtId="189" fontId="44" fillId="5" borderId="1"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right" vertical="center"/>
    </xf>
    <xf numFmtId="0" fontId="38" fillId="5" borderId="61" xfId="0" applyFont="1" applyFill="1" applyBorder="1" applyAlignment="1" applyProtection="1">
      <alignment horizontal="right" vertical="center"/>
    </xf>
    <xf numFmtId="0" fontId="55" fillId="5" borderId="65" xfId="0" applyFont="1" applyFill="1" applyBorder="1" applyAlignment="1" applyProtection="1">
      <alignment horizontal="center" vertical="center"/>
    </xf>
    <xf numFmtId="0" fontId="40" fillId="5" borderId="0" xfId="0" applyNumberFormat="1" applyFont="1" applyFill="1" applyAlignment="1" applyProtection="1">
      <alignment horizontal="center" vertical="center"/>
      <protection locked="0"/>
    </xf>
    <xf numFmtId="0" fontId="54" fillId="8" borderId="0" xfId="0" applyFont="1" applyFill="1" applyAlignment="1" applyProtection="1">
      <protection locked="0"/>
    </xf>
    <xf numFmtId="0" fontId="39" fillId="8" borderId="0" xfId="0" applyFont="1" applyFill="1" applyAlignment="1" applyProtection="1">
      <protection locked="0"/>
    </xf>
    <xf numFmtId="0" fontId="40" fillId="8" borderId="0" xfId="0" applyFont="1" applyFill="1" applyAlignment="1" applyProtection="1">
      <protection locked="0"/>
    </xf>
    <xf numFmtId="0" fontId="37" fillId="8" borderId="0" xfId="0" applyFont="1" applyFill="1" applyAlignment="1" applyProtection="1">
      <protection locked="0"/>
    </xf>
    <xf numFmtId="0" fontId="42" fillId="8" borderId="0" xfId="0" applyFont="1" applyFill="1" applyProtection="1">
      <alignment vertical="center"/>
      <protection locked="0"/>
    </xf>
    <xf numFmtId="0" fontId="37" fillId="8" borderId="0" xfId="0" applyFont="1" applyFill="1" applyAlignment="1" applyProtection="1">
      <alignment horizontal="center"/>
      <protection locked="0"/>
    </xf>
    <xf numFmtId="0" fontId="51" fillId="8" borderId="0" xfId="0" applyFont="1" applyFill="1" applyAlignment="1" applyProtection="1">
      <alignment vertical="center"/>
      <protection locked="0"/>
    </xf>
    <xf numFmtId="0" fontId="51" fillId="8" borderId="0" xfId="0" applyFont="1" applyFill="1" applyAlignment="1" applyProtection="1">
      <alignment horizontal="left" vertical="center"/>
      <protection locked="0"/>
    </xf>
    <xf numFmtId="179" fontId="46" fillId="8" borderId="0" xfId="0" applyNumberFormat="1" applyFont="1" applyFill="1" applyBorder="1" applyAlignment="1" applyProtection="1">
      <alignment horizontal="center" vertical="center"/>
      <protection locked="0"/>
    </xf>
    <xf numFmtId="0" fontId="51" fillId="8" borderId="0" xfId="0" applyFont="1" applyFill="1" applyBorder="1" applyAlignment="1" applyProtection="1">
      <alignment vertical="center"/>
      <protection locked="0"/>
    </xf>
    <xf numFmtId="0" fontId="51" fillId="8" borderId="0" xfId="0" applyFont="1" applyFill="1" applyAlignment="1" applyProtection="1">
      <alignment horizontal="center" vertical="center"/>
      <protection locked="0"/>
    </xf>
    <xf numFmtId="0" fontId="58" fillId="8" borderId="0" xfId="0" applyFont="1" applyFill="1" applyAlignment="1" applyProtection="1">
      <alignment vertical="center"/>
      <protection locked="0"/>
    </xf>
    <xf numFmtId="0" fontId="57" fillId="8" borderId="0" xfId="0" applyFont="1" applyFill="1" applyAlignment="1" applyProtection="1">
      <alignment vertical="center"/>
      <protection locked="0"/>
    </xf>
    <xf numFmtId="0" fontId="40" fillId="8" borderId="0" xfId="0" applyFont="1" applyFill="1" applyProtection="1">
      <alignment vertical="center"/>
      <protection locked="0"/>
    </xf>
    <xf numFmtId="0" fontId="46"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wrapText="1"/>
      <protection locked="0"/>
    </xf>
    <xf numFmtId="0" fontId="53" fillId="8" borderId="0" xfId="0" applyFont="1" applyFill="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44" fillId="5" borderId="1" xfId="0" applyNumberFormat="1" applyFont="1" applyFill="1" applyBorder="1" applyAlignment="1" applyProtection="1">
      <alignment horizontal="center" vertical="center" wrapText="1"/>
    </xf>
    <xf numFmtId="9" fontId="44" fillId="5" borderId="1" xfId="0" applyNumberFormat="1"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protection locked="0"/>
    </xf>
    <xf numFmtId="0" fontId="105" fillId="0" borderId="1" xfId="0" applyFont="1" applyFill="1" applyBorder="1" applyAlignment="1" applyProtection="1">
      <alignment horizontal="center" vertical="center" wrapText="1"/>
      <protection locked="0"/>
    </xf>
    <xf numFmtId="0" fontId="105" fillId="0" borderId="18" xfId="0" applyFont="1" applyFill="1" applyBorder="1" applyAlignment="1" applyProtection="1">
      <alignment horizontal="center" vertical="center" wrapText="1"/>
      <protection locked="0"/>
    </xf>
    <xf numFmtId="0" fontId="105" fillId="0" borderId="61" xfId="0" applyFont="1" applyFill="1" applyBorder="1" applyAlignment="1" applyProtection="1">
      <alignment horizontal="center" vertical="center" wrapText="1"/>
      <protection locked="0"/>
    </xf>
    <xf numFmtId="0" fontId="106"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6" fillId="5" borderId="46" xfId="0" applyFont="1" applyFill="1" applyBorder="1" applyAlignment="1" applyProtection="1">
      <alignment vertical="center"/>
    </xf>
    <xf numFmtId="187" fontId="91" fillId="5" borderId="37" xfId="0" applyNumberFormat="1" applyFont="1" applyFill="1" applyBorder="1" applyAlignment="1" applyProtection="1">
      <alignment horizontal="center" vertical="center" wrapText="1"/>
    </xf>
    <xf numFmtId="0" fontId="94" fillId="5" borderId="37" xfId="0" applyFont="1" applyFill="1" applyBorder="1" applyProtection="1">
      <alignment vertical="center"/>
    </xf>
    <xf numFmtId="0" fontId="107" fillId="5" borderId="47" xfId="0" applyFont="1" applyFill="1" applyBorder="1" applyAlignment="1" applyProtection="1">
      <alignment vertical="center"/>
    </xf>
    <xf numFmtId="0" fontId="107" fillId="5" borderId="38" xfId="0" applyFont="1" applyFill="1" applyBorder="1" applyAlignment="1" applyProtection="1">
      <alignment horizontal="center" vertical="center"/>
    </xf>
    <xf numFmtId="0" fontId="0" fillId="0" borderId="0" xfId="0" applyProtection="1">
      <alignment vertical="center"/>
    </xf>
    <xf numFmtId="0" fontId="105" fillId="5" borderId="7"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wrapText="1"/>
    </xf>
    <xf numFmtId="0" fontId="98" fillId="5" borderId="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5" fillId="5" borderId="1" xfId="0" applyNumberFormat="1" applyFont="1" applyFill="1" applyBorder="1" applyAlignment="1" applyProtection="1">
      <alignment horizontal="center" vertical="center" wrapText="1"/>
    </xf>
    <xf numFmtId="181" fontId="98" fillId="5" borderId="1" xfId="0" applyNumberFormat="1" applyFont="1" applyFill="1" applyBorder="1" applyAlignment="1" applyProtection="1">
      <alignment horizontal="center" vertical="center" wrapText="1"/>
    </xf>
    <xf numFmtId="9" fontId="98" fillId="5" borderId="1" xfId="0" applyNumberFormat="1" applyFont="1" applyFill="1" applyBorder="1" applyAlignment="1" applyProtection="1">
      <alignment horizontal="center" vertical="center" wrapText="1"/>
    </xf>
    <xf numFmtId="10" fontId="46"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5" fillId="5" borderId="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vertical="center" wrapText="1"/>
    </xf>
    <xf numFmtId="0" fontId="105" fillId="5" borderId="19"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8" xfId="0" applyFont="1" applyFill="1" applyBorder="1" applyAlignment="1" applyProtection="1">
      <alignment horizontal="center" vertical="center" wrapText="1"/>
    </xf>
    <xf numFmtId="49" fontId="105" fillId="5" borderId="71" xfId="0" applyNumberFormat="1" applyFont="1" applyFill="1" applyBorder="1" applyAlignment="1" applyProtection="1">
      <alignment horizontal="center" vertical="center" wrapText="1"/>
    </xf>
    <xf numFmtId="9" fontId="98" fillId="5" borderId="61"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vertical="center" wrapText="1"/>
    </xf>
    <xf numFmtId="49" fontId="105" fillId="5" borderId="6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horizontal="center" vertical="center" wrapText="1"/>
    </xf>
    <xf numFmtId="0" fontId="105"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1"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91" fillId="5" borderId="37" xfId="0" applyFont="1" applyFill="1" applyBorder="1" applyProtection="1">
      <alignment vertical="center"/>
    </xf>
    <xf numFmtId="0" fontId="109" fillId="5" borderId="13" xfId="0" applyFont="1" applyFill="1" applyBorder="1" applyAlignment="1" applyProtection="1">
      <alignment horizontal="center" vertical="center"/>
    </xf>
    <xf numFmtId="0" fontId="91" fillId="5" borderId="39" xfId="0" applyFont="1" applyFill="1" applyBorder="1" applyProtection="1">
      <alignment vertical="center"/>
    </xf>
    <xf numFmtId="0" fontId="109" fillId="5" borderId="61" xfId="0" applyFont="1" applyFill="1" applyBorder="1" applyAlignment="1" applyProtection="1">
      <alignment horizontal="center" vertical="center"/>
    </xf>
    <xf numFmtId="0" fontId="109" fillId="5" borderId="44" xfId="0" applyFont="1" applyFill="1" applyBorder="1" applyAlignment="1" applyProtection="1">
      <alignment horizontal="center" vertical="center"/>
    </xf>
    <xf numFmtId="0" fontId="108" fillId="5" borderId="22" xfId="0" applyFont="1" applyFill="1" applyBorder="1" applyAlignment="1" applyProtection="1">
      <alignment vertical="center" wrapText="1"/>
    </xf>
    <xf numFmtId="0" fontId="108" fillId="5" borderId="11" xfId="0" applyFont="1" applyFill="1" applyBorder="1" applyAlignment="1" applyProtection="1">
      <alignment horizontal="center" vertical="center" wrapText="1"/>
    </xf>
    <xf numFmtId="0" fontId="108" fillId="5" borderId="13" xfId="0" applyFont="1" applyFill="1" applyBorder="1" applyAlignment="1" applyProtection="1">
      <alignment horizontal="center" vertical="center" wrapText="1"/>
    </xf>
    <xf numFmtId="0" fontId="92" fillId="5" borderId="4" xfId="0" applyFont="1" applyFill="1" applyBorder="1" applyAlignment="1" applyProtection="1">
      <alignment horizontal="center" vertical="center"/>
    </xf>
    <xf numFmtId="0" fontId="92" fillId="5" borderId="13" xfId="0" applyFont="1" applyFill="1" applyBorder="1" applyProtection="1">
      <alignment vertical="center"/>
    </xf>
    <xf numFmtId="0" fontId="108" fillId="5" borderId="64" xfId="0" applyFont="1" applyFill="1" applyBorder="1" applyAlignment="1" applyProtection="1">
      <alignment horizontal="center" vertical="center" wrapText="1"/>
    </xf>
    <xf numFmtId="0" fontId="92" fillId="5" borderId="7" xfId="0" applyFont="1" applyFill="1" applyBorder="1" applyAlignment="1" applyProtection="1">
      <alignment horizontal="center" vertical="center"/>
    </xf>
    <xf numFmtId="0" fontId="92" fillId="5" borderId="2" xfId="0" applyFont="1" applyFill="1" applyBorder="1" applyProtection="1">
      <alignment vertical="center"/>
    </xf>
    <xf numFmtId="0" fontId="108" fillId="5" borderId="17" xfId="0" applyFont="1" applyFill="1" applyBorder="1" applyAlignment="1" applyProtection="1">
      <alignment horizontal="center" vertical="center" wrapText="1"/>
    </xf>
    <xf numFmtId="0" fontId="108" fillId="5" borderId="71" xfId="0"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110" fillId="5" borderId="44" xfId="0" applyFont="1" applyFill="1" applyBorder="1" applyProtection="1">
      <alignment vertical="center"/>
    </xf>
    <xf numFmtId="0" fontId="108" fillId="5" borderId="2" xfId="0" applyFont="1" applyFill="1" applyBorder="1" applyAlignment="1" applyProtection="1">
      <alignment horizontal="center" vertical="center" wrapText="1"/>
    </xf>
    <xf numFmtId="0" fontId="92" fillId="5" borderId="8" xfId="0" applyFont="1" applyFill="1" applyBorder="1" applyAlignment="1" applyProtection="1">
      <alignment horizontal="center" vertical="center"/>
    </xf>
    <xf numFmtId="0" fontId="92" fillId="5" borderId="44" xfId="0" applyFont="1" applyFill="1" applyBorder="1" applyProtection="1">
      <alignment vertical="center"/>
    </xf>
    <xf numFmtId="0" fontId="110" fillId="5" borderId="2" xfId="0" applyFont="1" applyFill="1" applyBorder="1" applyProtection="1">
      <alignment vertical="center"/>
    </xf>
    <xf numFmtId="0" fontId="111" fillId="5" borderId="0" xfId="0" applyFont="1" applyFill="1" applyBorder="1" applyProtection="1">
      <alignment vertical="center"/>
    </xf>
    <xf numFmtId="0" fontId="108" fillId="5" borderId="9" xfId="0" applyFont="1" applyFill="1" applyBorder="1" applyAlignment="1" applyProtection="1">
      <alignment vertical="center" wrapText="1"/>
    </xf>
    <xf numFmtId="0" fontId="112" fillId="5" borderId="0" xfId="0" applyFont="1" applyFill="1" applyProtection="1">
      <alignment vertical="center"/>
    </xf>
    <xf numFmtId="0" fontId="111" fillId="5" borderId="0" xfId="0" applyFont="1" applyFill="1" applyProtection="1">
      <alignment vertical="center"/>
    </xf>
    <xf numFmtId="0" fontId="108"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5" fillId="5" borderId="4" xfId="0" applyFont="1" applyFill="1" applyBorder="1" applyAlignment="1" applyProtection="1">
      <alignment horizontal="center" vertical="center" wrapText="1"/>
    </xf>
    <xf numFmtId="0" fontId="105" fillId="5" borderId="11" xfId="0" applyFont="1" applyFill="1" applyBorder="1" applyAlignment="1" applyProtection="1">
      <alignment horizontal="center" vertical="center" wrapText="1"/>
    </xf>
    <xf numFmtId="0" fontId="105" fillId="5" borderId="3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6"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3" fillId="5" borderId="65" xfId="0" applyFont="1" applyFill="1" applyBorder="1" applyAlignment="1" applyProtection="1">
      <alignment vertical="center"/>
    </xf>
    <xf numFmtId="0" fontId="113" fillId="5" borderId="0" xfId="0" applyFont="1" applyFill="1" applyBorder="1" applyAlignment="1" applyProtection="1">
      <alignment vertical="center"/>
    </xf>
    <xf numFmtId="0" fontId="0" fillId="0" borderId="0" xfId="0" applyAlignment="1" applyProtection="1">
      <alignment horizontal="center" vertical="center"/>
    </xf>
    <xf numFmtId="0" fontId="105" fillId="5" borderId="2" xfId="0" applyFont="1" applyFill="1" applyBorder="1" applyAlignment="1" applyProtection="1">
      <alignment horizontal="center" vertical="center" wrapText="1"/>
    </xf>
    <xf numFmtId="0" fontId="105" fillId="5" borderId="3" xfId="0" applyFont="1" applyFill="1" applyBorder="1" applyAlignment="1" applyProtection="1">
      <alignment horizontal="center" vertical="center" wrapText="1"/>
    </xf>
    <xf numFmtId="0" fontId="105" fillId="5" borderId="0"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05" fillId="5" borderId="2" xfId="0" applyFont="1" applyFill="1" applyBorder="1" applyAlignment="1" applyProtection="1">
      <alignment horizontal="left" vertical="center"/>
    </xf>
    <xf numFmtId="0" fontId="105" fillId="5" borderId="3" xfId="0" applyFont="1" applyFill="1" applyBorder="1" applyAlignment="1" applyProtection="1">
      <alignment horizontal="left" vertical="center"/>
    </xf>
    <xf numFmtId="0" fontId="105" fillId="5" borderId="0" xfId="0" applyFont="1" applyFill="1" applyBorder="1" applyAlignment="1" applyProtection="1">
      <alignment vertical="center"/>
    </xf>
    <xf numFmtId="0" fontId="105" fillId="5" borderId="0" xfId="0" applyFont="1" applyFill="1" applyBorder="1" applyAlignment="1" applyProtection="1">
      <alignment horizontal="center" vertical="center"/>
    </xf>
    <xf numFmtId="0" fontId="0" fillId="0" borderId="0" xfId="0" applyAlignment="1" applyProtection="1">
      <alignment vertical="center"/>
    </xf>
    <xf numFmtId="0" fontId="105" fillId="0" borderId="36" xfId="0" applyFont="1" applyBorder="1" applyAlignment="1" applyProtection="1">
      <alignment vertical="center"/>
    </xf>
    <xf numFmtId="0" fontId="105" fillId="0" borderId="0" xfId="0" applyFont="1" applyBorder="1" applyAlignment="1" applyProtection="1">
      <alignment vertical="center"/>
    </xf>
    <xf numFmtId="0" fontId="105" fillId="5" borderId="64" xfId="0" applyFont="1" applyFill="1" applyBorder="1" applyAlignment="1" applyProtection="1">
      <alignment vertical="center" wrapText="1"/>
    </xf>
    <xf numFmtId="0" fontId="105" fillId="5" borderId="17" xfId="0" applyFont="1" applyFill="1" applyBorder="1" applyAlignment="1" applyProtection="1">
      <alignment vertical="center" wrapText="1"/>
    </xf>
    <xf numFmtId="0" fontId="105" fillId="5" borderId="24" xfId="0" applyFont="1" applyFill="1" applyBorder="1" applyAlignment="1" applyProtection="1">
      <alignment vertical="center" wrapText="1"/>
    </xf>
    <xf numFmtId="0" fontId="105" fillId="5" borderId="17" xfId="0" applyFont="1" applyFill="1" applyBorder="1" applyAlignment="1" applyProtection="1">
      <alignment horizontal="center" vertical="center"/>
    </xf>
    <xf numFmtId="0" fontId="105" fillId="5" borderId="0" xfId="0" applyFont="1" applyFill="1" applyAlignment="1" applyProtection="1">
      <alignment horizontal="center" vertical="center"/>
    </xf>
    <xf numFmtId="9" fontId="105" fillId="5" borderId="1" xfId="0" applyNumberFormat="1" applyFont="1" applyFill="1" applyBorder="1" applyAlignment="1" applyProtection="1">
      <alignment horizontal="center" vertical="center"/>
    </xf>
    <xf numFmtId="179" fontId="74" fillId="0" borderId="65" xfId="3" applyNumberFormat="1" applyFont="1" applyBorder="1" applyAlignment="1" applyProtection="1">
      <alignment vertical="center"/>
    </xf>
    <xf numFmtId="0" fontId="74" fillId="0" borderId="65" xfId="3" applyNumberFormat="1" applyFont="1" applyBorder="1" applyAlignment="1" applyProtection="1">
      <alignment vertical="center"/>
    </xf>
    <xf numFmtId="0" fontId="0" fillId="0" borderId="0" xfId="0" applyNumberFormat="1" applyProtection="1">
      <alignment vertical="center"/>
    </xf>
    <xf numFmtId="179"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wrapText="1"/>
    </xf>
    <xf numFmtId="0" fontId="75" fillId="5" borderId="49" xfId="3" applyNumberFormat="1" applyFont="1" applyFill="1" applyBorder="1" applyAlignment="1" applyProtection="1">
      <alignment horizontal="center" vertical="center"/>
    </xf>
    <xf numFmtId="0" fontId="11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5"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5" fillId="5" borderId="2" xfId="0" applyFont="1" applyFill="1" applyBorder="1" applyAlignment="1" applyProtection="1">
      <alignment horizontal="center" vertical="center" wrapText="1"/>
    </xf>
    <xf numFmtId="181" fontId="95" fillId="0" borderId="1" xfId="0" applyNumberFormat="1" applyFont="1" applyBorder="1" applyAlignment="1" applyProtection="1">
      <alignment horizontal="center" vertical="center"/>
      <protection locked="0"/>
    </xf>
    <xf numFmtId="0" fontId="105" fillId="5" borderId="1" xfId="0" applyFont="1" applyFill="1" applyBorder="1" applyAlignment="1" applyProtection="1">
      <alignment horizontal="center" vertical="center"/>
    </xf>
    <xf numFmtId="0" fontId="98" fillId="5" borderId="1" xfId="0" applyFont="1" applyFill="1" applyBorder="1" applyAlignment="1" applyProtection="1">
      <alignment horizontal="center" vertical="center"/>
    </xf>
    <xf numFmtId="0" fontId="98" fillId="0" borderId="1" xfId="0" applyFont="1" applyFill="1" applyBorder="1" applyAlignment="1" applyProtection="1">
      <alignment horizontal="center" vertical="center"/>
      <protection locked="0"/>
    </xf>
    <xf numFmtId="0" fontId="40" fillId="0" borderId="6" xfId="0" applyFont="1" applyBorder="1" applyAlignment="1" applyProtection="1">
      <alignment vertical="center" wrapText="1"/>
      <protection locked="0"/>
    </xf>
    <xf numFmtId="181" fontId="45" fillId="5" borderId="41" xfId="0" applyNumberFormat="1" applyFont="1" applyFill="1" applyBorder="1" applyAlignment="1" applyProtection="1">
      <alignment horizontal="center" vertical="center"/>
    </xf>
    <xf numFmtId="0" fontId="40" fillId="5" borderId="0" xfId="0" applyFont="1" applyFill="1" applyAlignment="1" applyProtection="1">
      <alignment vertical="center" wrapText="1"/>
    </xf>
    <xf numFmtId="0" fontId="40" fillId="0" borderId="31" xfId="0" applyFont="1" applyBorder="1" applyAlignment="1" applyProtection="1">
      <alignment vertical="center" wrapText="1"/>
      <protection locked="0"/>
    </xf>
    <xf numFmtId="0" fontId="40" fillId="0" borderId="43" xfId="0" applyFont="1" applyBorder="1" applyAlignment="1" applyProtection="1">
      <alignment vertical="center" wrapText="1"/>
      <protection locked="0"/>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0" fillId="0" borderId="11" xfId="0" applyFont="1" applyFill="1" applyBorder="1" applyAlignment="1" applyProtection="1">
      <alignment vertical="center" wrapText="1"/>
      <protection locked="0"/>
    </xf>
    <xf numFmtId="0" fontId="40" fillId="0" borderId="61" xfId="0" applyFont="1" applyFill="1" applyBorder="1" applyAlignment="1" applyProtection="1">
      <alignment vertical="center" wrapText="1"/>
      <protection locked="0"/>
    </xf>
    <xf numFmtId="0" fontId="40" fillId="0" borderId="0" xfId="0" applyFont="1" applyAlignment="1" applyProtection="1">
      <alignment vertical="center"/>
    </xf>
    <xf numFmtId="0" fontId="40" fillId="5" borderId="0" xfId="0" applyFont="1" applyFill="1" applyBorder="1" applyAlignment="1" applyProtection="1">
      <alignment vertical="center" wrapText="1"/>
    </xf>
    <xf numFmtId="0" fontId="40" fillId="5" borderId="0" xfId="0" applyFont="1" applyFill="1" applyBorder="1" applyAlignment="1" applyProtection="1">
      <alignment horizontal="center" vertical="center" wrapText="1"/>
    </xf>
    <xf numFmtId="0" fontId="123" fillId="0" borderId="0" xfId="0" applyFont="1">
      <alignment vertical="center"/>
    </xf>
    <xf numFmtId="0" fontId="123" fillId="0" borderId="0" xfId="0" applyFont="1" applyAlignment="1">
      <alignment vertical="top" wrapText="1"/>
    </xf>
    <xf numFmtId="0" fontId="0" fillId="0" borderId="0" xfId="0" applyAlignment="1">
      <alignment vertical="top" wrapText="1"/>
    </xf>
    <xf numFmtId="0" fontId="124" fillId="0" borderId="0" xfId="0" applyFont="1" applyAlignment="1">
      <alignment horizontal="left" vertical="center"/>
    </xf>
    <xf numFmtId="0" fontId="125" fillId="0" borderId="0" xfId="0" applyFont="1">
      <alignment vertical="center"/>
    </xf>
    <xf numFmtId="0" fontId="54" fillId="0" borderId="1" xfId="0" applyFont="1" applyFill="1" applyBorder="1" applyAlignment="1" applyProtection="1">
      <alignment horizontal="center" vertical="center" wrapText="1"/>
    </xf>
    <xf numFmtId="0" fontId="40" fillId="0" borderId="2"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5" borderId="26" xfId="0" applyFont="1" applyFill="1" applyBorder="1" applyAlignment="1" applyProtection="1">
      <alignment vertical="center" wrapText="1"/>
    </xf>
    <xf numFmtId="0" fontId="40" fillId="0" borderId="50" xfId="0" applyFont="1" applyBorder="1" applyAlignment="1" applyProtection="1">
      <alignment vertical="center" wrapText="1"/>
      <protection locked="0"/>
    </xf>
    <xf numFmtId="0" fontId="40" fillId="5" borderId="89" xfId="0" applyFont="1" applyFill="1" applyBorder="1" applyAlignment="1" applyProtection="1">
      <alignment vertical="center" wrapText="1"/>
    </xf>
    <xf numFmtId="0" fontId="40" fillId="5" borderId="83" xfId="0" applyFont="1" applyFill="1" applyBorder="1" applyAlignment="1" applyProtection="1">
      <alignment vertical="center" wrapText="1"/>
    </xf>
    <xf numFmtId="0" fontId="40" fillId="5" borderId="90" xfId="0" applyFont="1" applyFill="1" applyBorder="1" applyAlignment="1" applyProtection="1">
      <alignment vertical="center" wrapText="1"/>
    </xf>
    <xf numFmtId="0" fontId="40" fillId="0" borderId="94" xfId="0" applyFont="1" applyFill="1" applyBorder="1" applyAlignment="1" applyProtection="1">
      <alignment vertical="center" wrapText="1"/>
      <protection locked="0"/>
    </xf>
    <xf numFmtId="0" fontId="40" fillId="0" borderId="0" xfId="0" applyFont="1" applyAlignment="1" applyProtection="1">
      <alignment vertical="center" wrapText="1"/>
    </xf>
    <xf numFmtId="0" fontId="45" fillId="5" borderId="78"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53" xfId="0" applyFont="1" applyFill="1" applyBorder="1" applyAlignment="1" applyProtection="1">
      <alignment vertical="center" wrapText="1"/>
    </xf>
    <xf numFmtId="0" fontId="40" fillId="5" borderId="30" xfId="0" applyFont="1" applyFill="1" applyBorder="1" applyAlignment="1" applyProtection="1">
      <alignment vertical="center" wrapText="1"/>
    </xf>
    <xf numFmtId="0" fontId="0" fillId="0" borderId="0" xfId="0" applyBorder="1">
      <alignment vertical="center"/>
    </xf>
    <xf numFmtId="0" fontId="124" fillId="8" borderId="0" xfId="0" applyFont="1" applyFill="1" applyProtection="1">
      <alignment vertical="center"/>
    </xf>
    <xf numFmtId="0" fontId="124" fillId="8" borderId="0" xfId="0" applyFont="1" applyFill="1" applyAlignment="1" applyProtection="1">
      <alignment vertical="top" wrapText="1"/>
    </xf>
    <xf numFmtId="0" fontId="0" fillId="0" borderId="0" xfId="0" applyProtection="1">
      <alignment vertical="center"/>
      <protection locked="0"/>
    </xf>
    <xf numFmtId="0" fontId="45" fillId="0" borderId="0" xfId="0" applyFont="1" applyAlignment="1" applyProtection="1">
      <alignment vertical="center" wrapText="1"/>
    </xf>
    <xf numFmtId="0" fontId="40" fillId="5" borderId="37" xfId="0" applyFont="1" applyFill="1" applyBorder="1" applyAlignment="1" applyProtection="1">
      <alignment vertical="center" wrapText="1"/>
    </xf>
    <xf numFmtId="0" fontId="40" fillId="5" borderId="79" xfId="0" applyFont="1" applyFill="1" applyBorder="1" applyAlignment="1" applyProtection="1">
      <alignment vertical="center" wrapText="1"/>
    </xf>
    <xf numFmtId="0" fontId="50" fillId="5" borderId="18" xfId="0" applyFont="1" applyFill="1" applyBorder="1" applyAlignment="1" applyProtection="1">
      <alignment horizontal="center" vertical="center"/>
      <protection locked="0"/>
    </xf>
    <xf numFmtId="49" fontId="43" fillId="6" borderId="47" xfId="0" applyNumberFormat="1" applyFont="1" applyFill="1" applyBorder="1" applyAlignment="1" applyProtection="1">
      <alignment vertical="center"/>
      <protection locked="0"/>
    </xf>
    <xf numFmtId="0" fontId="128" fillId="5" borderId="0" xfId="0" applyFont="1" applyFill="1" applyAlignment="1" applyProtection="1">
      <alignment horizontal="center" vertical="center"/>
    </xf>
    <xf numFmtId="0" fontId="109" fillId="5" borderId="12" xfId="0" applyFont="1" applyFill="1" applyBorder="1" applyAlignment="1" applyProtection="1">
      <alignment horizontal="center" vertical="center"/>
    </xf>
    <xf numFmtId="0" fontId="109" fillId="5" borderId="22" xfId="0" applyFont="1" applyFill="1" applyBorder="1" applyAlignment="1" applyProtection="1">
      <alignment vertical="center" wrapText="1"/>
    </xf>
    <xf numFmtId="0" fontId="109" fillId="5" borderId="18" xfId="0" applyFont="1" applyFill="1" applyBorder="1" applyAlignment="1" applyProtection="1">
      <alignment horizontal="center" vertical="center"/>
    </xf>
    <xf numFmtId="10" fontId="98" fillId="0" borderId="11" xfId="0" applyNumberFormat="1" applyFont="1" applyBorder="1" applyAlignment="1">
      <alignment horizontal="center" vertical="center" wrapText="1"/>
    </xf>
    <xf numFmtId="10" fontId="98" fillId="0" borderId="31" xfId="0" applyNumberFormat="1" applyFont="1" applyBorder="1" applyAlignment="1">
      <alignment horizontal="center" vertical="center" wrapText="1"/>
    </xf>
    <xf numFmtId="10" fontId="98" fillId="0" borderId="1" xfId="0" applyNumberFormat="1" applyFont="1" applyBorder="1" applyAlignment="1">
      <alignment horizontal="center" vertical="center" wrapText="1"/>
    </xf>
    <xf numFmtId="10" fontId="98" fillId="0" borderId="6" xfId="0" applyNumberFormat="1" applyFont="1" applyBorder="1" applyAlignment="1">
      <alignment horizontal="center" vertical="center" wrapText="1"/>
    </xf>
    <xf numFmtId="10" fontId="98"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98" fillId="0" borderId="43" xfId="0" applyNumberFormat="1" applyFont="1" applyBorder="1" applyAlignment="1">
      <alignment horizontal="center" vertical="center" wrapText="1"/>
    </xf>
    <xf numFmtId="0" fontId="108" fillId="5" borderId="18" xfId="0" applyFont="1" applyFill="1" applyBorder="1" applyAlignment="1" applyProtection="1">
      <alignment horizontal="center" vertical="center" wrapText="1"/>
    </xf>
    <xf numFmtId="10" fontId="98" fillId="0" borderId="18" xfId="0" applyNumberFormat="1" applyFont="1" applyBorder="1" applyAlignment="1">
      <alignment horizontal="center" vertical="center" wrapText="1"/>
    </xf>
    <xf numFmtId="0" fontId="108" fillId="5" borderId="84" xfId="0" applyFont="1" applyFill="1" applyBorder="1" applyAlignment="1" applyProtection="1">
      <alignment horizontal="center" vertical="center" wrapText="1"/>
    </xf>
    <xf numFmtId="10" fontId="0" fillId="0" borderId="66" xfId="0" applyNumberFormat="1" applyBorder="1">
      <alignment vertical="center"/>
    </xf>
    <xf numFmtId="10" fontId="98" fillId="0" borderId="15" xfId="0" applyNumberFormat="1" applyFont="1" applyBorder="1" applyAlignment="1">
      <alignment horizontal="center" vertical="center" wrapText="1"/>
    </xf>
    <xf numFmtId="0" fontId="108" fillId="5" borderId="26" xfId="0" applyFont="1" applyFill="1" applyBorder="1" applyAlignment="1" applyProtection="1">
      <alignment vertical="center" wrapText="1"/>
    </xf>
    <xf numFmtId="10" fontId="98" fillId="0" borderId="34" xfId="0" applyNumberFormat="1" applyFont="1" applyBorder="1" applyAlignment="1">
      <alignment horizontal="center" vertical="center" wrapText="1"/>
    </xf>
    <xf numFmtId="10" fontId="0" fillId="0" borderId="79" xfId="0" applyNumberFormat="1" applyBorder="1">
      <alignment vertical="center"/>
    </xf>
    <xf numFmtId="0" fontId="51"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41" fillId="0" borderId="2" xfId="0" applyNumberFormat="1" applyFont="1" applyFill="1" applyBorder="1" applyAlignment="1" applyProtection="1">
      <alignment horizontal="center" vertical="center" wrapText="1"/>
      <protection locked="0"/>
    </xf>
    <xf numFmtId="0" fontId="40" fillId="0" borderId="60" xfId="0" applyFont="1" applyFill="1" applyBorder="1" applyAlignment="1" applyProtection="1">
      <alignment horizontal="center" vertical="center"/>
      <protection locked="0"/>
    </xf>
    <xf numFmtId="0" fontId="40" fillId="0" borderId="2" xfId="0" applyNumberFormat="1" applyFont="1" applyFill="1" applyBorder="1" applyAlignment="1" applyProtection="1">
      <alignment horizontal="center" vertical="center" wrapText="1"/>
      <protection locked="0"/>
    </xf>
    <xf numFmtId="0"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wrapText="1"/>
      <protection locked="0"/>
    </xf>
    <xf numFmtId="9"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protection locked="0"/>
    </xf>
    <xf numFmtId="0" fontId="40" fillId="0" borderId="2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64" xfId="0" applyNumberFormat="1" applyFont="1" applyFill="1" applyBorder="1" applyAlignment="1" applyProtection="1">
      <alignment horizontal="center" vertical="center" wrapText="1"/>
      <protection locked="0"/>
    </xf>
    <xf numFmtId="0" fontId="40" fillId="0" borderId="39" xfId="0" applyNumberFormat="1" applyFont="1" applyFill="1" applyBorder="1" applyAlignment="1" applyProtection="1">
      <alignment horizontal="center" vertical="center" wrapText="1"/>
      <protection locked="0"/>
    </xf>
    <xf numFmtId="0" fontId="40" fillId="5" borderId="98" xfId="0" applyNumberFormat="1" applyFont="1" applyFill="1" applyBorder="1" applyAlignment="1" applyProtection="1">
      <alignment horizontal="center" vertical="center" wrapText="1"/>
    </xf>
    <xf numFmtId="0" fontId="40" fillId="5" borderId="99" xfId="0" applyNumberFormat="1" applyFont="1" applyFill="1" applyBorder="1" applyAlignment="1" applyProtection="1">
      <alignment horizontal="center" vertical="center" wrapText="1"/>
    </xf>
    <xf numFmtId="0" fontId="46" fillId="5" borderId="100" xfId="0" applyNumberFormat="1" applyFont="1" applyFill="1" applyBorder="1" applyAlignment="1" applyProtection="1">
      <alignment horizontal="center" vertical="center" wrapText="1"/>
    </xf>
    <xf numFmtId="0" fontId="46" fillId="5" borderId="101" xfId="0" applyNumberFormat="1" applyFont="1" applyFill="1" applyBorder="1" applyAlignment="1" applyProtection="1">
      <alignment horizontal="center" vertical="center" wrapText="1"/>
    </xf>
    <xf numFmtId="0" fontId="46" fillId="5" borderId="102" xfId="0" applyNumberFormat="1" applyFont="1" applyFill="1" applyBorder="1" applyAlignment="1" applyProtection="1">
      <alignment horizontal="center" vertical="center" wrapText="1"/>
    </xf>
    <xf numFmtId="0" fontId="40" fillId="5" borderId="39"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35"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103"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left" vertical="center" wrapText="1"/>
      <protection locked="0"/>
    </xf>
    <xf numFmtId="0" fontId="40" fillId="0" borderId="105" xfId="0"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pplyProtection="1">
      <alignment horizontal="center" vertical="center" wrapText="1"/>
      <protection locked="0"/>
    </xf>
    <xf numFmtId="0" fontId="40" fillId="5" borderId="1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0" fillId="0" borderId="107" xfId="0" applyNumberFormat="1" applyFont="1" applyFill="1" applyBorder="1" applyAlignment="1" applyProtection="1">
      <alignment horizontal="center" vertical="center" wrapText="1"/>
      <protection locked="0"/>
    </xf>
    <xf numFmtId="0" fontId="40" fillId="0" borderId="108" xfId="0" applyFont="1" applyFill="1" applyBorder="1" applyAlignment="1" applyProtection="1">
      <alignment horizontal="center" vertical="center"/>
      <protection locked="0"/>
    </xf>
    <xf numFmtId="0"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wrapText="1"/>
      <protection locked="0"/>
    </xf>
    <xf numFmtId="9"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5" fillId="5" borderId="0" xfId="0" applyFont="1" applyFill="1" applyAlignment="1" applyProtection="1">
      <alignment horizontal="left" vertical="center"/>
    </xf>
    <xf numFmtId="0" fontId="0" fillId="8" borderId="0" xfId="0" applyFill="1">
      <alignment vertical="center"/>
    </xf>
    <xf numFmtId="0" fontId="125" fillId="8" borderId="0" xfId="0" applyFont="1" applyFill="1">
      <alignment vertical="center"/>
    </xf>
    <xf numFmtId="0" fontId="124" fillId="8" borderId="0" xfId="0" applyFont="1" applyFill="1" applyProtection="1">
      <alignment vertical="center"/>
    </xf>
    <xf numFmtId="0" fontId="0" fillId="8" borderId="0" xfId="0" applyFont="1" applyFill="1">
      <alignment vertical="center"/>
    </xf>
    <xf numFmtId="0" fontId="53" fillId="0" borderId="1" xfId="0" applyNumberFormat="1" applyFont="1" applyFill="1" applyBorder="1" applyAlignment="1" applyProtection="1">
      <alignment horizontal="center" vertical="center"/>
      <protection locked="0"/>
    </xf>
    <xf numFmtId="0" fontId="40" fillId="0" borderId="99" xfId="0" applyNumberFormat="1" applyFont="1" applyFill="1" applyBorder="1" applyAlignment="1" applyProtection="1">
      <alignment horizontal="center" vertical="center" wrapText="1"/>
      <protection locked="0"/>
    </xf>
    <xf numFmtId="0" fontId="46" fillId="0" borderId="100" xfId="0" applyNumberFormat="1" applyFont="1" applyFill="1" applyBorder="1" applyAlignment="1" applyProtection="1">
      <alignment horizontal="center" vertical="center" wrapText="1"/>
      <protection locked="0"/>
    </xf>
    <xf numFmtId="0" fontId="46" fillId="0" borderId="101" xfId="0" applyNumberFormat="1" applyFont="1" applyFill="1" applyBorder="1" applyAlignment="1" applyProtection="1">
      <alignment horizontal="center" vertical="center" wrapText="1"/>
      <protection locked="0"/>
    </xf>
    <xf numFmtId="0" fontId="40" fillId="5" borderId="106" xfId="0" applyNumberFormat="1" applyFont="1" applyFill="1" applyBorder="1" applyAlignment="1" applyProtection="1">
      <alignment horizontal="center" vertical="center" wrapText="1"/>
    </xf>
    <xf numFmtId="0" fontId="40" fillId="5" borderId="3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6" fillId="0" borderId="80" xfId="0" applyNumberFormat="1" applyFont="1" applyFill="1" applyBorder="1" applyAlignment="1" applyProtection="1">
      <alignment horizontal="center" vertical="center" wrapText="1"/>
      <protection locked="0"/>
    </xf>
    <xf numFmtId="0" fontId="40" fillId="0" borderId="110" xfId="0" applyNumberFormat="1" applyFont="1" applyFill="1" applyBorder="1" applyAlignment="1" applyProtection="1">
      <alignment horizontal="center" vertical="center" wrapText="1"/>
      <protection locked="0"/>
    </xf>
    <xf numFmtId="0" fontId="46" fillId="5" borderId="111" xfId="0" applyNumberFormat="1"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protection locked="0"/>
    </xf>
    <xf numFmtId="0" fontId="46" fillId="5" borderId="80" xfId="0" applyNumberFormat="1" applyFont="1" applyFill="1" applyBorder="1" applyAlignment="1" applyProtection="1">
      <alignment horizontal="center" vertical="center" wrapText="1"/>
    </xf>
    <xf numFmtId="0" fontId="40" fillId="0" borderId="106" xfId="0" applyFont="1" applyFill="1" applyBorder="1" applyAlignment="1" applyProtection="1">
      <alignment horizontal="center" vertical="center"/>
      <protection locked="0"/>
    </xf>
    <xf numFmtId="0" fontId="46" fillId="0" borderId="111" xfId="0" applyNumberFormat="1" applyFont="1" applyFill="1" applyBorder="1" applyAlignment="1" applyProtection="1">
      <alignment horizontal="center" vertical="center" wrapText="1"/>
      <protection locked="0"/>
    </xf>
    <xf numFmtId="0" fontId="105" fillId="5" borderId="18" xfId="0" applyFont="1" applyFill="1" applyBorder="1" applyAlignment="1" applyProtection="1">
      <alignment horizontal="center" vertical="center" wrapText="1"/>
    </xf>
    <xf numFmtId="0" fontId="105" fillId="5" borderId="17" xfId="0" applyFont="1" applyFill="1" applyBorder="1" applyAlignment="1" applyProtection="1">
      <alignment horizontal="center" vertical="center" wrapText="1"/>
    </xf>
    <xf numFmtId="0" fontId="94" fillId="8" borderId="0" xfId="0" applyFont="1" applyFill="1" applyProtection="1">
      <alignment vertical="center"/>
      <protection locked="0"/>
    </xf>
    <xf numFmtId="0" fontId="38" fillId="5" borderId="0" xfId="1" applyFont="1" applyFill="1" applyBorder="1" applyAlignment="1" applyProtection="1">
      <alignment vertical="center"/>
      <protection locked="0"/>
    </xf>
    <xf numFmtId="49" fontId="55" fillId="5" borderId="0" xfId="0" applyNumberFormat="1" applyFont="1" applyFill="1" applyBorder="1" applyAlignment="1" applyProtection="1">
      <alignment horizontal="center"/>
      <protection locked="0"/>
    </xf>
    <xf numFmtId="49" fontId="55" fillId="5" borderId="0" xfId="0" applyNumberFormat="1" applyFont="1" applyFill="1" applyBorder="1" applyAlignment="1" applyProtection="1">
      <alignment horizontal="left"/>
      <protection locked="0"/>
    </xf>
    <xf numFmtId="0" fontId="51" fillId="5" borderId="0" xfId="0" applyFont="1" applyFill="1" applyBorder="1" applyAlignment="1" applyProtection="1">
      <alignment vertical="center"/>
      <protection locked="0"/>
    </xf>
    <xf numFmtId="49" fontId="50" fillId="5" borderId="0" xfId="0" applyNumberFormat="1" applyFont="1" applyFill="1" applyBorder="1" applyAlignment="1" applyProtection="1">
      <protection locked="0"/>
    </xf>
    <xf numFmtId="49" fontId="50" fillId="5" borderId="0" xfId="0" applyNumberFormat="1" applyFont="1" applyFill="1" applyBorder="1" applyAlignment="1" applyProtection="1">
      <alignment horizontal="center"/>
      <protection locked="0"/>
    </xf>
    <xf numFmtId="49" fontId="50" fillId="5" borderId="0" xfId="0" applyNumberFormat="1" applyFont="1" applyFill="1" applyBorder="1" applyAlignment="1" applyProtection="1">
      <alignment horizontal="left"/>
      <protection locked="0"/>
    </xf>
    <xf numFmtId="49" fontId="47" fillId="5" borderId="0" xfId="0" applyNumberFormat="1" applyFont="1" applyFill="1" applyBorder="1" applyAlignment="1" applyProtection="1">
      <alignment horizontal="left" vertical="center"/>
      <protection locked="0"/>
    </xf>
    <xf numFmtId="0" fontId="47" fillId="5" borderId="0" xfId="0" applyFont="1" applyFill="1" applyBorder="1" applyAlignment="1" applyProtection="1">
      <alignment horizontal="left" vertical="center"/>
      <protection locked="0"/>
    </xf>
    <xf numFmtId="0" fontId="53" fillId="5" borderId="0"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46" fillId="5" borderId="0" xfId="0" applyFont="1" applyFill="1" applyBorder="1" applyAlignment="1" applyProtection="1">
      <alignment horizontal="left" vertical="center"/>
      <protection locked="0"/>
    </xf>
    <xf numFmtId="179" fontId="53" fillId="5" borderId="0" xfId="0" applyNumberFormat="1" applyFont="1" applyFill="1" applyBorder="1" applyAlignment="1" applyProtection="1">
      <alignment horizontal="center" vertical="center"/>
      <protection locked="0"/>
    </xf>
    <xf numFmtId="49" fontId="59" fillId="5" borderId="0" xfId="0" applyNumberFormat="1" applyFont="1" applyFill="1" applyBorder="1" applyAlignment="1" applyProtection="1">
      <alignment horizontal="left" vertical="center"/>
      <protection locked="0"/>
    </xf>
    <xf numFmtId="0" fontId="59" fillId="5" borderId="0" xfId="0"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protection locked="0"/>
    </xf>
    <xf numFmtId="0" fontId="61" fillId="5" borderId="0" xfId="0" applyFont="1" applyFill="1" applyBorder="1" applyAlignment="1" applyProtection="1">
      <alignment vertical="center"/>
      <protection locked="0"/>
    </xf>
    <xf numFmtId="0" fontId="62" fillId="5" borderId="0" xfId="0" applyFont="1" applyFill="1" applyBorder="1" applyAlignment="1" applyProtection="1">
      <alignment horizontal="left" vertical="center"/>
      <protection locked="0"/>
    </xf>
    <xf numFmtId="179" fontId="60" fillId="5" borderId="0" xfId="0" applyNumberFormat="1" applyFont="1" applyFill="1" applyBorder="1" applyAlignment="1" applyProtection="1">
      <alignment horizontal="center" vertical="center"/>
      <protection locked="0"/>
    </xf>
    <xf numFmtId="0" fontId="95" fillId="5" borderId="0" xfId="0" applyFont="1" applyFill="1" applyAlignment="1" applyProtection="1">
      <protection locked="0"/>
    </xf>
    <xf numFmtId="0" fontId="95" fillId="5" borderId="0" xfId="0" applyFont="1" applyFill="1" applyAlignment="1" applyProtection="1">
      <alignment horizontal="left"/>
      <protection locked="0"/>
    </xf>
    <xf numFmtId="0" fontId="39" fillId="5" borderId="0" xfId="0" applyFont="1" applyFill="1" applyAlignment="1" applyProtection="1">
      <alignment horizontal="left"/>
      <protection locked="0"/>
    </xf>
    <xf numFmtId="0" fontId="39" fillId="5" borderId="0" xfId="0" applyFont="1" applyFill="1" applyAlignment="1" applyProtection="1">
      <protection locked="0"/>
    </xf>
    <xf numFmtId="0" fontId="40" fillId="5" borderId="0" xfId="0" applyFont="1" applyFill="1" applyAlignment="1" applyProtection="1">
      <alignment horizontal="left" vertical="center"/>
      <protection locked="0"/>
    </xf>
    <xf numFmtId="0" fontId="51" fillId="5" borderId="0" xfId="0" applyFont="1" applyFill="1" applyAlignment="1" applyProtection="1">
      <alignment horizontal="left" vertical="center"/>
      <protection locked="0"/>
    </xf>
    <xf numFmtId="0" fontId="51" fillId="5"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51" fillId="8" borderId="0" xfId="0" applyFont="1" applyFill="1" applyAlignment="1" applyProtection="1">
      <alignment vertical="center"/>
    </xf>
    <xf numFmtId="0" fontId="58" fillId="8" borderId="0" xfId="0" applyFont="1" applyFill="1" applyAlignment="1" applyProtection="1">
      <alignment vertical="center"/>
    </xf>
    <xf numFmtId="177" fontId="50" fillId="8" borderId="0" xfId="0" applyNumberFormat="1" applyFont="1" applyFill="1" applyBorder="1" applyAlignment="1" applyProtection="1"/>
    <xf numFmtId="0" fontId="37" fillId="5" borderId="0" xfId="0" applyFont="1" applyFill="1" applyBorder="1" applyAlignment="1" applyProtection="1">
      <alignment horizontal="center" vertical="center"/>
      <protection locked="0"/>
    </xf>
    <xf numFmtId="0" fontId="44" fillId="5" borderId="0" xfId="0" applyFont="1" applyFill="1" applyAlignment="1" applyProtection="1">
      <alignment horizontal="center" vertical="center"/>
      <protection locked="0"/>
    </xf>
    <xf numFmtId="181" fontId="44" fillId="5" borderId="0" xfId="0" applyNumberFormat="1" applyFont="1" applyFill="1" applyAlignment="1" applyProtection="1">
      <alignment horizontal="center" vertical="center"/>
      <protection locked="0"/>
    </xf>
    <xf numFmtId="14" fontId="44" fillId="5" borderId="0" xfId="0" applyNumberFormat="1" applyFont="1" applyFill="1" applyAlignment="1" applyProtection="1">
      <alignment horizontal="center" vertical="center"/>
      <protection locked="0"/>
    </xf>
    <xf numFmtId="189" fontId="44" fillId="5" borderId="0" xfId="0" applyNumberFormat="1" applyFont="1" applyFill="1" applyAlignment="1" applyProtection="1">
      <alignment horizontal="center" vertical="center"/>
      <protection locked="0"/>
    </xf>
    <xf numFmtId="176" fontId="44" fillId="5" borderId="0" xfId="0" applyNumberFormat="1" applyFont="1" applyFill="1" applyAlignment="1" applyProtection="1">
      <alignment horizontal="center" vertical="center"/>
      <protection locked="0"/>
    </xf>
    <xf numFmtId="0" fontId="46" fillId="5" borderId="0" xfId="0" applyFont="1" applyFill="1" applyAlignment="1" applyProtection="1">
      <protection locked="0"/>
    </xf>
    <xf numFmtId="189" fontId="44" fillId="5" borderId="0" xfId="0" applyNumberFormat="1" applyFont="1" applyFill="1" applyBorder="1" applyAlignment="1" applyProtection="1">
      <alignment horizontal="center"/>
      <protection locked="0"/>
    </xf>
    <xf numFmtId="181" fontId="44" fillId="5" borderId="0" xfId="0" applyNumberFormat="1" applyFont="1" applyFill="1" applyBorder="1" applyAlignment="1" applyProtection="1">
      <protection locked="0"/>
    </xf>
    <xf numFmtId="0" fontId="44" fillId="5" borderId="0" xfId="0" applyFont="1" applyFill="1" applyBorder="1" applyAlignment="1" applyProtection="1">
      <protection locked="0"/>
    </xf>
    <xf numFmtId="0" fontId="67" fillId="5" borderId="42" xfId="0" applyNumberFormat="1" applyFont="1" applyFill="1" applyBorder="1" applyAlignment="1" applyProtection="1">
      <alignment vertical="center" wrapText="1"/>
      <protection locked="0"/>
    </xf>
    <xf numFmtId="0" fontId="94" fillId="5" borderId="0" xfId="0" applyFont="1" applyFill="1" applyProtection="1">
      <alignment vertical="center"/>
      <protection locked="0"/>
    </xf>
    <xf numFmtId="0" fontId="95" fillId="5" borderId="0" xfId="0" applyFont="1" applyFill="1" applyProtection="1">
      <alignment vertical="center"/>
      <protection locked="0"/>
    </xf>
    <xf numFmtId="0" fontId="9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6"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7"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5" fillId="8" borderId="0" xfId="0" applyFont="1" applyFill="1" applyProtection="1">
      <alignment vertical="center"/>
      <protection locked="0"/>
    </xf>
    <xf numFmtId="0" fontId="9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4" fillId="0" borderId="0" xfId="0" applyFont="1" applyProtection="1">
      <alignment vertical="center"/>
      <protection locked="0"/>
    </xf>
    <xf numFmtId="0" fontId="95" fillId="0" borderId="0" xfId="0" applyFont="1" applyProtection="1">
      <alignment vertical="center"/>
      <protection locked="0"/>
    </xf>
    <xf numFmtId="0" fontId="95" fillId="0" borderId="0" xfId="0" applyFont="1" applyAlignment="1" applyProtection="1">
      <alignment horizontal="center" vertical="center"/>
      <protection locked="0"/>
    </xf>
    <xf numFmtId="9" fontId="70" fillId="6" borderId="1" xfId="0" applyNumberFormat="1" applyFont="1" applyFill="1" applyBorder="1" applyAlignment="1" applyProtection="1">
      <alignment horizontal="center" vertical="center"/>
      <protection locked="0"/>
    </xf>
    <xf numFmtId="0" fontId="51" fillId="5" borderId="64" xfId="0" applyFont="1" applyFill="1" applyBorder="1" applyAlignment="1" applyProtection="1">
      <alignment vertical="center"/>
      <protection locked="0"/>
    </xf>
    <xf numFmtId="0" fontId="51" fillId="5" borderId="65" xfId="0" applyFont="1" applyFill="1" applyBorder="1" applyAlignment="1" applyProtection="1">
      <alignment vertical="center"/>
      <protection locked="0"/>
    </xf>
    <xf numFmtId="0" fontId="45" fillId="5" borderId="34" xfId="0" applyFont="1" applyFill="1" applyBorder="1" applyAlignment="1" applyProtection="1">
      <alignment horizontal="center" vertical="center"/>
    </xf>
    <xf numFmtId="0" fontId="40" fillId="5" borderId="12" xfId="0" applyFont="1" applyFill="1" applyBorder="1" applyAlignment="1" applyProtection="1">
      <alignment horizontal="right" vertical="center"/>
    </xf>
    <xf numFmtId="0" fontId="40" fillId="5" borderId="79" xfId="0" applyFont="1" applyFill="1" applyBorder="1" applyAlignment="1" applyProtection="1">
      <alignment horizontal="center" vertical="center"/>
    </xf>
    <xf numFmtId="0" fontId="47" fillId="8" borderId="6" xfId="0" applyFont="1" applyFill="1" applyBorder="1" applyAlignment="1" applyProtection="1">
      <alignment horizontal="center" vertical="center"/>
      <protection locked="0"/>
    </xf>
    <xf numFmtId="0" fontId="51" fillId="5" borderId="41" xfId="0" applyFont="1" applyFill="1" applyBorder="1" applyAlignment="1" applyProtection="1">
      <alignment vertical="center"/>
      <protection locked="0"/>
    </xf>
    <xf numFmtId="0" fontId="51" fillId="5" borderId="39" xfId="0" applyFont="1" applyFill="1" applyBorder="1" applyAlignment="1" applyProtection="1">
      <alignment vertical="center"/>
      <protection locked="0"/>
    </xf>
    <xf numFmtId="0" fontId="51" fillId="5" borderId="68" xfId="0" applyFont="1" applyFill="1" applyBorder="1" applyAlignment="1" applyProtection="1">
      <alignment vertical="center"/>
      <protection locked="0"/>
    </xf>
    <xf numFmtId="0" fontId="51" fillId="5" borderId="55" xfId="0" applyFont="1" applyFill="1" applyBorder="1" applyAlignment="1" applyProtection="1">
      <alignment horizontal="center" vertical="center"/>
    </xf>
    <xf numFmtId="49" fontId="52" fillId="5" borderId="7" xfId="1" applyNumberFormat="1" applyFont="1" applyFill="1" applyBorder="1" applyAlignment="1" applyProtection="1">
      <alignment horizontal="left"/>
    </xf>
    <xf numFmtId="49" fontId="47" fillId="5" borderId="7" xfId="0" applyNumberFormat="1" applyFont="1" applyFill="1" applyBorder="1" applyAlignment="1" applyProtection="1">
      <alignment horizontal="left" vertical="center"/>
    </xf>
    <xf numFmtId="49" fontId="40" fillId="5" borderId="7" xfId="0" applyNumberFormat="1" applyFont="1" applyFill="1" applyBorder="1" applyAlignment="1" applyProtection="1">
      <alignment horizontal="center" vertical="center"/>
    </xf>
    <xf numFmtId="0" fontId="40" fillId="5" borderId="7" xfId="1" applyFont="1" applyFill="1" applyBorder="1" applyAlignment="1" applyProtection="1">
      <alignment horizontal="right" vertical="center"/>
    </xf>
    <xf numFmtId="0" fontId="53" fillId="8" borderId="1" xfId="0" applyFont="1" applyFill="1" applyBorder="1" applyProtection="1">
      <alignment vertical="center"/>
      <protection locked="0"/>
    </xf>
    <xf numFmtId="0" fontId="40" fillId="8" borderId="1" xfId="0" applyFont="1" applyFill="1" applyBorder="1" applyProtection="1">
      <alignment vertical="center"/>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98" fillId="8" borderId="0" xfId="0" applyFont="1" applyFill="1" applyProtection="1">
      <alignment vertical="center"/>
    </xf>
    <xf numFmtId="0" fontId="50" fillId="6" borderId="47" xfId="1" applyFont="1" applyFill="1" applyBorder="1" applyAlignment="1" applyProtection="1">
      <alignment vertical="center"/>
      <protection locked="0"/>
    </xf>
    <xf numFmtId="0" fontId="47" fillId="5" borderId="35" xfId="0" applyNumberFormat="1" applyFont="1" applyFill="1" applyBorder="1" applyAlignment="1" applyProtection="1">
      <alignment vertical="center" wrapText="1"/>
      <protection locked="0"/>
    </xf>
    <xf numFmtId="0" fontId="53" fillId="5" borderId="60" xfId="0" applyNumberFormat="1" applyFont="1" applyFill="1" applyBorder="1" applyAlignment="1" applyProtection="1">
      <alignment vertical="center" textRotation="255" wrapText="1"/>
      <protection locked="0"/>
    </xf>
    <xf numFmtId="0" fontId="53" fillId="5" borderId="60" xfId="0" applyNumberFormat="1" applyFont="1" applyFill="1" applyBorder="1" applyAlignment="1" applyProtection="1">
      <alignment vertical="center" wrapText="1"/>
      <protection locked="0"/>
    </xf>
    <xf numFmtId="0" fontId="45" fillId="5" borderId="60" xfId="0" applyNumberFormat="1" applyFont="1" applyFill="1" applyBorder="1" applyAlignment="1" applyProtection="1">
      <alignment vertical="center" wrapText="1"/>
      <protection locked="0"/>
    </xf>
    <xf numFmtId="0" fontId="40" fillId="10" borderId="4"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left" vertical="center" wrapText="1"/>
      <protection locked="0"/>
    </xf>
    <xf numFmtId="0" fontId="40" fillId="10" borderId="13" xfId="0" applyNumberFormat="1"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protection locked="0"/>
    </xf>
    <xf numFmtId="0"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9"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79" xfId="0" applyFont="1" applyFill="1" applyBorder="1" applyAlignment="1" applyProtection="1">
      <alignment horizontal="center" vertical="center"/>
      <protection locked="0"/>
    </xf>
    <xf numFmtId="0" fontId="45" fillId="10" borderId="123" xfId="0" applyNumberFormat="1" applyFont="1" applyFill="1" applyBorder="1" applyAlignment="1" applyProtection="1">
      <alignment vertical="center" wrapText="1"/>
      <protection locked="0"/>
    </xf>
    <xf numFmtId="0" fontId="40" fillId="10" borderId="29" xfId="0" applyNumberFormat="1" applyFont="1" applyFill="1" applyBorder="1" applyAlignment="1" applyProtection="1">
      <alignment horizontal="center" vertical="center" wrapText="1"/>
    </xf>
    <xf numFmtId="0" fontId="40" fillId="10" borderId="8" xfId="0" applyNumberFormat="1" applyFont="1" applyFill="1" applyBorder="1" applyAlignment="1" applyProtection="1">
      <alignment horizontal="center" vertical="center" wrapText="1"/>
      <protection locked="0"/>
    </xf>
    <xf numFmtId="0" fontId="46" fillId="10" borderId="61" xfId="0" applyNumberFormat="1" applyFont="1" applyFill="1" applyBorder="1" applyAlignment="1" applyProtection="1">
      <alignment horizontal="center" vertical="center" wrapText="1"/>
      <protection locked="0"/>
    </xf>
    <xf numFmtId="0" fontId="46" fillId="10" borderId="44" xfId="0" applyNumberFormat="1" applyFont="1" applyFill="1" applyBorder="1" applyAlignment="1" applyProtection="1">
      <alignment horizontal="center" vertical="center" wrapText="1"/>
      <protection locked="0"/>
    </xf>
    <xf numFmtId="0" fontId="46" fillId="10" borderId="62" xfId="0" applyNumberFormat="1" applyFont="1" applyFill="1" applyBorder="1" applyAlignment="1" applyProtection="1">
      <alignment horizontal="center" vertical="center" wrapText="1"/>
      <protection locked="0"/>
    </xf>
    <xf numFmtId="0" fontId="51" fillId="8" borderId="66" xfId="0" applyFont="1" applyFill="1" applyBorder="1" applyAlignment="1" applyProtection="1">
      <alignment vertical="center"/>
      <protection locked="0"/>
    </xf>
    <xf numFmtId="0" fontId="51" fillId="8" borderId="81" xfId="0" applyFont="1" applyFill="1" applyBorder="1" applyAlignment="1" applyProtection="1">
      <alignment horizontal="left" vertical="center"/>
      <protection locked="0"/>
    </xf>
    <xf numFmtId="0" fontId="51" fillId="5" borderId="31" xfId="0" applyFont="1" applyFill="1" applyBorder="1" applyAlignment="1" applyProtection="1">
      <alignment horizontal="center" vertical="center"/>
    </xf>
    <xf numFmtId="0" fontId="51" fillId="0" borderId="6" xfId="0" applyFont="1" applyFill="1" applyBorder="1" applyAlignment="1" applyProtection="1">
      <alignment horizontal="center" vertical="center"/>
      <protection locked="0"/>
    </xf>
    <xf numFmtId="0" fontId="126" fillId="5" borderId="6" xfId="0" applyFont="1" applyFill="1" applyBorder="1" applyAlignment="1" applyProtection="1">
      <alignment horizontal="center"/>
    </xf>
    <xf numFmtId="0" fontId="51" fillId="5" borderId="6" xfId="0" applyNumberFormat="1" applyFont="1" applyFill="1" applyBorder="1" applyAlignment="1" applyProtection="1">
      <alignment horizontal="center" vertical="center"/>
    </xf>
    <xf numFmtId="194" fontId="51" fillId="5" borderId="6" xfId="0" applyNumberFormat="1" applyFont="1" applyFill="1" applyBorder="1" applyAlignment="1" applyProtection="1">
      <alignment horizontal="center" vertical="center"/>
    </xf>
    <xf numFmtId="10" fontId="51" fillId="0" borderId="43" xfId="0" applyNumberFormat="1" applyFont="1" applyFill="1" applyBorder="1" applyAlignment="1" applyProtection="1">
      <alignment horizontal="center" vertical="center"/>
      <protection locked="0"/>
    </xf>
    <xf numFmtId="0" fontId="51" fillId="5" borderId="84" xfId="0" applyFont="1" applyFill="1" applyBorder="1" applyAlignment="1" applyProtection="1">
      <alignment horizontal="center" vertical="center"/>
    </xf>
    <xf numFmtId="0" fontId="51" fillId="6" borderId="38" xfId="0" applyFont="1" applyFill="1" applyBorder="1" applyAlignment="1" applyProtection="1">
      <alignment horizontal="center" vertical="center"/>
      <protection locked="0"/>
    </xf>
    <xf numFmtId="0" fontId="51" fillId="5" borderId="43" xfId="0" applyFont="1" applyFill="1" applyBorder="1" applyAlignment="1" applyProtection="1">
      <alignment horizontal="center" vertical="center"/>
    </xf>
    <xf numFmtId="0" fontId="51" fillId="5" borderId="2" xfId="0" applyFont="1" applyFill="1" applyBorder="1" applyAlignment="1" applyProtection="1">
      <alignment horizontal="center" vertical="center"/>
    </xf>
    <xf numFmtId="0" fontId="51" fillId="6" borderId="0" xfId="0" applyFont="1" applyFill="1" applyAlignment="1" applyProtection="1">
      <alignment horizontal="center" vertical="center"/>
      <protection locked="0"/>
    </xf>
    <xf numFmtId="181" fontId="45" fillId="0" borderId="6" xfId="0" applyNumberFormat="1" applyFont="1" applyFill="1" applyBorder="1" applyAlignment="1" applyProtection="1">
      <alignment horizontal="center" vertical="center"/>
      <protection locked="0"/>
    </xf>
    <xf numFmtId="0" fontId="129" fillId="5" borderId="82"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57" fillId="8" borderId="0" xfId="0" applyFont="1" applyFill="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136" fillId="5" borderId="0" xfId="0" applyFont="1" applyFill="1" applyAlignment="1" applyProtection="1">
      <alignment vertical="center"/>
    </xf>
    <xf numFmtId="0" fontId="51" fillId="5" borderId="0" xfId="0" applyFont="1" applyFill="1" applyAlignment="1" applyProtection="1">
      <alignment vertical="center"/>
    </xf>
    <xf numFmtId="0" fontId="126" fillId="5" borderId="82" xfId="0" applyFont="1" applyFill="1" applyBorder="1" applyAlignment="1" applyProtection="1">
      <alignment vertical="center" wrapText="1"/>
    </xf>
    <xf numFmtId="0" fontId="126" fillId="5" borderId="81" xfId="0" applyFont="1" applyFill="1" applyBorder="1" applyAlignment="1" applyProtection="1">
      <alignment vertical="center"/>
    </xf>
    <xf numFmtId="0" fontId="126" fillId="5" borderId="81" xfId="0" applyFont="1" applyFill="1" applyBorder="1" applyAlignment="1" applyProtection="1">
      <alignment horizontal="center" vertical="center" wrapText="1"/>
    </xf>
    <xf numFmtId="0" fontId="126" fillId="5" borderId="81" xfId="0" applyFont="1" applyFill="1" applyBorder="1" applyAlignment="1" applyProtection="1">
      <alignment vertical="center" wrapText="1"/>
    </xf>
    <xf numFmtId="0" fontId="126" fillId="5" borderId="78" xfId="0" applyFont="1" applyFill="1" applyBorder="1" applyAlignment="1" applyProtection="1">
      <alignment vertical="center" wrapText="1"/>
    </xf>
    <xf numFmtId="0" fontId="126" fillId="5" borderId="30" xfId="0" applyFont="1" applyFill="1" applyBorder="1" applyAlignment="1" applyProtection="1">
      <alignment vertical="center"/>
    </xf>
    <xf numFmtId="0" fontId="126" fillId="5" borderId="30" xfId="0" applyFont="1" applyFill="1" applyBorder="1" applyAlignment="1" applyProtection="1">
      <alignment horizontal="center" vertical="center" wrapText="1"/>
    </xf>
    <xf numFmtId="0" fontId="126" fillId="5" borderId="30" xfId="0" applyFont="1" applyFill="1" applyBorder="1" applyAlignment="1" applyProtection="1">
      <alignment vertical="center" wrapText="1"/>
    </xf>
    <xf numFmtId="0" fontId="126" fillId="5" borderId="78" xfId="0" applyFont="1" applyFill="1" applyBorder="1" applyAlignment="1" applyProtection="1">
      <alignment horizontal="right" vertical="center" wrapText="1"/>
    </xf>
    <xf numFmtId="10" fontId="126" fillId="5" borderId="30" xfId="0" applyNumberFormat="1" applyFont="1" applyFill="1" applyBorder="1" applyAlignment="1" applyProtection="1">
      <alignment horizontal="center" vertical="center" wrapText="1"/>
    </xf>
    <xf numFmtId="194" fontId="126" fillId="5" borderId="30" xfId="0" applyNumberFormat="1" applyFont="1" applyFill="1" applyBorder="1" applyAlignment="1" applyProtection="1">
      <alignment horizontal="center" vertical="center" wrapText="1"/>
    </xf>
    <xf numFmtId="0" fontId="127" fillId="5" borderId="30" xfId="0" applyFont="1" applyFill="1" applyBorder="1" applyAlignment="1" applyProtection="1">
      <alignment vertical="center" wrapText="1"/>
    </xf>
    <xf numFmtId="0" fontId="101" fillId="5" borderId="30" xfId="0" applyFont="1" applyFill="1" applyBorder="1" applyAlignment="1" applyProtection="1">
      <alignment vertical="center"/>
    </xf>
    <xf numFmtId="0" fontId="51" fillId="5" borderId="53" xfId="0" applyFont="1" applyFill="1" applyBorder="1" applyAlignment="1" applyProtection="1">
      <alignment vertical="center"/>
      <protection locked="0"/>
    </xf>
    <xf numFmtId="49" fontId="40" fillId="5" borderId="16" xfId="0" applyNumberFormat="1" applyFont="1" applyFill="1" applyBorder="1" applyAlignment="1" applyProtection="1">
      <alignment horizontal="left" vertical="center"/>
    </xf>
    <xf numFmtId="0" fontId="45" fillId="5" borderId="27"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49" fontId="40" fillId="5" borderId="23" xfId="0" applyNumberFormat="1" applyFont="1" applyFill="1" applyBorder="1" applyAlignment="1" applyProtection="1">
      <alignment horizontal="left" vertical="center"/>
    </xf>
    <xf numFmtId="49" fontId="40"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5"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4" fillId="0" borderId="1" xfId="0" applyFont="1" applyFill="1" applyBorder="1" applyAlignment="1">
      <alignment horizontal="center" vertical="center"/>
    </xf>
    <xf numFmtId="9" fontId="133" fillId="0" borderId="1" xfId="0" applyNumberFormat="1" applyFont="1" applyFill="1" applyBorder="1" applyAlignment="1">
      <alignment horizontal="center" vertical="center"/>
    </xf>
    <xf numFmtId="177" fontId="133" fillId="0" borderId="1" xfId="0" applyNumberFormat="1" applyFont="1" applyFill="1" applyBorder="1" applyAlignment="1">
      <alignment horizontal="center" vertical="center"/>
    </xf>
    <xf numFmtId="0" fontId="133"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4" fillId="0" borderId="6" xfId="0" applyFont="1" applyFill="1" applyBorder="1" applyAlignment="1">
      <alignment horizontal="center" vertical="center"/>
    </xf>
    <xf numFmtId="0" fontId="135" fillId="0" borderId="1" xfId="0" applyFont="1" applyFill="1" applyBorder="1" applyAlignment="1">
      <alignment horizontal="center" vertical="center" wrapText="1"/>
    </xf>
    <xf numFmtId="0" fontId="30" fillId="0" borderId="1" xfId="0" applyFont="1" applyFill="1" applyBorder="1" applyAlignment="1">
      <alignment vertical="center"/>
    </xf>
    <xf numFmtId="0" fontId="135" fillId="0" borderId="6" xfId="0" applyFont="1" applyFill="1" applyBorder="1" applyAlignment="1">
      <alignment horizontal="center" vertical="center"/>
    </xf>
    <xf numFmtId="9" fontId="144" fillId="0" borderId="1" xfId="0" applyNumberFormat="1" applyFont="1" applyFill="1" applyBorder="1" applyAlignment="1">
      <alignment horizontal="center" vertical="center"/>
    </xf>
    <xf numFmtId="0" fontId="135" fillId="0" borderId="1" xfId="0" applyFont="1" applyBorder="1" applyAlignment="1">
      <alignment horizontal="center" vertical="center"/>
    </xf>
    <xf numFmtId="9" fontId="135" fillId="0" borderId="1" xfId="0" applyNumberFormat="1" applyFont="1" applyBorder="1" applyAlignment="1">
      <alignment horizontal="center" vertical="center"/>
    </xf>
    <xf numFmtId="0" fontId="144" fillId="0" borderId="61" xfId="0" applyFont="1" applyFill="1" applyBorder="1" applyAlignment="1">
      <alignment horizontal="center" vertical="center"/>
    </xf>
    <xf numFmtId="9" fontId="144" fillId="0" borderId="61" xfId="0" applyNumberFormat="1" applyFont="1" applyFill="1" applyBorder="1" applyAlignment="1">
      <alignment horizontal="center" vertical="center"/>
    </xf>
    <xf numFmtId="177" fontId="144" fillId="0" borderId="61" xfId="0" applyNumberFormat="1" applyFont="1" applyFill="1" applyBorder="1" applyAlignment="1">
      <alignment horizontal="center" vertical="center"/>
    </xf>
    <xf numFmtId="0" fontId="133" fillId="0" borderId="43" xfId="0" applyFont="1" applyFill="1" applyBorder="1" applyAlignment="1">
      <alignment horizontal="center" vertical="center"/>
    </xf>
    <xf numFmtId="0" fontId="144"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5" fillId="5" borderId="1" xfId="0" applyFont="1" applyFill="1" applyBorder="1" applyAlignment="1" applyProtection="1">
      <alignment horizontal="center" vertical="center"/>
      <protection locked="0"/>
    </xf>
    <xf numFmtId="49" fontId="45" fillId="5" borderId="23" xfId="0" applyNumberFormat="1" applyFont="1" applyFill="1" applyBorder="1" applyAlignment="1" applyProtection="1">
      <alignment horizontal="left" vertical="center"/>
    </xf>
    <xf numFmtId="0" fontId="45" fillId="5" borderId="17" xfId="0"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181" fontId="40" fillId="5" borderId="50" xfId="0" applyNumberFormat="1" applyFont="1" applyFill="1" applyBorder="1" applyAlignment="1" applyProtection="1">
      <alignment horizontal="center" vertical="center"/>
    </xf>
    <xf numFmtId="49" fontId="40" fillId="5" borderId="124" xfId="0" applyNumberFormat="1" applyFont="1" applyFill="1" applyBorder="1" applyAlignment="1" applyProtection="1">
      <alignment vertical="center"/>
    </xf>
    <xf numFmtId="0" fontId="45" fillId="0" borderId="75" xfId="0" applyFont="1" applyFill="1" applyBorder="1" applyAlignment="1" applyProtection="1">
      <alignment horizontal="center" vertical="center"/>
      <protection locked="0"/>
    </xf>
    <xf numFmtId="181" fontId="45" fillId="5" borderId="76" xfId="0" applyNumberFormat="1" applyFont="1" applyFill="1" applyBorder="1" applyAlignment="1" applyProtection="1">
      <alignment horizontal="center" vertical="center"/>
    </xf>
    <xf numFmtId="0" fontId="40" fillId="5" borderId="64" xfId="0" applyFont="1" applyFill="1" applyBorder="1" applyAlignment="1" applyProtection="1">
      <alignment horizontal="left" vertical="center"/>
    </xf>
    <xf numFmtId="0" fontId="40" fillId="5" borderId="65" xfId="0" applyFont="1" applyFill="1" applyBorder="1" applyAlignment="1" applyProtection="1">
      <alignment horizontal="center" vertical="center"/>
    </xf>
    <xf numFmtId="0" fontId="40" fillId="5" borderId="68" xfId="0" applyFont="1" applyFill="1" applyBorder="1" applyAlignment="1" applyProtection="1">
      <alignment horizontal="center" vertical="center"/>
    </xf>
    <xf numFmtId="49" fontId="40" fillId="5" borderId="124" xfId="0" applyNumberFormat="1" applyFont="1" applyFill="1" applyBorder="1" applyAlignment="1" applyProtection="1">
      <alignment horizontal="left" vertical="center"/>
    </xf>
    <xf numFmtId="0" fontId="40" fillId="5" borderId="75" xfId="0" applyFont="1" applyFill="1" applyBorder="1" applyAlignment="1" applyProtection="1">
      <alignment horizontal="left" vertical="center"/>
    </xf>
    <xf numFmtId="0" fontId="40" fillId="5" borderId="75" xfId="0" applyFont="1" applyFill="1" applyBorder="1" applyAlignment="1" applyProtection="1">
      <alignment horizontal="center" vertical="center"/>
    </xf>
    <xf numFmtId="0" fontId="40" fillId="5" borderId="75" xfId="0" applyFont="1" applyFill="1" applyBorder="1" applyAlignment="1" applyProtection="1">
      <alignment horizontal="left" vertical="center" wrapText="1"/>
    </xf>
    <xf numFmtId="181" fontId="40" fillId="5" borderId="76" xfId="0" applyNumberFormat="1" applyFont="1" applyFill="1" applyBorder="1" applyAlignment="1" applyProtection="1">
      <alignment horizontal="center" vertical="center"/>
    </xf>
    <xf numFmtId="0" fontId="45" fillId="5" borderId="17" xfId="0"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54" fillId="5" borderId="65" xfId="0" applyFont="1" applyFill="1" applyBorder="1" applyAlignment="1" applyProtection="1">
      <alignment vertical="center"/>
    </xf>
    <xf numFmtId="0" fontId="54" fillId="5" borderId="68" xfId="0" applyFont="1" applyFill="1" applyBorder="1" applyAlignment="1" applyProtection="1">
      <alignment vertical="center"/>
    </xf>
    <xf numFmtId="0" fontId="40" fillId="5" borderId="85" xfId="0" applyFont="1" applyFill="1" applyBorder="1" applyAlignment="1" applyProtection="1">
      <alignment vertical="center"/>
    </xf>
    <xf numFmtId="181" fontId="45" fillId="5" borderId="125" xfId="0" applyNumberFormat="1" applyFont="1" applyFill="1" applyBorder="1" applyAlignment="1" applyProtection="1">
      <alignment horizontal="center" vertical="center"/>
    </xf>
    <xf numFmtId="181" fontId="45" fillId="5" borderId="75" xfId="0" applyNumberFormat="1" applyFont="1" applyFill="1" applyBorder="1" applyAlignment="1" applyProtection="1">
      <alignment horizontal="center" vertical="center"/>
    </xf>
    <xf numFmtId="0" fontId="40" fillId="5" borderId="85" xfId="0" applyFont="1" applyFill="1" applyBorder="1" applyAlignment="1" applyProtection="1">
      <alignment horizontal="left" vertical="center"/>
    </xf>
    <xf numFmtId="0" fontId="54" fillId="5" borderId="126" xfId="0" applyFont="1" applyFill="1" applyBorder="1" applyAlignment="1" applyProtection="1">
      <alignment vertical="center"/>
    </xf>
    <xf numFmtId="0" fontId="54" fillId="5" borderId="125" xfId="0" applyFont="1" applyFill="1" applyBorder="1" applyAlignment="1" applyProtection="1">
      <alignment vertical="center"/>
    </xf>
    <xf numFmtId="49" fontId="40" fillId="5" borderId="26" xfId="0" applyNumberFormat="1" applyFont="1" applyFill="1" applyBorder="1" applyAlignment="1" applyProtection="1">
      <alignment vertical="center"/>
    </xf>
    <xf numFmtId="186" fontId="40" fillId="5" borderId="1" xfId="0" applyNumberFormat="1" applyFont="1" applyFill="1" applyBorder="1" applyAlignment="1" applyProtection="1">
      <alignment horizontal="center"/>
      <protection locked="0"/>
    </xf>
    <xf numFmtId="186" fontId="40" fillId="5" borderId="6" xfId="0" applyNumberFormat="1" applyFont="1" applyFill="1" applyBorder="1" applyAlignment="1" applyProtection="1">
      <alignment horizontal="center"/>
      <protection locked="0"/>
    </xf>
    <xf numFmtId="186" fontId="98" fillId="5" borderId="1" xfId="0" applyNumberFormat="1" applyFont="1" applyFill="1" applyBorder="1" applyAlignment="1" applyProtection="1">
      <alignment horizontal="center"/>
      <protection locked="0"/>
    </xf>
    <xf numFmtId="186" fontId="39" fillId="5" borderId="13" xfId="0" applyNumberFormat="1" applyFont="1" applyFill="1" applyBorder="1" applyAlignment="1" applyProtection="1">
      <alignment horizontal="center"/>
    </xf>
    <xf numFmtId="0" fontId="38" fillId="6" borderId="0" xfId="1" applyFont="1" applyFill="1" applyBorder="1" applyAlignment="1" applyProtection="1">
      <alignment vertical="center"/>
      <protection locked="0"/>
    </xf>
    <xf numFmtId="178" fontId="46" fillId="5" borderId="1" xfId="0" applyNumberFormat="1" applyFont="1" applyFill="1" applyBorder="1" applyAlignment="1" applyProtection="1">
      <alignment horizontal="center" vertical="center"/>
    </xf>
    <xf numFmtId="0" fontId="39" fillId="5" borderId="21" xfId="0" applyNumberFormat="1" applyFont="1" applyFill="1" applyBorder="1" applyAlignment="1" applyProtection="1">
      <alignment vertical="center"/>
    </xf>
    <xf numFmtId="49" fontId="40" fillId="5" borderId="26"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60" xfId="0" applyFont="1" applyFill="1" applyBorder="1" applyAlignment="1" applyProtection="1">
      <alignment horizontal="center" vertical="center"/>
    </xf>
    <xf numFmtId="0" fontId="44" fillId="5" borderId="33" xfId="0" applyNumberFormat="1" applyFont="1" applyFill="1" applyBorder="1" applyAlignment="1" applyProtection="1">
      <alignment horizontal="center" vertical="center" wrapText="1"/>
    </xf>
    <xf numFmtId="49" fontId="44" fillId="2" borderId="25" xfId="0" applyNumberFormat="1" applyFont="1" applyFill="1" applyBorder="1" applyAlignment="1" applyProtection="1">
      <alignment horizontal="center" vertical="center" wrapText="1"/>
      <protection locked="0"/>
    </xf>
    <xf numFmtId="0" fontId="51" fillId="5" borderId="26" xfId="0" applyNumberFormat="1" applyFont="1" applyFill="1" applyBorder="1" applyAlignment="1" applyProtection="1">
      <alignment horizontal="center" vertical="center" wrapText="1"/>
    </xf>
    <xf numFmtId="49" fontId="44" fillId="2" borderId="6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24" xfId="0" applyNumberFormat="1" applyFont="1" applyFill="1" applyBorder="1" applyAlignment="1" applyProtection="1">
      <alignment horizontal="center" vertical="center" wrapText="1"/>
      <protection locked="0"/>
    </xf>
    <xf numFmtId="0" fontId="37" fillId="0" borderId="24" xfId="0" applyNumberFormat="1" applyFont="1" applyFill="1" applyBorder="1" applyAlignment="1" applyProtection="1">
      <alignment horizontal="center" vertical="center" wrapText="1"/>
      <protection locked="0"/>
    </xf>
    <xf numFmtId="0" fontId="44" fillId="5" borderId="10" xfId="0" applyNumberFormat="1" applyFont="1" applyFill="1" applyBorder="1" applyAlignment="1" applyProtection="1">
      <alignment horizontal="center" vertical="center" wrapText="1"/>
    </xf>
    <xf numFmtId="0" fontId="44" fillId="5" borderId="45" xfId="0" applyNumberFormat="1" applyFont="1" applyFill="1" applyBorder="1" applyAlignment="1" applyProtection="1">
      <alignment horizontal="center" vertical="center" wrapText="1"/>
    </xf>
    <xf numFmtId="0" fontId="44" fillId="5" borderId="77" xfId="0" applyNumberFormat="1" applyFont="1" applyFill="1" applyBorder="1" applyAlignment="1" applyProtection="1">
      <alignment horizontal="center" vertical="center" wrapText="1"/>
    </xf>
    <xf numFmtId="0" fontId="44" fillId="5" borderId="69" xfId="0" applyNumberFormat="1" applyFont="1" applyFill="1" applyBorder="1" applyAlignment="1" applyProtection="1">
      <alignment horizontal="center" vertical="center" wrapText="1"/>
    </xf>
    <xf numFmtId="0" fontId="44" fillId="5" borderId="86" xfId="0" applyNumberFormat="1" applyFont="1" applyFill="1" applyBorder="1" applyAlignment="1" applyProtection="1">
      <alignment horizontal="center" vertical="center" wrapText="1"/>
    </xf>
    <xf numFmtId="0" fontId="37" fillId="5" borderId="78" xfId="0" applyNumberFormat="1" applyFont="1" applyFill="1" applyBorder="1" applyAlignment="1" applyProtection="1">
      <alignment horizontal="center" vertical="center" wrapText="1"/>
    </xf>
    <xf numFmtId="0" fontId="44" fillId="5" borderId="37" xfId="0" applyNumberFormat="1" applyFont="1" applyFill="1" applyBorder="1" applyAlignment="1" applyProtection="1">
      <alignment horizontal="center" vertical="center" wrapText="1"/>
    </xf>
    <xf numFmtId="0" fontId="44" fillId="2" borderId="65" xfId="0" applyNumberFormat="1" applyFont="1" applyFill="1" applyBorder="1" applyAlignment="1" applyProtection="1">
      <alignment horizontal="center" vertical="center" wrapText="1"/>
      <protection locked="0"/>
    </xf>
    <xf numFmtId="0" fontId="44" fillId="5" borderId="36" xfId="0" applyNumberFormat="1" applyFont="1" applyFill="1" applyBorder="1" applyAlignment="1" applyProtection="1">
      <alignment horizontal="center" vertical="center" wrapText="1"/>
    </xf>
    <xf numFmtId="0" fontId="37" fillId="0" borderId="6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39" fillId="5" borderId="29" xfId="0" applyFont="1" applyFill="1" applyBorder="1" applyAlignment="1" applyProtection="1">
      <alignment vertical="center" wrapText="1"/>
    </xf>
    <xf numFmtId="0" fontId="42" fillId="5" borderId="50" xfId="0" applyNumberFormat="1" applyFont="1" applyFill="1" applyBorder="1" applyAlignment="1" applyProtection="1">
      <alignment horizontal="center" vertical="center" wrapText="1"/>
    </xf>
    <xf numFmtId="0" fontId="44" fillId="5" borderId="19"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xf>
    <xf numFmtId="0" fontId="51" fillId="5" borderId="125" xfId="0" applyFont="1" applyFill="1" applyBorder="1" applyAlignment="1" applyProtection="1">
      <alignment vertical="center"/>
      <protection locked="0"/>
    </xf>
    <xf numFmtId="0" fontId="43" fillId="5" borderId="46" xfId="0" applyNumberFormat="1" applyFont="1" applyFill="1" applyBorder="1" applyAlignment="1" applyProtection="1">
      <alignment horizontal="right" vertical="center" wrapText="1"/>
    </xf>
    <xf numFmtId="0" fontId="43" fillId="5" borderId="38" xfId="0" applyNumberFormat="1" applyFont="1" applyFill="1" applyBorder="1" applyAlignment="1" applyProtection="1">
      <alignment vertical="center" wrapText="1"/>
    </xf>
    <xf numFmtId="0" fontId="68" fillId="3" borderId="47" xfId="0" applyNumberFormat="1" applyFont="1" applyFill="1" applyBorder="1" applyAlignment="1" applyProtection="1">
      <alignment vertical="center" wrapText="1"/>
      <protection locked="0"/>
    </xf>
    <xf numFmtId="0" fontId="68" fillId="5" borderId="47" xfId="0" applyNumberFormat="1" applyFont="1" applyFill="1" applyBorder="1" applyAlignment="1" applyProtection="1">
      <alignment vertical="center" wrapText="1"/>
    </xf>
    <xf numFmtId="0" fontId="68" fillId="3" borderId="46" xfId="0" applyNumberFormat="1" applyFont="1" applyFill="1" applyBorder="1" applyAlignment="1" applyProtection="1">
      <alignment vertical="center" wrapText="1"/>
      <protection locked="0"/>
    </xf>
    <xf numFmtId="0" fontId="68" fillId="5" borderId="38" xfId="0" applyNumberFormat="1" applyFont="1" applyFill="1" applyBorder="1" applyAlignment="1" applyProtection="1">
      <alignment vertical="center" wrapText="1"/>
    </xf>
    <xf numFmtId="0" fontId="43" fillId="5" borderId="20" xfId="0" applyNumberFormat="1" applyFont="1" applyFill="1" applyBorder="1" applyAlignment="1" applyProtection="1">
      <alignment vertical="center" wrapText="1"/>
    </xf>
    <xf numFmtId="0" fontId="43" fillId="5" borderId="48" xfId="0" applyNumberFormat="1" applyFont="1" applyFill="1" applyBorder="1" applyAlignment="1" applyProtection="1">
      <alignment vertical="center" wrapText="1"/>
    </xf>
    <xf numFmtId="0" fontId="43" fillId="5" borderId="40" xfId="0" applyNumberFormat="1" applyFont="1" applyFill="1" applyBorder="1" applyAlignment="1" applyProtection="1">
      <alignment vertical="center" wrapText="1"/>
    </xf>
    <xf numFmtId="9" fontId="37" fillId="5" borderId="0" xfId="0" applyNumberFormat="1" applyFont="1" applyFill="1" applyBorder="1" applyAlignment="1" applyProtection="1">
      <alignment horizontal="center" vertical="center" wrapText="1"/>
    </xf>
    <xf numFmtId="0" fontId="49" fillId="5" borderId="0" xfId="0" applyFont="1" applyFill="1" applyBorder="1" applyAlignment="1" applyProtection="1">
      <protection locked="0"/>
    </xf>
    <xf numFmtId="0" fontId="44" fillId="5" borderId="0" xfId="0" applyFont="1" applyFill="1" applyBorder="1" applyAlignment="1" applyProtection="1">
      <alignment horizontal="center"/>
      <protection locked="0"/>
    </xf>
    <xf numFmtId="177" fontId="46" fillId="0" borderId="1" xfId="1" applyNumberFormat="1" applyFont="1" applyFill="1" applyBorder="1" applyAlignment="1" applyProtection="1">
      <alignment horizontal="center" vertical="center"/>
      <protection locked="0"/>
    </xf>
    <xf numFmtId="0" fontId="47" fillId="5" borderId="1" xfId="1" applyFont="1" applyFill="1" applyBorder="1" applyAlignment="1" applyProtection="1">
      <alignment horizontal="center" vertical="center"/>
    </xf>
    <xf numFmtId="179" fontId="46" fillId="5" borderId="1" xfId="1" applyNumberFormat="1" applyFont="1" applyFill="1" applyBorder="1" applyAlignment="1" applyProtection="1">
      <alignment horizontal="center" vertical="center"/>
    </xf>
    <xf numFmtId="0" fontId="46" fillId="5" borderId="1" xfId="1" applyFont="1" applyFill="1" applyBorder="1" applyAlignment="1" applyProtection="1">
      <alignment horizontal="center" vertical="center"/>
    </xf>
    <xf numFmtId="10" fontId="46" fillId="5" borderId="1" xfId="1" applyNumberFormat="1" applyFont="1" applyFill="1" applyBorder="1" applyAlignment="1" applyProtection="1">
      <alignment horizontal="center" vertical="center"/>
    </xf>
    <xf numFmtId="177" fontId="46" fillId="5" borderId="1" xfId="1" applyNumberFormat="1" applyFont="1" applyFill="1" applyBorder="1" applyAlignment="1" applyProtection="1">
      <alignment vertical="center"/>
    </xf>
    <xf numFmtId="177" fontId="52" fillId="5" borderId="1" xfId="1" applyNumberFormat="1" applyFont="1" applyFill="1" applyBorder="1" applyAlignment="1" applyProtection="1">
      <alignment horizontal="center" vertical="center"/>
    </xf>
    <xf numFmtId="179" fontId="52" fillId="5" borderId="1" xfId="1" applyNumberFormat="1" applyFont="1" applyFill="1" applyBorder="1" applyAlignment="1" applyProtection="1">
      <alignment horizontal="center" vertical="center"/>
    </xf>
    <xf numFmtId="0" fontId="46" fillId="5" borderId="0" xfId="1" applyFont="1" applyFill="1" applyBorder="1" applyAlignment="1" applyProtection="1">
      <alignment horizontal="center" vertical="center"/>
    </xf>
    <xf numFmtId="0" fontId="46" fillId="5" borderId="1" xfId="0" applyFont="1" applyFill="1" applyBorder="1" applyAlignment="1" applyProtection="1">
      <alignment vertical="center"/>
    </xf>
    <xf numFmtId="179" fontId="47" fillId="5" borderId="1" xfId="1" applyNumberFormat="1" applyFont="1" applyFill="1" applyBorder="1" applyAlignment="1" applyProtection="1">
      <alignment horizontal="center" vertical="center"/>
    </xf>
    <xf numFmtId="9" fontId="47" fillId="5" borderId="1" xfId="1" applyNumberFormat="1" applyFont="1" applyFill="1" applyBorder="1" applyAlignment="1" applyProtection="1">
      <alignment horizontal="center" vertical="center"/>
    </xf>
    <xf numFmtId="49" fontId="50" fillId="5" borderId="51" xfId="1" applyNumberFormat="1" applyFont="1" applyFill="1" applyBorder="1" applyAlignment="1" applyProtection="1">
      <alignment vertical="center"/>
    </xf>
    <xf numFmtId="181" fontId="47" fillId="5" borderId="2" xfId="1" applyNumberFormat="1" applyFont="1" applyFill="1" applyBorder="1" applyAlignment="1" applyProtection="1">
      <alignment horizontal="center" vertical="center"/>
    </xf>
    <xf numFmtId="10" fontId="46" fillId="5" borderId="2" xfId="1" applyNumberFormat="1" applyFont="1" applyFill="1" applyBorder="1" applyAlignment="1" applyProtection="1">
      <alignment horizontal="center" vertical="center"/>
    </xf>
    <xf numFmtId="177" fontId="46" fillId="5" borderId="2" xfId="1" applyNumberFormat="1" applyFont="1" applyFill="1" applyBorder="1" applyAlignment="1" applyProtection="1">
      <alignment horizontal="right" vertical="center"/>
    </xf>
    <xf numFmtId="0" fontId="37" fillId="0" borderId="2" xfId="0" applyNumberFormat="1" applyFont="1" applyFill="1" applyBorder="1" applyAlignment="1" applyProtection="1">
      <alignment horizontal="center" vertical="center" wrapText="1"/>
      <protection locked="0"/>
    </xf>
    <xf numFmtId="14" fontId="44" fillId="5" borderId="0" xfId="0" applyNumberFormat="1" applyFont="1" applyFill="1" applyAlignment="1" applyProtection="1">
      <alignment horizontal="center" vertical="center"/>
    </xf>
    <xf numFmtId="0" fontId="37" fillId="5" borderId="28"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protection locked="0"/>
    </xf>
    <xf numFmtId="190" fontId="37" fillId="5" borderId="28" xfId="0" applyNumberFormat="1" applyFont="1" applyFill="1" applyBorder="1" applyAlignment="1" applyProtection="1">
      <alignment horizontal="center" vertical="center" wrapText="1"/>
    </xf>
    <xf numFmtId="190" fontId="37" fillId="5" borderId="11" xfId="0" applyNumberFormat="1" applyFont="1" applyFill="1" applyBorder="1" applyAlignment="1" applyProtection="1">
      <alignment horizontal="center" vertical="center" wrapText="1"/>
    </xf>
    <xf numFmtId="190" fontId="37" fillId="0" borderId="11" xfId="0" applyNumberFormat="1" applyFont="1" applyFill="1" applyBorder="1" applyAlignment="1" applyProtection="1">
      <alignment horizontal="center" vertical="center" wrapText="1"/>
    </xf>
    <xf numFmtId="0" fontId="129" fillId="0" borderId="1" xfId="0" applyFont="1" applyBorder="1" applyAlignment="1" applyProtection="1">
      <alignment horizontal="center" vertical="center"/>
    </xf>
    <xf numFmtId="17" fontId="45" fillId="0" borderId="94" xfId="0" applyNumberFormat="1" applyFont="1" applyFill="1" applyBorder="1" applyAlignment="1" applyProtection="1">
      <alignment vertical="center" wrapText="1"/>
      <protection locked="0"/>
    </xf>
    <xf numFmtId="0" fontId="40" fillId="5" borderId="159" xfId="0" applyFont="1" applyFill="1" applyBorder="1" applyAlignment="1" applyProtection="1">
      <alignment vertical="center" wrapText="1"/>
    </xf>
    <xf numFmtId="0" fontId="40" fillId="5" borderId="160" xfId="0" applyFont="1" applyFill="1" applyBorder="1" applyAlignment="1" applyProtection="1">
      <alignment vertical="center" wrapText="1"/>
    </xf>
    <xf numFmtId="0" fontId="126" fillId="0" borderId="32" xfId="12" applyFont="1" applyBorder="1" applyAlignment="1" applyProtection="1">
      <alignment horizontal="left" vertical="center"/>
    </xf>
    <xf numFmtId="0" fontId="126" fillId="0" borderId="17" xfId="12" applyFont="1" applyBorder="1" applyAlignment="1" applyProtection="1">
      <alignment horizontal="left" vertical="center"/>
    </xf>
    <xf numFmtId="0" fontId="126" fillId="0" borderId="49" xfId="12" applyFont="1" applyBorder="1" applyAlignment="1" applyProtection="1">
      <alignment horizontal="left" vertical="center"/>
    </xf>
    <xf numFmtId="0" fontId="126" fillId="0" borderId="1" xfId="12" applyFont="1" applyBorder="1" applyAlignment="1" applyProtection="1">
      <alignment horizontal="left" vertical="center"/>
    </xf>
    <xf numFmtId="0" fontId="126" fillId="0" borderId="75" xfId="12" applyFont="1" applyBorder="1" applyAlignment="1" applyProtection="1">
      <alignment horizontal="left" vertical="center"/>
    </xf>
    <xf numFmtId="0" fontId="126" fillId="0" borderId="74" xfId="12" applyFont="1" applyBorder="1" applyAlignment="1" applyProtection="1">
      <alignment horizontal="left" vertical="center"/>
    </xf>
    <xf numFmtId="0" fontId="126" fillId="0" borderId="54" xfId="12" applyFont="1" applyBorder="1" applyAlignment="1" applyProtection="1">
      <alignment horizontal="left" vertical="center"/>
    </xf>
    <xf numFmtId="14" fontId="126" fillId="0" borderId="1" xfId="12" applyNumberFormat="1" applyFont="1" applyBorder="1" applyAlignment="1" applyProtection="1">
      <alignment horizontal="left" vertical="center"/>
    </xf>
    <xf numFmtId="0" fontId="126" fillId="0" borderId="0" xfId="12" applyFont="1" applyAlignment="1" applyProtection="1">
      <alignment horizontal="left" vertical="center"/>
    </xf>
    <xf numFmtId="14" fontId="126" fillId="0" borderId="17" xfId="12" applyNumberFormat="1" applyFont="1" applyBorder="1" applyAlignment="1" applyProtection="1">
      <alignment horizontal="left" vertical="center"/>
    </xf>
    <xf numFmtId="193" fontId="93" fillId="0" borderId="75" xfId="12" applyNumberFormat="1" applyFont="1" applyBorder="1" applyAlignment="1" applyProtection="1">
      <alignment horizontal="left" vertical="center"/>
    </xf>
    <xf numFmtId="0" fontId="90" fillId="0" borderId="75" xfId="12" applyFont="1" applyBorder="1" applyAlignment="1" applyProtection="1">
      <alignment horizontal="left" vertical="center" wrapText="1"/>
    </xf>
    <xf numFmtId="0" fontId="129" fillId="0" borderId="18" xfId="0" applyFont="1" applyBorder="1" applyAlignment="1" applyProtection="1">
      <alignment horizontal="left" vertical="center"/>
    </xf>
    <xf numFmtId="0" fontId="152" fillId="0" borderId="90" xfId="12" applyFont="1" applyBorder="1" applyProtection="1">
      <alignment vertical="center"/>
    </xf>
    <xf numFmtId="0" fontId="90" fillId="0" borderId="17" xfId="12" applyFont="1" applyBorder="1" applyAlignment="1" applyProtection="1">
      <alignment vertical="center" wrapText="1"/>
    </xf>
    <xf numFmtId="0" fontId="152" fillId="0" borderId="0" xfId="12" applyFont="1" applyBorder="1" applyProtection="1">
      <alignment vertical="center"/>
    </xf>
    <xf numFmtId="0" fontId="90" fillId="0" borderId="1" xfId="12" applyFont="1" applyBorder="1" applyAlignment="1" applyProtection="1">
      <alignment vertical="center" wrapText="1"/>
    </xf>
    <xf numFmtId="0" fontId="90" fillId="0" borderId="75" xfId="12" applyFont="1" applyBorder="1" applyAlignment="1" applyProtection="1">
      <alignment vertical="center" wrapText="1"/>
    </xf>
    <xf numFmtId="0" fontId="152" fillId="0" borderId="0" xfId="12" applyFont="1" applyProtection="1">
      <alignment vertical="center"/>
    </xf>
    <xf numFmtId="0" fontId="152" fillId="0" borderId="1" xfId="12" applyFont="1" applyBorder="1" applyAlignment="1" applyProtection="1">
      <alignment vertical="center" wrapText="1"/>
    </xf>
    <xf numFmtId="0" fontId="152" fillId="0" borderId="75" xfId="12" applyFont="1" applyBorder="1" applyAlignment="1" applyProtection="1">
      <alignment vertical="center" wrapText="1"/>
    </xf>
    <xf numFmtId="0" fontId="152" fillId="0" borderId="17" xfId="12" applyFont="1" applyBorder="1" applyAlignment="1" applyProtection="1">
      <alignment vertical="center" wrapText="1"/>
    </xf>
    <xf numFmtId="0" fontId="152" fillId="0" borderId="0" xfId="12" applyFont="1" applyBorder="1" applyAlignment="1" applyProtection="1">
      <alignment vertical="center" wrapText="1"/>
    </xf>
    <xf numFmtId="0" fontId="50" fillId="5" borderId="17" xfId="0" applyFont="1" applyFill="1" applyBorder="1" applyAlignment="1" applyProtection="1">
      <alignment horizontal="right" vertical="center"/>
    </xf>
    <xf numFmtId="0" fontId="50" fillId="6" borderId="89" xfId="1" applyFont="1" applyFill="1" applyBorder="1" applyAlignment="1" applyProtection="1">
      <alignment vertical="center"/>
      <protection locked="0"/>
    </xf>
    <xf numFmtId="0" fontId="50" fillId="5" borderId="17" xfId="1" applyFont="1" applyFill="1" applyBorder="1" applyAlignment="1" applyProtection="1">
      <alignment vertical="center"/>
    </xf>
    <xf numFmtId="0" fontId="97" fillId="5" borderId="85" xfId="0" applyFont="1" applyFill="1" applyBorder="1" applyAlignment="1" applyProtection="1">
      <alignment vertical="center"/>
    </xf>
    <xf numFmtId="0" fontId="50" fillId="6" borderId="75" xfId="1" applyFont="1" applyFill="1" applyBorder="1" applyAlignment="1" applyProtection="1">
      <alignment vertical="center"/>
      <protection locked="0"/>
    </xf>
    <xf numFmtId="0" fontId="55" fillId="5" borderId="126" xfId="0" applyFont="1" applyFill="1" applyBorder="1" applyAlignment="1" applyProtection="1">
      <alignment vertical="center"/>
      <protection locked="0"/>
    </xf>
    <xf numFmtId="0" fontId="63" fillId="5" borderId="126" xfId="0" applyFont="1" applyFill="1" applyBorder="1" applyAlignment="1" applyProtection="1">
      <alignment vertical="center"/>
      <protection locked="0"/>
    </xf>
    <xf numFmtId="189" fontId="55" fillId="5" borderId="126" xfId="0" applyNumberFormat="1" applyFont="1" applyFill="1" applyBorder="1" applyAlignment="1" applyProtection="1">
      <alignment horizontal="center" vertical="center"/>
      <protection locked="0"/>
    </xf>
    <xf numFmtId="181" fontId="55" fillId="5" borderId="126" xfId="0" applyNumberFormat="1" applyFont="1" applyFill="1" applyBorder="1" applyAlignment="1" applyProtection="1">
      <alignment vertical="center"/>
    </xf>
    <xf numFmtId="0" fontId="55" fillId="5" borderId="126" xfId="0" applyFont="1" applyFill="1" applyBorder="1" applyAlignment="1" applyProtection="1">
      <alignment horizontal="center" vertical="center"/>
    </xf>
    <xf numFmtId="0" fontId="55" fillId="5" borderId="90"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7" fillId="0" borderId="90"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55" fillId="5" borderId="126" xfId="0" applyFont="1" applyFill="1" applyBorder="1" applyAlignment="1" applyProtection="1">
      <alignment vertical="center"/>
    </xf>
    <xf numFmtId="0" fontId="63" fillId="5" borderId="126" xfId="0" applyFont="1" applyFill="1" applyBorder="1" applyAlignment="1" applyProtection="1">
      <alignment vertical="center"/>
    </xf>
    <xf numFmtId="189" fontId="55" fillId="5" borderId="126" xfId="0" applyNumberFormat="1" applyFont="1" applyFill="1" applyBorder="1" applyAlignment="1" applyProtection="1">
      <alignment horizontal="center" vertical="center"/>
    </xf>
    <xf numFmtId="0" fontId="0" fillId="0" borderId="0" xfId="0" applyAlignment="1"/>
    <xf numFmtId="0" fontId="91" fillId="5" borderId="0" xfId="0" applyFont="1" applyFill="1" applyAlignment="1"/>
    <xf numFmtId="0" fontId="133" fillId="5" borderId="0" xfId="2" applyFont="1" applyFill="1"/>
    <xf numFmtId="0" fontId="16" fillId="5" borderId="0" xfId="2" applyFont="1" applyFill="1"/>
    <xf numFmtId="0" fontId="16" fillId="5" borderId="4" xfId="2" applyFont="1" applyFill="1" applyBorder="1"/>
    <xf numFmtId="0" fontId="135"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5"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5" fillId="5" borderId="1" xfId="2" applyFont="1" applyFill="1" applyBorder="1" applyAlignment="1">
      <alignment horizontal="center" vertical="center" wrapText="1"/>
    </xf>
    <xf numFmtId="0" fontId="16" fillId="5" borderId="6" xfId="2" applyFont="1" applyFill="1" applyBorder="1" applyAlignment="1">
      <alignment horizontal="center"/>
    </xf>
    <xf numFmtId="0" fontId="135"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5"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5"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7" fillId="5" borderId="0" xfId="2" applyNumberFormat="1" applyFont="1" applyFill="1" applyAlignment="1">
      <alignment horizontal="center"/>
    </xf>
    <xf numFmtId="0" fontId="158" fillId="5" borderId="0" xfId="2" applyFont="1" applyFill="1" applyAlignment="1">
      <alignment horizontal="left"/>
    </xf>
    <xf numFmtId="14" fontId="157" fillId="5" borderId="0" xfId="2" applyNumberFormat="1" applyFont="1" applyFill="1" applyAlignment="1">
      <alignment horizontal="center"/>
    </xf>
    <xf numFmtId="0" fontId="157" fillId="5" borderId="0" xfId="2" applyFont="1" applyFill="1"/>
    <xf numFmtId="0" fontId="157" fillId="0" borderId="0" xfId="2" applyFont="1"/>
    <xf numFmtId="0" fontId="157" fillId="0" borderId="0" xfId="0" applyFont="1" applyAlignment="1"/>
    <xf numFmtId="0" fontId="159" fillId="5" borderId="0" xfId="2" applyFont="1" applyFill="1"/>
    <xf numFmtId="0" fontId="160" fillId="5" borderId="0" xfId="2" applyFont="1" applyFill="1"/>
    <xf numFmtId="0" fontId="159" fillId="0" borderId="0" xfId="2" applyFont="1"/>
    <xf numFmtId="0" fontId="135" fillId="5" borderId="0" xfId="2" applyFont="1" applyFill="1" applyAlignment="1"/>
    <xf numFmtId="0" fontId="144" fillId="5" borderId="18" xfId="2" applyFont="1" applyFill="1" applyBorder="1" applyAlignment="1">
      <alignment horizontal="center" vertical="center"/>
    </xf>
    <xf numFmtId="0" fontId="144" fillId="5" borderId="18" xfId="2" applyFont="1" applyFill="1" applyBorder="1" applyAlignment="1">
      <alignment vertical="center"/>
    </xf>
    <xf numFmtId="0" fontId="144" fillId="5" borderId="2" xfId="2" applyFont="1" applyFill="1" applyBorder="1" applyAlignment="1">
      <alignment vertical="center"/>
    </xf>
    <xf numFmtId="0" fontId="144" fillId="5" borderId="3" xfId="2" applyFont="1" applyFill="1" applyBorder="1" applyAlignment="1">
      <alignment vertical="center"/>
    </xf>
    <xf numFmtId="0" fontId="144" fillId="5" borderId="51" xfId="2" applyFont="1" applyFill="1" applyBorder="1" applyAlignment="1">
      <alignment vertical="center"/>
    </xf>
    <xf numFmtId="0" fontId="135" fillId="0" borderId="0" xfId="2" applyFont="1" applyAlignment="1"/>
    <xf numFmtId="0" fontId="135" fillId="5" borderId="0" xfId="2" applyFont="1" applyFill="1"/>
    <xf numFmtId="0" fontId="144" fillId="5" borderId="17" xfId="2" applyFont="1" applyFill="1" applyBorder="1" applyAlignment="1">
      <alignment horizontal="center" vertical="center" wrapText="1"/>
    </xf>
    <xf numFmtId="0" fontId="144" fillId="5" borderId="17" xfId="2" applyFont="1" applyFill="1" applyBorder="1" applyAlignment="1">
      <alignment vertical="center" wrapText="1"/>
    </xf>
    <xf numFmtId="0" fontId="16" fillId="5" borderId="1" xfId="2" applyFont="1" applyFill="1" applyBorder="1"/>
    <xf numFmtId="0" fontId="144" fillId="5" borderId="1" xfId="2" applyFont="1" applyFill="1" applyBorder="1" applyAlignment="1">
      <alignment horizontal="center" vertical="center" wrapText="1"/>
    </xf>
    <xf numFmtId="0" fontId="135" fillId="0" borderId="0" xfId="2" applyFont="1"/>
    <xf numFmtId="0" fontId="162" fillId="5" borderId="0" xfId="2" applyFont="1" applyFill="1" applyAlignment="1">
      <alignment vertical="center"/>
    </xf>
    <xf numFmtId="0" fontId="162" fillId="5" borderId="1" xfId="2" applyFont="1" applyFill="1" applyBorder="1" applyAlignment="1">
      <alignment horizontal="left" vertical="center" wrapText="1"/>
    </xf>
    <xf numFmtId="195" fontId="162" fillId="5" borderId="1" xfId="2" applyNumberFormat="1" applyFont="1" applyFill="1" applyBorder="1" applyAlignment="1">
      <alignment horizontal="center" vertical="center" wrapText="1"/>
    </xf>
    <xf numFmtId="0" fontId="162" fillId="5" borderId="1" xfId="2" applyFont="1" applyFill="1" applyBorder="1" applyAlignment="1">
      <alignment horizontal="center" vertical="center" wrapText="1"/>
    </xf>
    <xf numFmtId="14" fontId="162" fillId="5" borderId="1" xfId="2" applyNumberFormat="1" applyFont="1" applyFill="1" applyBorder="1" applyAlignment="1">
      <alignment horizontal="center" vertical="center" wrapText="1"/>
    </xf>
    <xf numFmtId="0" fontId="162" fillId="6" borderId="0" xfId="2" applyFont="1" applyFill="1" applyAlignment="1">
      <alignment vertical="center"/>
    </xf>
    <xf numFmtId="0" fontId="163"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4" fillId="5" borderId="1" xfId="2" applyNumberFormat="1" applyFont="1" applyFill="1" applyBorder="1" applyAlignment="1">
      <alignment horizontal="center"/>
    </xf>
    <xf numFmtId="14" fontId="140"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3" fillId="5" borderId="90" xfId="2" applyFont="1" applyFill="1" applyBorder="1"/>
    <xf numFmtId="0" fontId="133" fillId="5" borderId="75" xfId="2" applyFont="1" applyFill="1" applyBorder="1" applyAlignment="1">
      <alignment horizontal="center"/>
    </xf>
    <xf numFmtId="177" fontId="133" fillId="5" borderId="90" xfId="2" applyNumberFormat="1" applyFont="1" applyFill="1" applyBorder="1" applyAlignment="1">
      <alignment horizontal="center"/>
    </xf>
    <xf numFmtId="0" fontId="133" fillId="0" borderId="90" xfId="2" applyFont="1" applyBorder="1"/>
    <xf numFmtId="0" fontId="91" fillId="0" borderId="90" xfId="0" applyFont="1" applyBorder="1" applyAlignment="1"/>
    <xf numFmtId="0" fontId="91" fillId="0" borderId="0" xfId="0" applyFont="1" applyAlignment="1"/>
    <xf numFmtId="14" fontId="165" fillId="5" borderId="75" xfId="2" applyNumberFormat="1" applyFont="1" applyFill="1" applyBorder="1" applyAlignment="1" applyProtection="1">
      <alignment horizontal="center"/>
    </xf>
    <xf numFmtId="0" fontId="165" fillId="5" borderId="75" xfId="2" applyFont="1" applyFill="1" applyBorder="1" applyAlignment="1" applyProtection="1">
      <alignment horizontal="center"/>
    </xf>
    <xf numFmtId="10" fontId="165" fillId="5" borderId="75" xfId="2" applyNumberFormat="1" applyFont="1" applyFill="1" applyBorder="1" applyAlignment="1">
      <alignment horizontal="center"/>
    </xf>
    <xf numFmtId="0" fontId="120" fillId="0" borderId="1" xfId="5" applyFont="1" applyFill="1" applyBorder="1" applyAlignment="1">
      <alignment horizontal="left" vertical="center"/>
    </xf>
    <xf numFmtId="0" fontId="47" fillId="5" borderId="1" xfId="0" applyNumberFormat="1" applyFont="1" applyFill="1" applyBorder="1" applyAlignment="1" applyProtection="1">
      <alignment horizontal="right" vertical="center"/>
    </xf>
    <xf numFmtId="0" fontId="40" fillId="6" borderId="1" xfId="0" applyFont="1" applyFill="1" applyBorder="1" applyAlignment="1" applyProtection="1">
      <alignment horizontal="left" vertical="center"/>
      <protection locked="0"/>
    </xf>
    <xf numFmtId="0" fontId="166" fillId="0" borderId="0" xfId="0" applyFont="1">
      <alignment vertical="center"/>
    </xf>
    <xf numFmtId="0" fontId="168" fillId="0" borderId="1" xfId="13" applyFont="1" applyBorder="1" applyAlignment="1" applyProtection="1">
      <alignment horizontal="left" vertical="center" wrapText="1"/>
      <protection locked="0"/>
    </xf>
    <xf numFmtId="181" fontId="40" fillId="5" borderId="0" xfId="0" applyNumberFormat="1" applyFont="1" applyFill="1" applyProtection="1">
      <alignment vertical="center"/>
    </xf>
    <xf numFmtId="0" fontId="169" fillId="5" borderId="1" xfId="0" applyFont="1" applyFill="1" applyBorder="1" applyAlignment="1" applyProtection="1">
      <alignment horizontal="left" vertical="center" wrapText="1"/>
    </xf>
    <xf numFmtId="0" fontId="40" fillId="8" borderId="0" xfId="0" applyFont="1" applyFill="1" applyProtection="1">
      <alignment vertical="center"/>
    </xf>
    <xf numFmtId="0" fontId="95" fillId="5" borderId="0" xfId="0" applyFont="1" applyFill="1" applyAlignment="1" applyProtection="1">
      <alignment horizontal="left" vertical="center"/>
      <protection locked="0"/>
    </xf>
    <xf numFmtId="0" fontId="96" fillId="5" borderId="0" xfId="0" applyFont="1" applyFill="1" applyAlignment="1" applyProtection="1">
      <alignment horizontal="left" vertical="center"/>
      <protection locked="0"/>
    </xf>
    <xf numFmtId="0" fontId="37"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114" fillId="5" borderId="6" xfId="0" applyFont="1" applyFill="1" applyBorder="1" applyAlignment="1" applyProtection="1">
      <alignment horizontal="left" vertical="center"/>
    </xf>
    <xf numFmtId="0" fontId="40" fillId="5" borderId="77" xfId="0" applyFont="1" applyFill="1" applyBorder="1" applyAlignment="1" applyProtection="1">
      <alignment vertical="center" wrapText="1"/>
    </xf>
    <xf numFmtId="0" fontId="40" fillId="5" borderId="78" xfId="0" applyFont="1" applyFill="1" applyBorder="1" applyAlignment="1" applyProtection="1">
      <alignment vertical="center" wrapText="1"/>
    </xf>
    <xf numFmtId="181" fontId="51" fillId="5" borderId="2" xfId="0" applyNumberFormat="1" applyFont="1" applyFill="1" applyBorder="1" applyAlignment="1" applyProtection="1">
      <alignment horizontal="center" vertical="center"/>
    </xf>
    <xf numFmtId="181" fontId="51" fillId="5" borderId="11" xfId="0" applyNumberFormat="1" applyFont="1" applyFill="1" applyBorder="1" applyAlignment="1" applyProtection="1">
      <alignment horizontal="center" vertical="center"/>
    </xf>
    <xf numFmtId="9" fontId="51" fillId="5" borderId="1" xfId="0" applyNumberFormat="1"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0" fontId="51" fillId="5" borderId="1" xfId="0" applyFont="1" applyFill="1" applyBorder="1" applyAlignment="1">
      <alignment horizontal="center"/>
    </xf>
    <xf numFmtId="0" fontId="40" fillId="5" borderId="37" xfId="0" applyFont="1" applyFill="1" applyBorder="1" applyAlignment="1" applyProtection="1">
      <alignment horizontal="center" vertical="center"/>
      <protection locked="0"/>
    </xf>
    <xf numFmtId="0" fontId="40" fillId="5" borderId="79" xfId="0" applyFont="1" applyFill="1" applyBorder="1" applyAlignment="1" applyProtection="1">
      <alignment horizontal="center" vertical="center"/>
      <protection locked="0"/>
    </xf>
    <xf numFmtId="0" fontId="40" fillId="6" borderId="56"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51" xfId="0"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50" fillId="6" borderId="1" xfId="1" applyFont="1" applyFill="1" applyBorder="1" applyAlignment="1" applyProtection="1">
      <alignment vertical="center"/>
      <protection locked="0"/>
    </xf>
    <xf numFmtId="0" fontId="176" fillId="8" borderId="0" xfId="0" applyFont="1" applyFill="1" applyAlignment="1" applyProtection="1">
      <alignment vertical="top" wrapText="1"/>
    </xf>
    <xf numFmtId="0" fontId="176" fillId="8" borderId="0" xfId="0" applyFont="1" applyFill="1" applyProtection="1">
      <alignment vertical="center"/>
    </xf>
    <xf numFmtId="0" fontId="90" fillId="0" borderId="0" xfId="0" applyFont="1">
      <alignment vertical="center"/>
    </xf>
    <xf numFmtId="0" fontId="183" fillId="0" borderId="0" xfId="0" applyFont="1" applyBorder="1" applyAlignment="1">
      <alignment horizontal="center" vertical="center"/>
    </xf>
    <xf numFmtId="0" fontId="183" fillId="0" borderId="0" xfId="0" applyFont="1" applyAlignment="1">
      <alignment vertical="center"/>
    </xf>
    <xf numFmtId="0" fontId="95" fillId="0" borderId="0" xfId="0" applyFont="1">
      <alignment vertical="center"/>
    </xf>
    <xf numFmtId="0" fontId="95" fillId="0" borderId="0" xfId="0" applyFont="1" applyBorder="1">
      <alignment vertical="center"/>
    </xf>
    <xf numFmtId="0" fontId="184" fillId="0" borderId="0" xfId="0" applyFont="1" applyAlignment="1">
      <alignment vertical="center"/>
    </xf>
    <xf numFmtId="0" fontId="184" fillId="0" borderId="0" xfId="0" applyFont="1">
      <alignment vertical="center"/>
    </xf>
    <xf numFmtId="0" fontId="185" fillId="0" borderId="0" xfId="0" applyFont="1">
      <alignment vertical="center"/>
    </xf>
    <xf numFmtId="0" fontId="127" fillId="0" borderId="0" xfId="0" applyFont="1" applyAlignment="1">
      <alignment vertical="center" wrapText="1"/>
    </xf>
    <xf numFmtId="0" fontId="186" fillId="0" borderId="0" xfId="0" applyFont="1">
      <alignment vertical="center"/>
    </xf>
    <xf numFmtId="0" fontId="95" fillId="0" borderId="0" xfId="0" applyFont="1" applyAlignment="1">
      <alignment vertical="center" wrapText="1"/>
    </xf>
    <xf numFmtId="0" fontId="127" fillId="0" borderId="0" xfId="0" applyFont="1" applyFill="1" applyAlignment="1">
      <alignment vertical="center" wrapText="1"/>
    </xf>
    <xf numFmtId="0" fontId="127" fillId="0" borderId="0" xfId="0" applyFont="1" applyAlignment="1">
      <alignment horizontal="left" vertical="center" wrapText="1"/>
    </xf>
    <xf numFmtId="0" fontId="95" fillId="0" borderId="0" xfId="0" applyFont="1" applyAlignment="1">
      <alignment horizontal="left" vertical="center"/>
    </xf>
    <xf numFmtId="184" fontId="127" fillId="0" borderId="0" xfId="0" applyNumberFormat="1" applyFont="1" applyAlignment="1">
      <alignment horizontal="left" vertical="center"/>
    </xf>
    <xf numFmtId="184" fontId="127" fillId="0" borderId="0" xfId="0" applyNumberFormat="1" applyFont="1" applyAlignment="1">
      <alignment vertical="center"/>
    </xf>
    <xf numFmtId="0" fontId="187" fillId="0" borderId="0" xfId="0" applyFont="1" applyAlignment="1">
      <alignment vertical="center" wrapText="1"/>
    </xf>
    <xf numFmtId="0" fontId="127" fillId="0" borderId="0" xfId="0" applyFont="1">
      <alignment vertical="center"/>
    </xf>
    <xf numFmtId="0" fontId="90" fillId="0" borderId="0" xfId="0" applyFont="1" applyProtection="1">
      <alignment vertical="center"/>
    </xf>
    <xf numFmtId="0" fontId="90" fillId="0" borderId="1" xfId="0" applyFont="1" applyBorder="1">
      <alignment vertical="center"/>
    </xf>
    <xf numFmtId="0" fontId="181" fillId="0" borderId="0" xfId="0" applyFont="1" applyProtection="1">
      <alignment vertical="center"/>
    </xf>
    <xf numFmtId="0" fontId="182" fillId="0" borderId="0" xfId="0" applyFont="1" applyAlignment="1" applyProtection="1">
      <alignment horizontal="left" vertical="center" wrapText="1"/>
    </xf>
    <xf numFmtId="0" fontId="192" fillId="0" borderId="54"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18" fillId="0" borderId="1" xfId="0" applyFont="1" applyFill="1" applyBorder="1" applyAlignment="1" applyProtection="1">
      <alignment horizontal="left" vertical="center" wrapText="1"/>
    </xf>
    <xf numFmtId="0" fontId="192" fillId="0" borderId="1" xfId="0" applyFont="1" applyFill="1" applyBorder="1" applyAlignment="1" applyProtection="1">
      <alignment horizontal="center" vertical="center" wrapText="1"/>
    </xf>
    <xf numFmtId="0" fontId="152" fillId="0" borderId="1" xfId="0" applyFont="1" applyBorder="1" applyProtection="1">
      <alignment vertical="center"/>
    </xf>
    <xf numFmtId="0" fontId="118" fillId="0" borderId="1" xfId="0" applyFont="1" applyFill="1" applyBorder="1" applyAlignment="1" applyProtection="1">
      <alignment horizontal="center" vertical="center" wrapText="1"/>
    </xf>
    <xf numFmtId="0" fontId="152" fillId="0" borderId="1" xfId="0" applyFont="1" applyFill="1" applyBorder="1" applyAlignment="1" applyProtection="1">
      <alignment horizontal="left" vertical="center" wrapText="1"/>
    </xf>
    <xf numFmtId="0" fontId="194" fillId="0" borderId="1" xfId="0" applyFont="1" applyFill="1" applyBorder="1" applyAlignment="1" applyProtection="1">
      <alignment horizontal="left" vertical="center" wrapText="1"/>
    </xf>
    <xf numFmtId="0" fontId="195" fillId="0" borderId="1"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2" fillId="0" borderId="75" xfId="0" applyFont="1" applyFill="1" applyBorder="1" applyAlignment="1" applyProtection="1">
      <alignment horizontal="left" vertical="center" wrapText="1"/>
    </xf>
    <xf numFmtId="0" fontId="195" fillId="0" borderId="75" xfId="0" applyFont="1" applyFill="1" applyBorder="1" applyAlignment="1" applyProtection="1">
      <alignment horizontal="center" vertical="center" wrapText="1"/>
    </xf>
    <xf numFmtId="0" fontId="118" fillId="0" borderId="17" xfId="0" applyFont="1" applyBorder="1" applyProtection="1">
      <alignment vertical="center"/>
    </xf>
    <xf numFmtId="0" fontId="118" fillId="0" borderId="17" xfId="0" applyFont="1" applyBorder="1" applyAlignment="1" applyProtection="1">
      <alignment horizontal="center" vertical="center"/>
    </xf>
    <xf numFmtId="0" fontId="152" fillId="0" borderId="17" xfId="0" applyFont="1" applyBorder="1" applyProtection="1">
      <alignment vertical="center"/>
    </xf>
    <xf numFmtId="0" fontId="118" fillId="0" borderId="17" xfId="0" applyNumberFormat="1" applyFont="1" applyBorder="1" applyAlignment="1" applyProtection="1">
      <alignment horizontal="center" vertical="center" wrapText="1"/>
    </xf>
    <xf numFmtId="0" fontId="152" fillId="0" borderId="1" xfId="0" applyFont="1" applyBorder="1" applyAlignment="1" applyProtection="1">
      <alignment horizontal="center" vertical="center"/>
    </xf>
    <xf numFmtId="0" fontId="118" fillId="0" borderId="1" xfId="0" applyFont="1" applyBorder="1" applyProtection="1">
      <alignment vertical="center"/>
    </xf>
    <xf numFmtId="0" fontId="118" fillId="0" borderId="1" xfId="0" applyFont="1" applyBorder="1" applyAlignment="1" applyProtection="1">
      <alignment horizontal="center" vertical="center"/>
    </xf>
    <xf numFmtId="0" fontId="118" fillId="0" borderId="1" xfId="0" applyFont="1" applyBorder="1" applyAlignment="1" applyProtection="1">
      <alignment horizontal="center" vertical="center" wrapText="1"/>
    </xf>
    <xf numFmtId="0" fontId="118" fillId="0" borderId="18" xfId="0" applyFont="1" applyBorder="1" applyAlignment="1" applyProtection="1">
      <alignment horizontal="center" vertical="center" wrapText="1"/>
    </xf>
    <xf numFmtId="0" fontId="152" fillId="0" borderId="75" xfId="0" applyFont="1" applyBorder="1" applyAlignment="1" applyProtection="1">
      <alignment horizontal="center" vertical="center"/>
    </xf>
    <xf numFmtId="0" fontId="198" fillId="6" borderId="0" xfId="0" applyFont="1" applyFill="1" applyProtection="1">
      <alignment vertical="center"/>
      <protection locked="0"/>
    </xf>
    <xf numFmtId="0" fontId="127" fillId="0" borderId="0" xfId="0" applyFont="1" applyProtection="1">
      <alignment vertical="center"/>
    </xf>
    <xf numFmtId="0" fontId="204" fillId="0" borderId="0" xfId="0" applyFont="1" applyBorder="1" applyAlignment="1">
      <alignment horizontal="center" vertical="center" wrapText="1"/>
    </xf>
    <xf numFmtId="14" fontId="127" fillId="0" borderId="0" xfId="0" applyNumberFormat="1" applyFont="1" applyBorder="1" applyAlignment="1">
      <alignment horizontal="center" vertical="center" wrapText="1"/>
    </xf>
    <xf numFmtId="0" fontId="127" fillId="0" borderId="0" xfId="0" applyFont="1" applyBorder="1" applyAlignment="1">
      <alignment horizontal="center" vertical="center" wrapText="1"/>
    </xf>
    <xf numFmtId="0" fontId="204" fillId="0" borderId="65" xfId="0" applyFont="1" applyBorder="1" applyAlignment="1">
      <alignment horizontal="justify" vertical="center" wrapText="1"/>
    </xf>
    <xf numFmtId="0" fontId="204" fillId="0" borderId="0" xfId="0" applyFont="1" applyBorder="1" applyAlignment="1">
      <alignment horizontal="right" vertical="center" wrapText="1"/>
    </xf>
    <xf numFmtId="0" fontId="204" fillId="0" borderId="51" xfId="0" applyFont="1" applyBorder="1" applyAlignment="1">
      <alignment horizontal="justify" vertical="center" wrapText="1"/>
    </xf>
    <xf numFmtId="0" fontId="204" fillId="0" borderId="0" xfId="0" applyFont="1" applyBorder="1" applyAlignment="1">
      <alignment horizontal="justify" vertical="center" wrapText="1"/>
    </xf>
    <xf numFmtId="0" fontId="187" fillId="0" borderId="0" xfId="0" applyFont="1" applyBorder="1" applyAlignment="1">
      <alignment horizontal="center" vertical="center" wrapText="1"/>
    </xf>
    <xf numFmtId="0" fontId="184" fillId="0" borderId="0" xfId="0" applyFont="1" applyBorder="1" applyAlignment="1">
      <alignment horizontal="left" vertical="center"/>
    </xf>
    <xf numFmtId="0" fontId="95" fillId="0" borderId="0" xfId="0" applyFont="1" applyAlignment="1" applyProtection="1">
      <alignment vertical="center" wrapText="1"/>
      <protection locked="0"/>
    </xf>
    <xf numFmtId="0" fontId="127" fillId="0" borderId="0" xfId="0" applyFont="1" applyAlignment="1">
      <alignment horizontal="right" vertical="center"/>
    </xf>
    <xf numFmtId="193" fontId="205" fillId="0" borderId="0" xfId="0" applyNumberFormat="1" applyFont="1" applyAlignment="1">
      <alignment vertical="center"/>
    </xf>
    <xf numFmtId="193" fontId="127" fillId="0" borderId="0" xfId="0" applyNumberFormat="1" applyFont="1" applyAlignment="1">
      <alignment horizontal="right" vertical="center" shrinkToFit="1"/>
    </xf>
    <xf numFmtId="0" fontId="38" fillId="5" borderId="0" xfId="1" applyFont="1" applyFill="1" applyBorder="1" applyAlignment="1" applyProtection="1">
      <alignment vertical="center"/>
    </xf>
    <xf numFmtId="49" fontId="40" fillId="5" borderId="16" xfId="0" applyNumberFormat="1" applyFont="1" applyFill="1" applyBorder="1" applyAlignment="1" applyProtection="1">
      <alignment horizontal="center" vertical="center"/>
    </xf>
    <xf numFmtId="49" fontId="40" fillId="5" borderId="8" xfId="0" applyNumberFormat="1" applyFont="1" applyFill="1" applyBorder="1" applyAlignment="1" applyProtection="1">
      <alignment horizontal="center" vertical="center"/>
    </xf>
    <xf numFmtId="0" fontId="38"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38" fillId="0" borderId="0" xfId="0" applyFont="1" applyProtection="1">
      <alignment vertical="center"/>
    </xf>
    <xf numFmtId="0" fontId="38" fillId="2"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211" fillId="4" borderId="1" xfId="0" applyFont="1" applyFill="1" applyBorder="1" applyAlignment="1" applyProtection="1">
      <alignment horizontal="center" vertical="center"/>
    </xf>
    <xf numFmtId="0" fontId="212" fillId="0" borderId="1" xfId="0" applyFont="1" applyFill="1" applyBorder="1" applyAlignment="1" applyProtection="1">
      <alignment horizontal="center" vertical="center"/>
    </xf>
    <xf numFmtId="0" fontId="37" fillId="0" borderId="0" xfId="0" applyFont="1" applyProtection="1">
      <alignment vertical="center"/>
    </xf>
    <xf numFmtId="0" fontId="95" fillId="7" borderId="2" xfId="0" applyFont="1" applyFill="1" applyBorder="1" applyAlignment="1" applyProtection="1">
      <alignment vertical="center"/>
    </xf>
    <xf numFmtId="0" fontId="95" fillId="8" borderId="51" xfId="0" applyFont="1" applyFill="1" applyBorder="1" applyAlignment="1" applyProtection="1">
      <alignment vertical="center"/>
    </xf>
    <xf numFmtId="0" fontId="95" fillId="8" borderId="3" xfId="0" applyFont="1" applyFill="1" applyBorder="1" applyAlignment="1" applyProtection="1">
      <alignment vertical="center"/>
    </xf>
    <xf numFmtId="0" fontId="95" fillId="0" borderId="1" xfId="0" applyFont="1" applyBorder="1" applyAlignment="1" applyProtection="1">
      <alignment horizontal="left" vertical="center"/>
    </xf>
    <xf numFmtId="0" fontId="136" fillId="0" borderId="0" xfId="0" applyFont="1" applyProtection="1">
      <alignment vertical="center"/>
    </xf>
    <xf numFmtId="0" fontId="37" fillId="5" borderId="25"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37" fillId="5" borderId="0" xfId="0" applyFont="1" applyFill="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5" borderId="0" xfId="0" applyFont="1" applyFill="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95" fillId="5" borderId="0" xfId="0" applyFont="1" applyFill="1">
      <alignment vertical="center"/>
    </xf>
    <xf numFmtId="0" fontId="95" fillId="5" borderId="0" xfId="0" applyFont="1" applyFill="1" applyBorder="1" applyAlignment="1" applyProtection="1">
      <alignment horizontal="left" vertical="center"/>
    </xf>
    <xf numFmtId="0" fontId="95" fillId="5" borderId="0" xfId="0" applyFont="1" applyFill="1" applyBorder="1" applyAlignment="1" applyProtection="1">
      <alignment vertical="center" wrapText="1"/>
    </xf>
    <xf numFmtId="0" fontId="45" fillId="5" borderId="88" xfId="0" applyFont="1" applyFill="1" applyBorder="1" applyAlignment="1" applyProtection="1">
      <alignment vertical="center" wrapText="1"/>
    </xf>
    <xf numFmtId="0" fontId="40" fillId="5" borderId="158" xfId="0" applyFont="1" applyFill="1" applyBorder="1" applyAlignment="1" applyProtection="1">
      <alignment vertical="center"/>
    </xf>
    <xf numFmtId="0" fontId="40" fillId="0" borderId="32" xfId="0" applyFont="1" applyBorder="1" applyAlignment="1" applyProtection="1">
      <alignment vertical="center" wrapText="1"/>
      <protection locked="0"/>
    </xf>
    <xf numFmtId="0" fontId="40" fillId="6" borderId="32" xfId="0" applyFont="1" applyFill="1" applyBorder="1" applyAlignment="1" applyProtection="1">
      <alignment vertical="center" wrapText="1"/>
      <protection locked="0"/>
    </xf>
    <xf numFmtId="0" fontId="40" fillId="5" borderId="7" xfId="0" applyFont="1" applyFill="1" applyBorder="1" applyAlignment="1" applyProtection="1">
      <alignment vertical="center"/>
    </xf>
    <xf numFmtId="0" fontId="40" fillId="0" borderId="1" xfId="0" applyFont="1" applyBorder="1" applyAlignment="1" applyProtection="1">
      <alignment vertical="center" wrapText="1"/>
      <protection locked="0"/>
    </xf>
    <xf numFmtId="0" fontId="40" fillId="5" borderId="1" xfId="0" applyFont="1" applyFill="1" applyBorder="1" applyAlignment="1" applyProtection="1">
      <alignment vertical="center"/>
    </xf>
    <xf numFmtId="0" fontId="40" fillId="6" borderId="1" xfId="0" applyFont="1" applyFill="1" applyBorder="1" applyAlignment="1" applyProtection="1">
      <alignment vertical="center"/>
      <protection locked="0"/>
    </xf>
    <xf numFmtId="0" fontId="40" fillId="6" borderId="6" xfId="0" applyFont="1" applyFill="1" applyBorder="1" applyAlignment="1" applyProtection="1">
      <alignment vertical="center" wrapText="1"/>
      <protection locked="0"/>
    </xf>
    <xf numFmtId="0" fontId="40" fillId="5" borderId="7" xfId="0" applyFont="1" applyFill="1" applyBorder="1" applyAlignment="1" applyProtection="1">
      <alignment horizontal="left" vertical="center"/>
    </xf>
    <xf numFmtId="0" fontId="40" fillId="2" borderId="1" xfId="0" applyFont="1" applyFill="1" applyBorder="1" applyAlignment="1" applyProtection="1">
      <alignment horizontal="left" vertical="center" wrapText="1"/>
      <protection locked="0"/>
    </xf>
    <xf numFmtId="0" fontId="114" fillId="5" borderId="0" xfId="0" applyFont="1" applyFill="1" applyBorder="1" applyAlignment="1" applyProtection="1">
      <alignment horizontal="left" vertical="center"/>
    </xf>
    <xf numFmtId="0" fontId="40" fillId="0" borderId="75" xfId="0" applyFont="1" applyFill="1" applyBorder="1" applyAlignment="1" applyProtection="1">
      <alignment vertical="center" wrapText="1"/>
      <protection locked="0"/>
    </xf>
    <xf numFmtId="0" fontId="40" fillId="5" borderId="17" xfId="0" applyFont="1" applyFill="1" applyBorder="1" applyAlignment="1" applyProtection="1">
      <alignment vertical="center" wrapText="1"/>
    </xf>
    <xf numFmtId="0" fontId="40" fillId="6" borderId="41" xfId="0" applyFont="1" applyFill="1" applyBorder="1" applyAlignment="1" applyProtection="1">
      <alignment vertical="center" wrapText="1"/>
      <protection locked="0"/>
    </xf>
    <xf numFmtId="0" fontId="40" fillId="5" borderId="42" xfId="0" applyFont="1" applyFill="1" applyBorder="1" applyAlignment="1" applyProtection="1">
      <alignment vertical="center" wrapText="1"/>
    </xf>
    <xf numFmtId="0" fontId="40" fillId="5" borderId="18"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6" borderId="31" xfId="0" applyFont="1" applyFill="1" applyBorder="1" applyAlignment="1" applyProtection="1">
      <alignment vertical="center" wrapText="1"/>
      <protection locked="0"/>
    </xf>
    <xf numFmtId="0" fontId="40" fillId="6" borderId="82" xfId="0" applyFont="1" applyFill="1" applyBorder="1" applyAlignment="1" applyProtection="1">
      <alignment vertical="center" wrapText="1"/>
      <protection locked="0"/>
    </xf>
    <xf numFmtId="0" fontId="40" fillId="5" borderId="61" xfId="0" applyFont="1" applyFill="1" applyBorder="1" applyAlignment="1" applyProtection="1">
      <alignment vertical="center" wrapText="1"/>
    </xf>
    <xf numFmtId="0" fontId="40" fillId="6" borderId="43" xfId="0" applyFont="1" applyFill="1" applyBorder="1" applyAlignment="1" applyProtection="1">
      <alignment vertical="center" wrapText="1"/>
      <protection locked="0"/>
    </xf>
    <xf numFmtId="0" fontId="40" fillId="5" borderId="29" xfId="0" applyFont="1" applyFill="1" applyBorder="1" applyAlignment="1" applyProtection="1">
      <alignment vertical="center"/>
    </xf>
    <xf numFmtId="0" fontId="114" fillId="5" borderId="0" xfId="0" applyFont="1" applyFill="1" applyBorder="1" applyAlignment="1" applyProtection="1">
      <alignment vertical="center" wrapText="1"/>
    </xf>
    <xf numFmtId="0" fontId="40" fillId="5" borderId="5" xfId="0" applyFont="1" applyFill="1" applyBorder="1" applyAlignment="1" applyProtection="1">
      <alignment vertical="center"/>
    </xf>
    <xf numFmtId="0" fontId="40" fillId="5" borderId="10" xfId="0" applyFont="1" applyFill="1" applyBorder="1" applyAlignment="1" applyProtection="1">
      <alignment vertical="center" wrapText="1"/>
    </xf>
    <xf numFmtId="0" fontId="40" fillId="0" borderId="7" xfId="0" applyFont="1" applyBorder="1" applyAlignment="1" applyProtection="1">
      <alignment vertical="center" wrapText="1"/>
      <protection locked="0"/>
    </xf>
    <xf numFmtId="0" fontId="40" fillId="6" borderId="2" xfId="0" applyFont="1" applyFill="1" applyBorder="1" applyAlignment="1" applyProtection="1">
      <alignment vertical="center" wrapText="1"/>
      <protection locked="0"/>
    </xf>
    <xf numFmtId="0" fontId="40" fillId="0" borderId="19" xfId="0" applyFont="1" applyBorder="1" applyAlignment="1" applyProtection="1">
      <alignment vertical="center" wrapText="1"/>
      <protection locked="0"/>
    </xf>
    <xf numFmtId="0" fontId="40" fillId="5" borderId="39" xfId="0" applyFont="1" applyFill="1" applyBorder="1" applyAlignment="1" applyProtection="1">
      <alignment vertical="center" wrapText="1"/>
    </xf>
    <xf numFmtId="0" fontId="40" fillId="0" borderId="1"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xf>
    <xf numFmtId="0" fontId="37" fillId="5" borderId="16" xfId="0" applyFont="1" applyFill="1" applyBorder="1" applyAlignment="1" applyProtection="1">
      <alignment horizontal="left" vertical="center" wrapText="1"/>
    </xf>
    <xf numFmtId="0" fontId="37" fillId="5" borderId="23" xfId="0" applyFont="1" applyFill="1" applyBorder="1" applyAlignment="1" applyProtection="1">
      <alignment horizontal="left" vertical="center" wrapText="1"/>
    </xf>
    <xf numFmtId="0" fontId="100" fillId="5" borderId="0" xfId="0" applyFont="1" applyFill="1" applyProtection="1">
      <alignment vertical="center"/>
    </xf>
    <xf numFmtId="0" fontId="40" fillId="5" borderId="0" xfId="0" applyFont="1" applyFill="1" applyProtection="1">
      <alignment vertical="center"/>
    </xf>
    <xf numFmtId="0" fontId="40" fillId="0" borderId="0" xfId="0" applyFont="1" applyProtection="1">
      <alignment vertical="center"/>
    </xf>
    <xf numFmtId="0" fontId="40" fillId="5" borderId="3" xfId="0" applyFont="1" applyFill="1" applyBorder="1" applyAlignment="1" applyProtection="1">
      <alignment vertical="center" wrapText="1"/>
    </xf>
    <xf numFmtId="0" fontId="37" fillId="5" borderId="0" xfId="0" applyFont="1" applyFill="1" applyProtection="1">
      <alignment vertical="center"/>
    </xf>
    <xf numFmtId="0" fontId="40" fillId="0" borderId="0" xfId="0" applyFont="1" applyFill="1" applyProtection="1">
      <alignment vertical="center"/>
    </xf>
    <xf numFmtId="0" fontId="39" fillId="5" borderId="63" xfId="0" applyFont="1" applyFill="1" applyBorder="1" applyAlignment="1" applyProtection="1">
      <alignment horizontal="left" vertical="center"/>
    </xf>
    <xf numFmtId="0" fontId="39" fillId="5" borderId="20" xfId="0" applyFont="1" applyFill="1" applyBorder="1" applyAlignment="1" applyProtection="1">
      <alignment horizontal="left" vertical="center"/>
    </xf>
    <xf numFmtId="0" fontId="37" fillId="5" borderId="28" xfId="0" applyFont="1" applyFill="1" applyBorder="1" applyAlignment="1" applyProtection="1">
      <alignment horizontal="left" vertical="center"/>
    </xf>
    <xf numFmtId="0" fontId="37" fillId="5" borderId="56" xfId="0" applyFont="1" applyFill="1" applyBorder="1" applyAlignment="1" applyProtection="1">
      <alignment horizontal="left" vertical="center"/>
    </xf>
    <xf numFmtId="0" fontId="40" fillId="5" borderId="0" xfId="0" applyFont="1" applyFill="1" applyBorder="1" applyAlignment="1" applyProtection="1">
      <alignment horizontal="center" vertical="center"/>
    </xf>
    <xf numFmtId="0" fontId="100" fillId="5" borderId="0" xfId="0" applyFont="1" applyFill="1" applyBorder="1" applyAlignment="1" applyProtection="1">
      <alignment horizontal="left" vertical="center"/>
    </xf>
    <xf numFmtId="0" fontId="216" fillId="5" borderId="0" xfId="0" applyFont="1" applyFill="1" applyBorder="1" applyAlignment="1" applyProtection="1">
      <alignment horizontal="left" vertical="center"/>
    </xf>
    <xf numFmtId="0" fontId="217" fillId="5" borderId="0" xfId="0" applyFont="1" applyFill="1" applyBorder="1" applyAlignment="1" applyProtection="1">
      <alignment vertical="center"/>
    </xf>
    <xf numFmtId="0" fontId="217" fillId="5" borderId="0" xfId="0" applyFont="1" applyFill="1" applyBorder="1" applyAlignment="1" applyProtection="1">
      <alignment horizontal="center" vertical="center"/>
    </xf>
    <xf numFmtId="0" fontId="99" fillId="8" borderId="0" xfId="0" applyFont="1" applyFill="1" applyBorder="1" applyAlignment="1" applyProtection="1">
      <alignment horizontal="left" vertical="center"/>
    </xf>
    <xf numFmtId="0" fontId="95" fillId="8" borderId="0" xfId="0" applyFont="1" applyFill="1" applyBorder="1" applyProtection="1">
      <alignment vertical="center"/>
    </xf>
    <xf numFmtId="49" fontId="45" fillId="5" borderId="39" xfId="0" applyNumberFormat="1"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77" fontId="47" fillId="5" borderId="0" xfId="0" applyNumberFormat="1" applyFont="1" applyFill="1" applyBorder="1" applyAlignment="1" applyProtection="1">
      <alignment horizontal="center" vertical="center" wrapText="1"/>
    </xf>
    <xf numFmtId="10" fontId="46"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left" vertical="center"/>
    </xf>
    <xf numFmtId="0" fontId="40" fillId="5" borderId="0" xfId="2" applyFont="1" applyFill="1" applyBorder="1" applyAlignment="1" applyProtection="1">
      <alignment horizontal="left" vertical="center" wrapText="1"/>
    </xf>
    <xf numFmtId="0" fontId="95" fillId="0" borderId="0" xfId="0" applyFont="1" applyFill="1" applyProtection="1">
      <alignment vertical="center"/>
    </xf>
    <xf numFmtId="0" fontId="95" fillId="8" borderId="0" xfId="0" applyFont="1" applyFill="1" applyProtection="1">
      <alignment vertical="center"/>
    </xf>
    <xf numFmtId="0" fontId="95" fillId="5" borderId="0" xfId="2" applyFont="1" applyFill="1" applyAlignment="1" applyProtection="1">
      <alignment vertical="center" wrapText="1"/>
    </xf>
    <xf numFmtId="0" fontId="40" fillId="2" borderId="51" xfId="0" applyFont="1" applyFill="1" applyBorder="1" applyAlignment="1" applyProtection="1">
      <alignment horizontal="left" vertical="center" wrapText="1"/>
      <protection locked="0"/>
    </xf>
    <xf numFmtId="0" fontId="95" fillId="5" borderId="0" xfId="2" applyFont="1" applyFill="1" applyProtection="1"/>
    <xf numFmtId="10" fontId="40" fillId="2" borderId="41" xfId="0" applyNumberFormat="1" applyFont="1" applyFill="1" applyBorder="1" applyAlignment="1" applyProtection="1">
      <alignment horizontal="left" vertical="center" wrapText="1"/>
      <protection locked="0"/>
    </xf>
    <xf numFmtId="10" fontId="40" fillId="6" borderId="41" xfId="0" applyNumberFormat="1" applyFont="1" applyFill="1" applyBorder="1" applyAlignment="1" applyProtection="1">
      <alignment horizontal="left" vertical="center" wrapText="1"/>
      <protection locked="0"/>
    </xf>
    <xf numFmtId="0" fontId="95" fillId="0" borderId="7" xfId="0" applyFont="1" applyFill="1" applyBorder="1" applyProtection="1">
      <alignment vertical="center"/>
      <protection locked="0"/>
    </xf>
    <xf numFmtId="0" fontId="136" fillId="0" borderId="60" xfId="0" applyFont="1" applyBorder="1" applyAlignment="1" applyProtection="1">
      <alignment horizontal="left" vertical="center"/>
      <protection locked="0"/>
    </xf>
    <xf numFmtId="0" fontId="40" fillId="0" borderId="0" xfId="0" applyFont="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protection locked="0"/>
    </xf>
    <xf numFmtId="0" fontId="40" fillId="8" borderId="25" xfId="0" applyFont="1" applyFill="1" applyBorder="1" applyProtection="1">
      <alignment vertical="center"/>
      <protection locked="0"/>
    </xf>
    <xf numFmtId="0" fontId="40" fillId="8" borderId="6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64"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center" vertical="center" wrapText="1"/>
      <protection locked="0"/>
    </xf>
    <xf numFmtId="0" fontId="40" fillId="8" borderId="65" xfId="0" applyFont="1" applyFill="1" applyBorder="1" applyAlignment="1" applyProtection="1">
      <alignment horizontal="center" vertical="center"/>
      <protection locked="0"/>
    </xf>
    <xf numFmtId="0" fontId="40" fillId="8" borderId="24" xfId="0" applyFont="1" applyFill="1" applyBorder="1" applyProtection="1">
      <alignment vertical="center"/>
      <protection locked="0"/>
    </xf>
    <xf numFmtId="0" fontId="45" fillId="8" borderId="65" xfId="0" applyFont="1" applyFill="1" applyBorder="1" applyAlignment="1" applyProtection="1">
      <alignment horizontal="left" vertical="center"/>
      <protection locked="0"/>
    </xf>
    <xf numFmtId="0" fontId="40" fillId="8" borderId="65" xfId="0" applyFont="1" applyFill="1" applyBorder="1" applyProtection="1">
      <alignment vertical="center"/>
      <protection locked="0"/>
    </xf>
    <xf numFmtId="0" fontId="40" fillId="8" borderId="65" xfId="0" applyFont="1" applyFill="1" applyBorder="1" applyAlignment="1" applyProtection="1">
      <alignment horizontal="right" vertical="center"/>
      <protection locked="0"/>
    </xf>
    <xf numFmtId="0" fontId="45" fillId="8" borderId="0" xfId="0" applyFont="1" applyFill="1" applyAlignment="1" applyProtection="1">
      <alignment horizontal="left" vertical="center"/>
      <protection locked="0"/>
    </xf>
    <xf numFmtId="2" fontId="40" fillId="8" borderId="0" xfId="0" applyNumberFormat="1" applyFont="1" applyFill="1" applyAlignment="1" applyProtection="1">
      <alignment vertical="center" wrapText="1"/>
      <protection locked="0"/>
    </xf>
    <xf numFmtId="0" fontId="45" fillId="8" borderId="0" xfId="0" applyFont="1" applyFill="1" applyAlignment="1" applyProtection="1">
      <alignment vertical="center" wrapText="1"/>
      <protection locked="0"/>
    </xf>
    <xf numFmtId="0" fontId="40" fillId="8" borderId="0" xfId="0" applyFont="1" applyFill="1" applyAlignment="1" applyProtection="1">
      <alignment vertical="center" wrapText="1"/>
      <protection locked="0"/>
    </xf>
    <xf numFmtId="0" fontId="39" fillId="5" borderId="22" xfId="0" applyFont="1" applyFill="1" applyBorder="1" applyAlignment="1" applyProtection="1">
      <alignment horizontal="left" vertical="center"/>
    </xf>
    <xf numFmtId="0" fontId="39" fillId="5" borderId="26" xfId="0" applyFont="1" applyFill="1" applyBorder="1" applyAlignment="1" applyProtection="1">
      <alignment horizontal="left" vertical="center"/>
    </xf>
    <xf numFmtId="0" fontId="39" fillId="5" borderId="42" xfId="0" applyFont="1" applyFill="1" applyBorder="1" applyAlignment="1" applyProtection="1">
      <alignment horizontal="left" vertical="center"/>
    </xf>
    <xf numFmtId="0" fontId="39" fillId="5" borderId="46"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47" fillId="6" borderId="2" xfId="1" applyFont="1" applyFill="1" applyBorder="1" applyAlignment="1" applyProtection="1">
      <alignment vertical="center"/>
      <protection locked="0"/>
    </xf>
    <xf numFmtId="0" fontId="129" fillId="5" borderId="3" xfId="1" applyFont="1" applyFill="1" applyBorder="1" applyAlignment="1" applyProtection="1">
      <alignment vertical="center"/>
    </xf>
    <xf numFmtId="0" fontId="47" fillId="6" borderId="6" xfId="1" applyFont="1" applyFill="1" applyBorder="1" applyAlignment="1" applyProtection="1">
      <alignment horizontal="left" vertical="center"/>
      <protection locked="0"/>
    </xf>
    <xf numFmtId="0" fontId="51" fillId="5" borderId="0" xfId="0" applyFont="1" applyFill="1" applyBorder="1" applyAlignment="1" applyProtection="1">
      <alignment vertical="center"/>
    </xf>
    <xf numFmtId="0" fontId="51" fillId="5" borderId="18" xfId="0" applyFont="1" applyFill="1" applyBorder="1" applyAlignment="1" applyProtection="1">
      <alignment vertical="center"/>
    </xf>
    <xf numFmtId="0" fontId="40" fillId="5" borderId="27" xfId="0" applyFont="1" applyFill="1" applyBorder="1" applyAlignment="1" applyProtection="1">
      <alignment vertical="center" wrapText="1"/>
    </xf>
    <xf numFmtId="0" fontId="40" fillId="5" borderId="25" xfId="0" applyFont="1" applyFill="1" applyBorder="1" applyAlignment="1" applyProtection="1">
      <alignment vertical="center"/>
    </xf>
    <xf numFmtId="0" fontId="51" fillId="6" borderId="53" xfId="0" applyFont="1" applyFill="1" applyBorder="1" applyAlignment="1" applyProtection="1">
      <alignment horizontal="center" vertical="center"/>
      <protection locked="0"/>
    </xf>
    <xf numFmtId="0" fontId="228" fillId="5" borderId="1" xfId="0" applyFont="1" applyFill="1" applyBorder="1" applyAlignment="1" applyProtection="1">
      <alignment horizontal="right" vertical="center" wrapText="1"/>
    </xf>
    <xf numFmtId="0" fontId="40" fillId="5" borderId="91" xfId="0" applyFont="1" applyFill="1" applyBorder="1" applyAlignment="1" applyProtection="1">
      <alignment vertical="center" wrapText="1"/>
    </xf>
    <xf numFmtId="0" fontId="40" fillId="5" borderId="75" xfId="0" applyFont="1" applyFill="1" applyBorder="1" applyAlignment="1" applyProtection="1">
      <alignment vertical="center"/>
    </xf>
    <xf numFmtId="0" fontId="97" fillId="8" borderId="0" xfId="0" applyFont="1" applyFill="1" applyAlignment="1" applyProtection="1">
      <protection locked="0"/>
    </xf>
    <xf numFmtId="0" fontId="37" fillId="5" borderId="81" xfId="0" applyFont="1" applyFill="1" applyBorder="1" applyAlignment="1" applyProtection="1"/>
    <xf numFmtId="0" fontId="136" fillId="8" borderId="55" xfId="0" applyFont="1" applyFill="1" applyBorder="1" applyAlignment="1" applyProtection="1">
      <alignment vertical="center"/>
      <protection locked="0"/>
    </xf>
    <xf numFmtId="0" fontId="51" fillId="5" borderId="4" xfId="0" applyFont="1" applyFill="1" applyBorder="1" applyAlignment="1" applyProtection="1">
      <alignment vertical="center"/>
    </xf>
    <xf numFmtId="0" fontId="51" fillId="6" borderId="31" xfId="0" applyFont="1" applyFill="1" applyBorder="1" applyAlignment="1" applyProtection="1">
      <alignment horizontal="center" vertical="center"/>
      <protection locked="0"/>
    </xf>
    <xf numFmtId="0" fontId="51" fillId="5" borderId="4" xfId="0" applyFont="1" applyFill="1" applyBorder="1" applyAlignment="1" applyProtection="1">
      <alignment horizontal="left" vertical="center"/>
      <protection locked="0"/>
    </xf>
    <xf numFmtId="0" fontId="51" fillId="5" borderId="7" xfId="0" applyFont="1" applyFill="1" applyBorder="1" applyAlignment="1" applyProtection="1">
      <alignment vertical="center"/>
    </xf>
    <xf numFmtId="0" fontId="126" fillId="6" borderId="6" xfId="0" applyFont="1" applyFill="1" applyBorder="1" applyAlignment="1" applyProtection="1">
      <alignment horizontal="center"/>
      <protection locked="0"/>
    </xf>
    <xf numFmtId="0" fontId="126" fillId="5" borderId="7" xfId="0" applyFont="1" applyFill="1" applyBorder="1" applyAlignment="1" applyProtection="1">
      <alignment horizontal="left"/>
      <protection locked="0"/>
    </xf>
    <xf numFmtId="0" fontId="37" fillId="5" borderId="1" xfId="0" applyFont="1" applyFill="1" applyBorder="1" applyAlignment="1" applyProtection="1">
      <protection locked="0"/>
    </xf>
    <xf numFmtId="0" fontId="95" fillId="5" borderId="7" xfId="0" applyFont="1" applyFill="1" applyBorder="1" applyAlignment="1" applyProtection="1">
      <alignment horizontal="left"/>
      <protection locked="0"/>
    </xf>
    <xf numFmtId="49" fontId="51" fillId="5" borderId="7" xfId="0" applyNumberFormat="1" applyFont="1" applyFill="1" applyBorder="1" applyAlignment="1" applyProtection="1">
      <alignment horizontal="left" vertical="center"/>
    </xf>
    <xf numFmtId="0" fontId="51" fillId="5" borderId="7" xfId="0" applyFont="1" applyFill="1" applyBorder="1" applyAlignment="1" applyProtection="1">
      <alignment vertical="center"/>
      <protection locked="0"/>
    </xf>
    <xf numFmtId="0" fontId="51" fillId="5" borderId="8" xfId="0" applyFont="1" applyFill="1" applyBorder="1" applyAlignment="1" applyProtection="1">
      <alignment vertical="center"/>
    </xf>
    <xf numFmtId="0" fontId="228" fillId="5" borderId="3" xfId="0" applyFont="1" applyFill="1" applyBorder="1" applyAlignment="1" applyProtection="1">
      <alignment horizontal="right" vertical="center" wrapText="1"/>
    </xf>
    <xf numFmtId="0" fontId="40" fillId="5" borderId="36" xfId="0" applyFont="1" applyFill="1" applyBorder="1" applyAlignment="1" applyProtection="1">
      <alignment horizontal="left" vertical="center"/>
    </xf>
    <xf numFmtId="0" fontId="231" fillId="5" borderId="40" xfId="0" applyFont="1" applyFill="1" applyBorder="1" applyAlignment="1" applyProtection="1">
      <alignment vertical="center" wrapText="1"/>
    </xf>
    <xf numFmtId="0" fontId="40" fillId="5" borderId="126" xfId="0" applyFont="1" applyFill="1" applyBorder="1" applyAlignment="1" applyProtection="1">
      <alignment horizontal="left" vertical="center"/>
    </xf>
    <xf numFmtId="0" fontId="50" fillId="5" borderId="46" xfId="0" applyFont="1" applyFill="1" applyBorder="1" applyAlignment="1" applyProtection="1">
      <alignment horizontal="left" vertical="center" wrapText="1"/>
    </xf>
    <xf numFmtId="0" fontId="50" fillId="5" borderId="5" xfId="0" applyFont="1" applyFill="1" applyBorder="1" applyAlignment="1" applyProtection="1">
      <alignment horizontal="center" vertical="center"/>
    </xf>
    <xf numFmtId="0" fontId="51" fillId="5" borderId="23" xfId="0" applyFont="1" applyFill="1" applyBorder="1" applyAlignment="1" applyProtection="1">
      <alignment vertical="center" wrapText="1"/>
    </xf>
    <xf numFmtId="0" fontId="51" fillId="5" borderId="7" xfId="0" applyFont="1" applyFill="1" applyBorder="1" applyAlignment="1" applyProtection="1">
      <alignment vertical="center" wrapText="1"/>
    </xf>
    <xf numFmtId="49" fontId="50" fillId="5" borderId="8" xfId="0" applyNumberFormat="1" applyFont="1" applyFill="1" applyBorder="1" applyAlignment="1" applyProtection="1">
      <alignment horizontal="left" vertical="center"/>
    </xf>
    <xf numFmtId="0" fontId="50" fillId="5" borderId="8" xfId="0" applyFont="1" applyFill="1" applyBorder="1" applyAlignment="1" applyProtection="1">
      <alignment horizontal="center" vertical="center"/>
    </xf>
    <xf numFmtId="0" fontId="51" fillId="5" borderId="1" xfId="0" applyFont="1" applyFill="1" applyBorder="1" applyAlignment="1"/>
    <xf numFmtId="0" fontId="45" fillId="5" borderId="122" xfId="0" applyNumberFormat="1" applyFont="1" applyFill="1" applyBorder="1" applyAlignment="1" applyProtection="1">
      <alignment horizontal="center" vertical="center" wrapText="1"/>
      <protection locked="0"/>
    </xf>
    <xf numFmtId="0" fontId="40" fillId="10" borderId="5"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horizontal="left" vertical="center"/>
      <protection locked="0"/>
    </xf>
    <xf numFmtId="0" fontId="38" fillId="5" borderId="1" xfId="0" applyFont="1" applyFill="1" applyBorder="1" applyProtection="1">
      <alignment vertical="center"/>
    </xf>
    <xf numFmtId="0" fontId="47" fillId="6" borderId="20" xfId="1" applyFont="1" applyFill="1" applyBorder="1" applyAlignment="1" applyProtection="1">
      <alignment vertical="center"/>
      <protection locked="0"/>
    </xf>
    <xf numFmtId="0" fontId="50" fillId="6" borderId="43" xfId="1"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55" fillId="6" borderId="90" xfId="0" applyFont="1" applyFill="1" applyBorder="1" applyAlignment="1" applyProtection="1">
      <alignment horizontal="center" vertical="center"/>
      <protection locked="0"/>
    </xf>
    <xf numFmtId="0" fontId="47" fillId="6" borderId="64" xfId="1" applyFont="1" applyFill="1" applyBorder="1" applyAlignment="1" applyProtection="1">
      <alignment vertical="center"/>
      <protection locked="0"/>
    </xf>
    <xf numFmtId="0" fontId="129" fillId="5" borderId="24" xfId="1" applyFont="1" applyFill="1" applyBorder="1" applyAlignment="1" applyProtection="1">
      <alignment vertical="center"/>
    </xf>
    <xf numFmtId="0" fontId="50" fillId="6" borderId="17" xfId="1" applyFont="1" applyFill="1" applyBorder="1" applyAlignment="1" applyProtection="1">
      <alignment vertical="center"/>
      <protection locked="0"/>
    </xf>
    <xf numFmtId="0" fontId="37" fillId="0" borderId="35" xfId="0" applyFont="1" applyFill="1" applyBorder="1" applyAlignment="1" applyProtection="1">
      <alignment horizontal="center" vertical="center" wrapText="1"/>
      <protection locked="0"/>
    </xf>
    <xf numFmtId="0" fontId="37" fillId="0" borderId="44" xfId="0" applyFont="1" applyFill="1" applyBorder="1" applyAlignment="1" applyProtection="1">
      <alignment horizontal="center" vertical="center" wrapText="1"/>
      <protection locked="0"/>
    </xf>
    <xf numFmtId="0" fontId="44" fillId="0" borderId="20" xfId="0" applyNumberFormat="1" applyFont="1" applyFill="1" applyBorder="1" applyAlignment="1" applyProtection="1">
      <alignment horizontal="center" vertical="center" wrapText="1"/>
      <protection locked="0"/>
    </xf>
    <xf numFmtId="49" fontId="44" fillId="2" borderId="23"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37" fillId="5" borderId="60" xfId="0" applyFont="1" applyFill="1" applyBorder="1" applyAlignment="1" applyProtection="1">
      <alignment horizontal="center" vertical="center" wrapText="1"/>
    </xf>
    <xf numFmtId="49" fontId="44" fillId="2" borderId="7"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43" fillId="5" borderId="42" xfId="0" applyNumberFormat="1" applyFont="1" applyFill="1" applyBorder="1" applyAlignment="1" applyProtection="1">
      <alignment vertical="center" wrapText="1"/>
    </xf>
    <xf numFmtId="0" fontId="96" fillId="0" borderId="0" xfId="0" applyFont="1" applyFill="1" applyAlignment="1" applyProtection="1">
      <alignment horizontal="left" vertical="center"/>
      <protection locked="0"/>
    </xf>
    <xf numFmtId="0" fontId="51" fillId="5" borderId="96" xfId="0" applyFont="1" applyFill="1" applyBorder="1" applyAlignment="1" applyProtection="1">
      <alignment horizontal="left" vertical="center"/>
    </xf>
    <xf numFmtId="184" fontId="37" fillId="0" borderId="9" xfId="0" applyNumberFormat="1"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55" fillId="5" borderId="32" xfId="0" applyFont="1" applyFill="1" applyBorder="1" applyAlignment="1" applyProtection="1">
      <alignment vertical="center"/>
      <protection locked="0"/>
    </xf>
    <xf numFmtId="0" fontId="37" fillId="0" borderId="51" xfId="0" applyNumberFormat="1" applyFont="1" applyFill="1" applyBorder="1" applyAlignment="1" applyProtection="1">
      <alignment horizontal="center" vertical="center" wrapText="1"/>
      <protection locked="0"/>
    </xf>
    <xf numFmtId="0" fontId="44" fillId="5" borderId="22" xfId="0" applyNumberFormat="1"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2" borderId="46"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protection locked="0"/>
    </xf>
    <xf numFmtId="9" fontId="37" fillId="2" borderId="19" xfId="0" applyNumberFormat="1"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protection locked="0"/>
    </xf>
    <xf numFmtId="0" fontId="42" fillId="0" borderId="20" xfId="0" applyNumberFormat="1" applyFont="1" applyFill="1" applyBorder="1" applyAlignment="1" applyProtection="1">
      <alignment horizontal="center" vertical="center" wrapText="1"/>
      <protection locked="0"/>
    </xf>
    <xf numFmtId="49" fontId="43" fillId="2" borderId="31" xfId="0" applyNumberFormat="1" applyFont="1" applyFill="1" applyBorder="1" applyAlignment="1" applyProtection="1">
      <alignment vertical="center"/>
      <protection locked="0"/>
    </xf>
    <xf numFmtId="0" fontId="44" fillId="6" borderId="11" xfId="0" applyFont="1" applyFill="1" applyBorder="1" applyAlignment="1" applyProtection="1">
      <alignment horizontal="center" vertical="center"/>
      <protection locked="0"/>
    </xf>
    <xf numFmtId="0" fontId="44" fillId="5" borderId="37" xfId="0" applyFont="1" applyFill="1" applyBorder="1" applyAlignment="1" applyProtection="1">
      <alignment horizontal="center" vertical="center" wrapText="1"/>
      <protection locked="0"/>
    </xf>
    <xf numFmtId="0" fontId="96" fillId="5" borderId="0" xfId="0" applyFont="1" applyFill="1" applyAlignment="1" applyProtection="1">
      <alignment horizontal="left" vertical="center"/>
    </xf>
    <xf numFmtId="0" fontId="39" fillId="5" borderId="5" xfId="0" applyNumberFormat="1" applyFont="1" applyFill="1" applyBorder="1" applyAlignment="1" applyProtection="1">
      <alignment vertical="center"/>
    </xf>
    <xf numFmtId="0" fontId="37" fillId="2" borderId="63"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42" fillId="5" borderId="71"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protection locked="0"/>
    </xf>
    <xf numFmtId="0" fontId="43" fillId="5" borderId="18" xfId="0" applyFont="1" applyFill="1" applyBorder="1" applyAlignment="1" applyProtection="1">
      <alignment horizontal="left" vertical="center" wrapText="1"/>
    </xf>
    <xf numFmtId="0" fontId="47" fillId="5" borderId="66"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98" fillId="5" borderId="71" xfId="0" applyFont="1" applyFill="1" applyBorder="1" applyAlignment="1" applyProtection="1">
      <alignment horizontal="left" vertical="center" wrapText="1"/>
    </xf>
    <xf numFmtId="0" fontId="43" fillId="5" borderId="84" xfId="0" applyFont="1" applyFill="1" applyBorder="1" applyAlignment="1" applyProtection="1">
      <alignment horizontal="left" vertical="center" wrapText="1"/>
    </xf>
    <xf numFmtId="0" fontId="43" fillId="5" borderId="57" xfId="0" applyFont="1" applyFill="1" applyBorder="1" applyAlignment="1" applyProtection="1">
      <alignment horizontal="left" vertical="center" wrapText="1"/>
    </xf>
    <xf numFmtId="0" fontId="43" fillId="6" borderId="11"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3"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6" fillId="5" borderId="56" xfId="0" applyFont="1" applyFill="1" applyBorder="1" applyAlignment="1" applyProtection="1">
      <alignment horizontal="left" vertical="center" wrapText="1"/>
    </xf>
    <xf numFmtId="0" fontId="47" fillId="5" borderId="21"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xf>
    <xf numFmtId="0" fontId="43" fillId="6" borderId="1" xfId="1" applyFont="1" applyFill="1" applyBorder="1" applyAlignment="1" applyProtection="1">
      <alignment vertical="center"/>
      <protection locked="0"/>
    </xf>
    <xf numFmtId="49" fontId="43" fillId="6" borderId="1" xfId="0" applyNumberFormat="1" applyFont="1" applyFill="1" applyBorder="1" applyAlignment="1" applyProtection="1">
      <protection locked="0"/>
    </xf>
    <xf numFmtId="49" fontId="43" fillId="5" borderId="0" xfId="0" applyNumberFormat="1" applyFont="1" applyFill="1" applyBorder="1" applyAlignment="1" applyProtection="1">
      <protection locked="0"/>
    </xf>
    <xf numFmtId="177" fontId="43"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3" fillId="5" borderId="71" xfId="0" applyFont="1" applyFill="1" applyBorder="1" applyAlignment="1" applyProtection="1">
      <alignment horizontal="left" vertical="center" wrapText="1"/>
    </xf>
    <xf numFmtId="0" fontId="47" fillId="5" borderId="4"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68" fillId="0" borderId="0" xfId="13" applyFont="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7" fillId="5" borderId="85" xfId="0" applyFont="1" applyFill="1" applyBorder="1" applyAlignment="1" applyProtection="1">
      <alignment horizontal="left" vertical="center"/>
    </xf>
    <xf numFmtId="0" fontId="55" fillId="5" borderId="126" xfId="0" applyFont="1" applyFill="1" applyBorder="1" applyAlignment="1" applyProtection="1">
      <alignment horizontal="left" vertical="center"/>
    </xf>
    <xf numFmtId="0" fontId="50" fillId="6" borderId="89" xfId="1" applyFont="1" applyFill="1" applyBorder="1" applyAlignment="1" applyProtection="1">
      <alignment horizontal="left" vertical="center"/>
      <protection locked="0"/>
    </xf>
    <xf numFmtId="0" fontId="50" fillId="5" borderId="90" xfId="0" applyFont="1" applyFill="1" applyBorder="1" applyAlignment="1" applyProtection="1">
      <alignment horizontal="left" vertical="center"/>
      <protection locked="0"/>
    </xf>
    <xf numFmtId="0" fontId="55" fillId="6" borderId="90" xfId="0" applyFont="1" applyFill="1" applyBorder="1" applyAlignment="1" applyProtection="1">
      <alignment horizontal="left" vertical="center"/>
      <protection locked="0"/>
    </xf>
    <xf numFmtId="0" fontId="63" fillId="5" borderId="126" xfId="0" applyFont="1" applyFill="1" applyBorder="1" applyAlignment="1" applyProtection="1">
      <alignment horizontal="left" vertical="center"/>
    </xf>
    <xf numFmtId="189" fontId="55" fillId="5" borderId="126" xfId="0" applyNumberFormat="1" applyFont="1" applyFill="1" applyBorder="1" applyAlignment="1" applyProtection="1">
      <alignment horizontal="left" vertical="center"/>
    </xf>
    <xf numFmtId="181" fontId="55" fillId="5" borderId="126" xfId="0" applyNumberFormat="1" applyFont="1" applyFill="1" applyBorder="1" applyAlignment="1" applyProtection="1">
      <alignment horizontal="left" vertical="center"/>
    </xf>
    <xf numFmtId="0" fontId="55" fillId="5" borderId="165" xfId="0" applyFont="1" applyFill="1" applyBorder="1" applyAlignment="1" applyProtection="1">
      <alignment horizontal="left" vertical="center"/>
    </xf>
    <xf numFmtId="0" fontId="55" fillId="5" borderId="90"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7" fillId="0" borderId="90" xfId="0" applyFont="1" applyFill="1" applyBorder="1" applyAlignment="1" applyProtection="1">
      <alignment horizontal="left" vertical="center"/>
      <protection locked="0"/>
    </xf>
    <xf numFmtId="0" fontId="50" fillId="5" borderId="17" xfId="1" applyFont="1" applyFill="1" applyBorder="1" applyAlignment="1" applyProtection="1">
      <alignment horizontal="left" vertical="center"/>
    </xf>
    <xf numFmtId="0" fontId="50" fillId="5" borderId="17" xfId="0" applyFont="1" applyFill="1" applyBorder="1" applyAlignment="1" applyProtection="1">
      <alignment horizontal="left" vertical="center"/>
    </xf>
    <xf numFmtId="0" fontId="50" fillId="5" borderId="0" xfId="1" applyFont="1" applyFill="1" applyBorder="1" applyAlignment="1" applyProtection="1">
      <alignment horizontal="left" vertical="center"/>
    </xf>
    <xf numFmtId="0" fontId="47" fillId="6" borderId="64" xfId="1" applyFont="1" applyFill="1" applyBorder="1" applyAlignment="1" applyProtection="1">
      <alignment horizontal="left" vertical="center"/>
      <protection locked="0"/>
    </xf>
    <xf numFmtId="0" fontId="50" fillId="5" borderId="17" xfId="0" applyFont="1" applyFill="1" applyBorder="1" applyAlignment="1" applyProtection="1">
      <alignment horizontal="left" vertical="center"/>
      <protection locked="0"/>
    </xf>
    <xf numFmtId="0" fontId="129" fillId="5" borderId="24" xfId="1" applyFont="1" applyFill="1" applyBorder="1" applyAlignment="1" applyProtection="1">
      <alignment horizontal="left" vertical="center"/>
    </xf>
    <xf numFmtId="0" fontId="50" fillId="6" borderId="17" xfId="1" applyFont="1" applyFill="1" applyBorder="1" applyAlignment="1" applyProtection="1">
      <alignment horizontal="left" vertical="center"/>
      <protection locked="0"/>
    </xf>
    <xf numFmtId="0" fontId="50" fillId="5" borderId="39" xfId="0"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0" fillId="5" borderId="18" xfId="1" applyFont="1" applyFill="1" applyBorder="1" applyAlignment="1" applyProtection="1">
      <alignment horizontal="left" vertical="center"/>
    </xf>
    <xf numFmtId="0" fontId="50" fillId="5" borderId="18" xfId="0" applyFont="1" applyFill="1" applyBorder="1" applyAlignment="1" applyProtection="1">
      <alignment horizontal="left" vertical="center"/>
    </xf>
    <xf numFmtId="0" fontId="50" fillId="5" borderId="39" xfId="0" applyFont="1" applyFill="1" applyBorder="1" applyAlignment="1" applyProtection="1">
      <alignment horizontal="left" vertical="center"/>
      <protection locked="0"/>
    </xf>
    <xf numFmtId="0" fontId="51" fillId="5" borderId="0" xfId="0" applyFont="1" applyFill="1" applyAlignment="1" applyProtection="1">
      <alignment horizontal="left" vertical="center"/>
    </xf>
    <xf numFmtId="0" fontId="43" fillId="5" borderId="5" xfId="0" applyFont="1" applyFill="1" applyBorder="1" applyAlignment="1" applyProtection="1">
      <alignment horizontal="left" vertical="center" wrapText="1"/>
    </xf>
    <xf numFmtId="0" fontId="43" fillId="5" borderId="37" xfId="0" applyFont="1" applyFill="1" applyBorder="1" applyAlignment="1" applyProtection="1">
      <alignment horizontal="left" vertical="center" wrapText="1"/>
    </xf>
    <xf numFmtId="189" fontId="37" fillId="5" borderId="38" xfId="0" applyNumberFormat="1" applyFont="1" applyFill="1" applyBorder="1" applyAlignment="1" applyProtection="1">
      <alignment horizontal="left" vertical="center" wrapText="1"/>
    </xf>
    <xf numFmtId="0" fontId="44" fillId="5" borderId="49"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3" fillId="5" borderId="39"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189" fontId="37" fillId="5" borderId="41" xfId="0" applyNumberFormat="1" applyFont="1" applyFill="1" applyBorder="1" applyAlignment="1" applyProtection="1">
      <alignment horizontal="left" vertical="center" wrapText="1"/>
    </xf>
    <xf numFmtId="0" fontId="43" fillId="5" borderId="29" xfId="0" applyFont="1" applyFill="1" applyBorder="1" applyAlignment="1" applyProtection="1">
      <alignment horizontal="left" vertical="center" wrapText="1"/>
    </xf>
    <xf numFmtId="0" fontId="43" fillId="5" borderId="40" xfId="0" applyFont="1" applyFill="1" applyBorder="1" applyAlignment="1" applyProtection="1">
      <alignment horizontal="left" vertical="center" wrapText="1"/>
    </xf>
    <xf numFmtId="0" fontId="39" fillId="5" borderId="55"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wrapText="1"/>
    </xf>
    <xf numFmtId="184" fontId="37" fillId="5" borderId="9" xfId="0" applyNumberFormat="1" applyFont="1" applyFill="1" applyBorder="1" applyAlignment="1" applyProtection="1">
      <alignment horizontal="left" vertical="center" wrapText="1"/>
    </xf>
    <xf numFmtId="0" fontId="37" fillId="5" borderId="15" xfId="0" applyNumberFormat="1" applyFont="1" applyFill="1" applyBorder="1" applyAlignment="1" applyProtection="1">
      <alignment horizontal="left" vertical="center" wrapText="1"/>
    </xf>
    <xf numFmtId="184" fontId="37" fillId="0" borderId="67" xfId="0" applyNumberFormat="1" applyFont="1" applyFill="1" applyBorder="1" applyAlignment="1" applyProtection="1">
      <alignment horizontal="left" vertical="center" wrapText="1"/>
      <protection locked="0"/>
    </xf>
    <xf numFmtId="0" fontId="37" fillId="5" borderId="14" xfId="0" applyNumberFormat="1" applyFont="1" applyFill="1" applyBorder="1" applyAlignment="1" applyProtection="1">
      <alignment horizontal="left" vertical="center" wrapText="1"/>
    </xf>
    <xf numFmtId="0" fontId="37" fillId="5" borderId="41" xfId="0" applyNumberFormat="1" applyFont="1" applyFill="1" applyBorder="1" applyAlignment="1" applyProtection="1">
      <alignment horizontal="left" vertical="center" wrapText="1"/>
    </xf>
    <xf numFmtId="0" fontId="37" fillId="5" borderId="0" xfId="0" applyFont="1" applyFill="1" applyBorder="1" applyAlignment="1" applyProtection="1">
      <alignment horizontal="left" vertical="center"/>
      <protection locked="0"/>
    </xf>
    <xf numFmtId="188" fontId="37" fillId="5" borderId="2" xfId="0" applyNumberFormat="1" applyFont="1" applyFill="1" applyBorder="1" applyAlignment="1" applyProtection="1">
      <alignment horizontal="left" vertical="center"/>
    </xf>
    <xf numFmtId="49" fontId="37" fillId="5" borderId="3" xfId="0" applyNumberFormat="1" applyFont="1" applyFill="1" applyBorder="1" applyAlignment="1" applyProtection="1">
      <alignment horizontal="left" vertical="center"/>
    </xf>
    <xf numFmtId="0" fontId="37" fillId="5" borderId="49" xfId="0" applyFont="1" applyFill="1" applyBorder="1" applyAlignment="1" applyProtection="1">
      <alignment horizontal="left" vertical="center"/>
    </xf>
    <xf numFmtId="0" fontId="37" fillId="5" borderId="1" xfId="0" applyNumberFormat="1" applyFont="1" applyFill="1" applyBorder="1" applyAlignment="1" applyProtection="1">
      <alignment horizontal="left" vertical="center"/>
    </xf>
    <xf numFmtId="0" fontId="37" fillId="0" borderId="0" xfId="0" applyFont="1" applyFill="1" applyAlignment="1" applyProtection="1">
      <alignment horizontal="left" vertical="center"/>
      <protection locked="0"/>
    </xf>
    <xf numFmtId="49" fontId="37" fillId="2" borderId="9" xfId="0" applyNumberFormat="1" applyFont="1" applyFill="1" applyBorder="1" applyAlignment="1" applyProtection="1">
      <alignment horizontal="left" vertical="center" wrapText="1"/>
      <protection locked="0"/>
    </xf>
    <xf numFmtId="49" fontId="37" fillId="2" borderId="67" xfId="0" applyNumberFormat="1" applyFont="1" applyFill="1" applyBorder="1" applyAlignment="1" applyProtection="1">
      <alignment horizontal="left" vertical="center" wrapText="1"/>
      <protection locked="0"/>
    </xf>
    <xf numFmtId="0" fontId="37" fillId="5" borderId="13" xfId="0" applyFont="1" applyFill="1" applyBorder="1" applyAlignment="1" applyProtection="1">
      <alignment horizontal="left" vertical="center" wrapText="1"/>
    </xf>
    <xf numFmtId="0" fontId="37" fillId="0" borderId="46" xfId="0" applyNumberFormat="1" applyFont="1" applyFill="1" applyBorder="1" applyAlignment="1" applyProtection="1">
      <alignment horizontal="left" vertical="center" wrapText="1"/>
      <protection locked="0"/>
    </xf>
    <xf numFmtId="0" fontId="37" fillId="5" borderId="31" xfId="0" applyNumberFormat="1" applyFont="1" applyFill="1" applyBorder="1" applyAlignment="1" applyProtection="1">
      <alignment horizontal="left" vertical="center" wrapText="1"/>
    </xf>
    <xf numFmtId="49" fontId="37" fillId="2" borderId="28" xfId="0" applyNumberFormat="1" applyFont="1" applyFill="1" applyBorder="1" applyAlignment="1" applyProtection="1">
      <alignment horizontal="left" vertical="center" wrapText="1"/>
      <protection locked="0"/>
    </xf>
    <xf numFmtId="0" fontId="37" fillId="5" borderId="13" xfId="0" applyNumberFormat="1" applyFont="1" applyFill="1" applyBorder="1" applyAlignment="1" applyProtection="1">
      <alignment horizontal="left" vertical="center" wrapText="1"/>
    </xf>
    <xf numFmtId="49" fontId="37" fillId="2" borderId="4"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xf>
    <xf numFmtId="0" fontId="64" fillId="5" borderId="26"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wrapText="1"/>
    </xf>
    <xf numFmtId="49" fontId="37" fillId="2" borderId="7" xfId="0" applyNumberFormat="1" applyFont="1" applyFill="1" applyBorder="1" applyAlignment="1" applyProtection="1">
      <alignment horizontal="left" vertical="center" wrapText="1"/>
      <protection locked="0"/>
    </xf>
    <xf numFmtId="0" fontId="37" fillId="5" borderId="6" xfId="0" applyNumberFormat="1" applyFont="1" applyFill="1" applyBorder="1" applyAlignment="1" applyProtection="1">
      <alignment horizontal="left" vertical="center" wrapText="1"/>
    </xf>
    <xf numFmtId="49" fontId="37" fillId="2" borderId="3" xfId="0" applyNumberFormat="1" applyFont="1" applyFill="1" applyBorder="1" applyAlignment="1" applyProtection="1">
      <alignment horizontal="left" vertical="center" wrapText="1"/>
      <protection locked="0"/>
    </xf>
    <xf numFmtId="0" fontId="37" fillId="5" borderId="2" xfId="0" applyNumberFormat="1" applyFont="1" applyFill="1" applyBorder="1" applyAlignment="1" applyProtection="1">
      <alignment horizontal="left" vertical="center" wrapText="1"/>
    </xf>
    <xf numFmtId="0" fontId="51" fillId="0" borderId="41"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protection locked="0"/>
    </xf>
    <xf numFmtId="0" fontId="37" fillId="0" borderId="23" xfId="0" applyNumberFormat="1" applyFont="1" applyFill="1" applyBorder="1" applyAlignment="1" applyProtection="1">
      <alignment horizontal="left" vertical="center" wrapText="1"/>
      <protection locked="0"/>
    </xf>
    <xf numFmtId="0" fontId="37" fillId="5" borderId="68" xfId="0" applyNumberFormat="1" applyFont="1" applyFill="1" applyBorder="1" applyAlignment="1" applyProtection="1">
      <alignment horizontal="left" vertical="center" wrapText="1"/>
    </xf>
    <xf numFmtId="0" fontId="51" fillId="5" borderId="41" xfId="0" applyNumberFormat="1" applyFont="1" applyFill="1" applyBorder="1" applyAlignment="1" applyProtection="1">
      <alignment horizontal="left" vertical="center" wrapText="1"/>
    </xf>
    <xf numFmtId="0" fontId="44" fillId="0" borderId="19" xfId="0" applyNumberFormat="1" applyFont="1" applyFill="1" applyBorder="1" applyAlignment="1" applyProtection="1">
      <alignment horizontal="left" vertical="center" wrapText="1"/>
      <protection locked="0"/>
    </xf>
    <xf numFmtId="0" fontId="44" fillId="5" borderId="6" xfId="0" applyNumberFormat="1"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44" fillId="5" borderId="44" xfId="0" applyNumberFormat="1"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49" fontId="44" fillId="5" borderId="22" xfId="0" applyNumberFormat="1" applyFont="1" applyFill="1" applyBorder="1" applyAlignment="1" applyProtection="1">
      <alignment horizontal="left" vertical="center" wrapText="1"/>
    </xf>
    <xf numFmtId="0" fontId="44" fillId="5" borderId="59" xfId="0" applyNumberFormat="1" applyFont="1" applyFill="1" applyBorder="1" applyAlignment="1" applyProtection="1">
      <alignment horizontal="left" vertical="center" wrapText="1"/>
    </xf>
    <xf numFmtId="49" fontId="44" fillId="0" borderId="21" xfId="0" applyNumberFormat="1" applyFont="1" applyFill="1" applyBorder="1" applyAlignment="1" applyProtection="1">
      <alignment horizontal="left" vertical="center" wrapText="1"/>
      <protection locked="0"/>
    </xf>
    <xf numFmtId="0" fontId="44" fillId="5" borderId="12" xfId="0" applyNumberFormat="1" applyFont="1" applyFill="1" applyBorder="1" applyAlignment="1" applyProtection="1">
      <alignment horizontal="left" vertical="center" wrapText="1"/>
    </xf>
    <xf numFmtId="49" fontId="44" fillId="0" borderId="22" xfId="0" applyNumberFormat="1" applyFont="1" applyFill="1" applyBorder="1" applyAlignment="1" applyProtection="1">
      <alignment horizontal="left" vertical="center" wrapText="1"/>
      <protection locked="0"/>
    </xf>
    <xf numFmtId="0" fontId="51" fillId="0" borderId="69" xfId="0" applyNumberFormat="1" applyFont="1" applyFill="1" applyBorder="1" applyAlignment="1" applyProtection="1">
      <alignment horizontal="left" vertical="center" wrapText="1"/>
      <protection locked="0"/>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44" fillId="2" borderId="23" xfId="0" applyNumberFormat="1" applyFont="1" applyFill="1" applyBorder="1" applyAlignment="1" applyProtection="1">
      <alignment horizontal="left" vertical="center" wrapText="1"/>
      <protection locked="0"/>
    </xf>
    <xf numFmtId="0" fontId="44" fillId="5" borderId="34" xfId="0" applyNumberFormat="1" applyFont="1" applyFill="1" applyBorder="1" applyAlignment="1" applyProtection="1">
      <alignment horizontal="left" vertical="center" wrapText="1"/>
    </xf>
    <xf numFmtId="49" fontId="44" fillId="2" borderId="24" xfId="0" applyNumberFormat="1" applyFont="1" applyFill="1" applyBorder="1" applyAlignment="1" applyProtection="1">
      <alignment horizontal="left" vertical="center" wrapText="1"/>
      <protection locked="0"/>
    </xf>
    <xf numFmtId="0" fontId="44" fillId="5" borderId="64" xfId="0" applyNumberFormat="1" applyFont="1" applyFill="1" applyBorder="1" applyAlignment="1" applyProtection="1">
      <alignment horizontal="left" vertical="center" wrapText="1"/>
    </xf>
    <xf numFmtId="49" fontId="44" fillId="2" borderId="23" xfId="0" applyNumberFormat="1" applyFont="1" applyFill="1" applyBorder="1" applyAlignment="1" applyProtection="1">
      <alignment horizontal="left" vertical="center" wrapText="1"/>
      <protection locked="0"/>
    </xf>
    <xf numFmtId="0" fontId="44" fillId="5" borderId="50" xfId="0" applyNumberFormat="1" applyFont="1" applyFill="1" applyBorder="1" applyAlignment="1" applyProtection="1">
      <alignment horizontal="left" vertical="center" wrapText="1"/>
    </xf>
    <xf numFmtId="0" fontId="51" fillId="5" borderId="45" xfId="0" applyNumberFormat="1" applyFont="1" applyFill="1" applyBorder="1" applyAlignment="1" applyProtection="1">
      <alignment horizontal="left" vertical="center" wrapText="1"/>
    </xf>
    <xf numFmtId="0" fontId="37" fillId="5" borderId="35" xfId="0" applyFont="1" applyFill="1" applyBorder="1" applyAlignment="1" applyProtection="1">
      <alignment horizontal="left" vertical="center" wrapText="1"/>
    </xf>
    <xf numFmtId="0" fontId="44" fillId="5" borderId="16" xfId="0" applyNumberFormat="1" applyFont="1" applyFill="1" applyBorder="1" applyAlignment="1" applyProtection="1">
      <alignment horizontal="left" vertical="center" wrapText="1"/>
    </xf>
    <xf numFmtId="49" fontId="44" fillId="0" borderId="25" xfId="0" applyNumberFormat="1" applyFont="1" applyFill="1" applyBorder="1" applyAlignment="1" applyProtection="1">
      <alignment horizontal="left" vertical="center" wrapText="1"/>
      <protection locked="0"/>
    </xf>
    <xf numFmtId="0" fontId="44" fillId="5" borderId="60" xfId="0" applyNumberFormat="1" applyFont="1" applyFill="1" applyBorder="1" applyAlignment="1" applyProtection="1">
      <alignment horizontal="left" vertical="center" wrapText="1"/>
    </xf>
    <xf numFmtId="49" fontId="44" fillId="0" borderId="26" xfId="0" applyNumberFormat="1" applyFont="1" applyFill="1" applyBorder="1" applyAlignment="1" applyProtection="1">
      <alignment horizontal="left" vertical="center" wrapText="1"/>
      <protection locked="0"/>
    </xf>
    <xf numFmtId="0" fontId="44" fillId="5" borderId="58" xfId="0" applyNumberFormat="1" applyFont="1" applyFill="1" applyBorder="1" applyAlignment="1" applyProtection="1">
      <alignment horizontal="left" vertical="center" wrapText="1"/>
    </xf>
    <xf numFmtId="0" fontId="37" fillId="5" borderId="64" xfId="0" applyFont="1" applyFill="1" applyBorder="1" applyAlignment="1" applyProtection="1">
      <alignment horizontal="left" vertical="center" wrapText="1"/>
    </xf>
    <xf numFmtId="0" fontId="44" fillId="2" borderId="26" xfId="0" applyNumberFormat="1" applyFont="1" applyFill="1" applyBorder="1" applyAlignment="1" applyProtection="1">
      <alignment horizontal="left" vertical="center" wrapText="1"/>
      <protection locked="0"/>
    </xf>
    <xf numFmtId="49" fontId="44" fillId="2" borderId="25" xfId="0" applyNumberFormat="1" applyFont="1" applyFill="1" applyBorder="1" applyAlignment="1" applyProtection="1">
      <alignment horizontal="left" vertical="center" wrapText="1"/>
      <protection locked="0"/>
    </xf>
    <xf numFmtId="49" fontId="44" fillId="2" borderId="26" xfId="0" applyNumberFormat="1" applyFont="1" applyFill="1" applyBorder="1" applyAlignment="1" applyProtection="1">
      <alignment horizontal="left" vertical="center" wrapText="1"/>
      <protection locked="0"/>
    </xf>
    <xf numFmtId="49" fontId="44" fillId="0" borderId="27" xfId="0" applyNumberFormat="1" applyFont="1" applyFill="1" applyBorder="1" applyAlignment="1" applyProtection="1">
      <alignment horizontal="left" vertical="center" wrapText="1"/>
      <protection locked="0"/>
    </xf>
    <xf numFmtId="0" fontId="44" fillId="5" borderId="35" xfId="0" applyNumberFormat="1" applyFont="1" applyFill="1" applyBorder="1" applyAlignment="1" applyProtection="1">
      <alignment horizontal="left" vertical="center" wrapText="1"/>
    </xf>
    <xf numFmtId="49" fontId="44" fillId="0" borderId="16" xfId="0" applyNumberFormat="1" applyFont="1" applyFill="1" applyBorder="1" applyAlignment="1" applyProtection="1">
      <alignment horizontal="left" vertical="center" wrapText="1"/>
      <protection locked="0"/>
    </xf>
    <xf numFmtId="0" fontId="37" fillId="5" borderId="60" xfId="0" applyFont="1" applyFill="1" applyBorder="1" applyAlignment="1" applyProtection="1">
      <alignment horizontal="left" vertical="center" wrapText="1"/>
    </xf>
    <xf numFmtId="0" fontId="51" fillId="5" borderId="77" xfId="0" applyNumberFormat="1"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wrapText="1"/>
      <protection locked="0"/>
    </xf>
    <xf numFmtId="49" fontId="44" fillId="2" borderId="3"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xf>
    <xf numFmtId="49" fontId="44" fillId="2" borderId="7" xfId="0" applyNumberFormat="1" applyFont="1" applyFill="1" applyBorder="1" applyAlignment="1" applyProtection="1">
      <alignment horizontal="left" vertical="center" wrapText="1"/>
      <protection locked="0"/>
    </xf>
    <xf numFmtId="0" fontId="37" fillId="5" borderId="34" xfId="0" applyNumberFormat="1" applyFont="1" applyFill="1" applyBorder="1" applyAlignment="1" applyProtection="1">
      <alignment horizontal="left" vertical="center" wrapText="1"/>
    </xf>
    <xf numFmtId="49" fontId="37" fillId="0" borderId="24" xfId="0" applyNumberFormat="1" applyFont="1" applyFill="1" applyBorder="1" applyAlignment="1" applyProtection="1">
      <alignment horizontal="left" vertical="center" wrapText="1"/>
      <protection locked="0"/>
    </xf>
    <xf numFmtId="0" fontId="37" fillId="5" borderId="64" xfId="0" applyNumberFormat="1" applyFont="1" applyFill="1" applyBorder="1" applyAlignment="1" applyProtection="1">
      <alignment horizontal="left" vertical="center" wrapText="1"/>
    </xf>
    <xf numFmtId="49" fontId="37" fillId="0" borderId="23" xfId="0" applyNumberFormat="1" applyFont="1" applyFill="1" applyBorder="1" applyAlignment="1" applyProtection="1">
      <alignment horizontal="left" vertical="center" wrapText="1"/>
      <protection locked="0"/>
    </xf>
    <xf numFmtId="0" fontId="37" fillId="0" borderId="2"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5" borderId="31" xfId="0" applyNumberFormat="1" applyFont="1" applyFill="1" applyBorder="1" applyAlignment="1" applyProtection="1">
      <alignment horizontal="left" vertical="center" wrapText="1"/>
    </xf>
    <xf numFmtId="0" fontId="44" fillId="2" borderId="28" xfId="0" applyFont="1" applyFill="1" applyBorder="1" applyAlignment="1" applyProtection="1">
      <alignment horizontal="left" vertical="center" wrapText="1"/>
      <protection locked="0"/>
    </xf>
    <xf numFmtId="0" fontId="67" fillId="5" borderId="26" xfId="0" applyFont="1" applyFill="1" applyBorder="1" applyAlignment="1" applyProtection="1">
      <alignment horizontal="left" vertical="center" textRotation="255" wrapText="1"/>
    </xf>
    <xf numFmtId="0" fontId="37" fillId="0" borderId="19" xfId="0" applyNumberFormat="1"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wrapText="1"/>
    </xf>
    <xf numFmtId="188" fontId="42" fillId="5" borderId="2" xfId="0" applyNumberFormat="1" applyFont="1" applyFill="1" applyBorder="1" applyAlignment="1" applyProtection="1">
      <alignment horizontal="left" vertical="center"/>
    </xf>
    <xf numFmtId="49" fontId="42" fillId="5" borderId="3" xfId="0" applyNumberFormat="1"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2"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textRotation="255" wrapText="1"/>
    </xf>
    <xf numFmtId="0" fontId="44" fillId="2" borderId="7"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textRotation="255" wrapText="1"/>
    </xf>
    <xf numFmtId="9" fontId="37" fillId="0" borderId="19" xfId="0" applyNumberFormat="1" applyFont="1" applyFill="1" applyBorder="1" applyAlignment="1" applyProtection="1">
      <alignment horizontal="left" vertical="center" wrapText="1"/>
      <protection locked="0"/>
    </xf>
    <xf numFmtId="9" fontId="37" fillId="0" borderId="3" xfId="0" applyNumberFormat="1" applyFont="1" applyFill="1" applyBorder="1" applyAlignment="1" applyProtection="1">
      <alignment horizontal="left" vertical="center" wrapText="1"/>
      <protection locked="0"/>
    </xf>
    <xf numFmtId="9" fontId="37" fillId="0" borderId="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43" fillId="5" borderId="42" xfId="0" applyFont="1" applyFill="1" applyBorder="1" applyAlignment="1" applyProtection="1">
      <alignment horizontal="left" vertical="center" textRotation="255" wrapText="1"/>
    </xf>
    <xf numFmtId="49" fontId="43" fillId="5" borderId="46" xfId="0" applyNumberFormat="1" applyFont="1" applyFill="1" applyBorder="1" applyAlignment="1" applyProtection="1">
      <alignment horizontal="left" vertical="center"/>
    </xf>
    <xf numFmtId="49" fontId="43" fillId="5" borderId="47" xfId="0" applyNumberFormat="1" applyFont="1" applyFill="1" applyBorder="1" applyAlignment="1" applyProtection="1">
      <alignment horizontal="left" vertical="center"/>
    </xf>
    <xf numFmtId="0" fontId="43" fillId="5" borderId="46" xfId="0" applyNumberFormat="1" applyFont="1" applyFill="1" applyBorder="1" applyAlignment="1" applyProtection="1">
      <alignment horizontal="left" vertical="center" wrapText="1"/>
    </xf>
    <xf numFmtId="0" fontId="43" fillId="5" borderId="38" xfId="0" applyNumberFormat="1" applyFont="1" applyFill="1" applyBorder="1" applyAlignment="1" applyProtection="1">
      <alignment horizontal="left" vertical="center" wrapText="1"/>
    </xf>
    <xf numFmtId="0" fontId="68" fillId="3" borderId="47" xfId="0" applyNumberFormat="1" applyFont="1" applyFill="1" applyBorder="1" applyAlignment="1" applyProtection="1">
      <alignment horizontal="left" vertical="center" wrapText="1"/>
      <protection locked="0"/>
    </xf>
    <xf numFmtId="0" fontId="68" fillId="5" borderId="47" xfId="0" applyNumberFormat="1" applyFont="1" applyFill="1" applyBorder="1" applyAlignment="1" applyProtection="1">
      <alignment horizontal="left" vertical="center" wrapText="1"/>
    </xf>
    <xf numFmtId="0" fontId="68" fillId="3" borderId="46" xfId="0" applyNumberFormat="1" applyFont="1" applyFill="1" applyBorder="1" applyAlignment="1" applyProtection="1">
      <alignment horizontal="left" vertical="center" wrapText="1"/>
      <protection locked="0"/>
    </xf>
    <xf numFmtId="0" fontId="68" fillId="5" borderId="38" xfId="0" applyNumberFormat="1" applyFont="1" applyFill="1" applyBorder="1" applyAlignment="1" applyProtection="1">
      <alignment horizontal="left" vertical="center" wrapText="1"/>
    </xf>
    <xf numFmtId="189" fontId="44" fillId="5" borderId="41" xfId="0" applyNumberFormat="1" applyFont="1" applyFill="1" applyBorder="1" applyAlignment="1" applyProtection="1">
      <alignment horizontal="left" vertical="center"/>
    </xf>
    <xf numFmtId="0" fontId="44"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xf>
    <xf numFmtId="0" fontId="44" fillId="5" borderId="17" xfId="0" applyFont="1" applyFill="1" applyBorder="1" applyAlignment="1" applyProtection="1">
      <alignment horizontal="left" vertical="center" textRotation="255" wrapText="1"/>
    </xf>
    <xf numFmtId="49" fontId="43" fillId="5" borderId="20" xfId="0" applyNumberFormat="1" applyFont="1" applyFill="1" applyBorder="1" applyAlignment="1" applyProtection="1">
      <alignment horizontal="left" vertical="center"/>
    </xf>
    <xf numFmtId="49" fontId="43" fillId="5" borderId="48" xfId="0" applyNumberFormat="1" applyFont="1" applyFill="1" applyBorder="1" applyAlignment="1" applyProtection="1">
      <alignment horizontal="left" vertical="center"/>
    </xf>
    <xf numFmtId="0" fontId="43" fillId="5" borderId="20" xfId="0" applyNumberFormat="1" applyFont="1" applyFill="1" applyBorder="1" applyAlignment="1" applyProtection="1">
      <alignment horizontal="left" vertical="center" wrapText="1"/>
    </xf>
    <xf numFmtId="0" fontId="47" fillId="18" borderId="62" xfId="0" applyNumberFormat="1" applyFont="1" applyFill="1" applyBorder="1" applyAlignment="1" applyProtection="1">
      <alignment horizontal="left" vertical="center" wrapText="1"/>
      <protection locked="0"/>
    </xf>
    <xf numFmtId="0" fontId="43" fillId="5" borderId="48" xfId="0" applyNumberFormat="1" applyFont="1" applyFill="1" applyBorder="1" applyAlignment="1" applyProtection="1">
      <alignment horizontal="left" vertical="center" wrapText="1"/>
    </xf>
    <xf numFmtId="181" fontId="43" fillId="18" borderId="62" xfId="0" applyNumberFormat="1" applyFont="1" applyFill="1" applyBorder="1" applyAlignment="1" applyProtection="1">
      <alignment horizontal="left" vertical="center" wrapText="1"/>
      <protection locked="0"/>
    </xf>
    <xf numFmtId="49" fontId="43" fillId="0" borderId="29" xfId="0" applyNumberFormat="1" applyFont="1" applyFill="1" applyBorder="1" applyAlignment="1" applyProtection="1">
      <alignment horizontal="left" vertical="center"/>
      <protection locked="0"/>
    </xf>
    <xf numFmtId="49" fontId="43" fillId="0" borderId="30" xfId="0" applyNumberFormat="1" applyFont="1" applyFill="1" applyBorder="1" applyAlignment="1" applyProtection="1">
      <alignment horizontal="left" vertical="center"/>
      <protection locked="0"/>
    </xf>
    <xf numFmtId="0" fontId="43" fillId="5" borderId="40" xfId="0" applyNumberFormat="1" applyFont="1" applyFill="1" applyBorder="1" applyAlignment="1" applyProtection="1">
      <alignment horizontal="left" vertical="center" wrapText="1"/>
      <protection locked="0"/>
    </xf>
    <xf numFmtId="0" fontId="43" fillId="5" borderId="40" xfId="0" applyNumberFormat="1" applyFont="1" applyFill="1" applyBorder="1" applyAlignment="1" applyProtection="1">
      <alignment horizontal="left" vertical="center" wrapText="1"/>
    </xf>
    <xf numFmtId="189" fontId="44" fillId="5" borderId="43" xfId="0" applyNumberFormat="1" applyFont="1" applyFill="1" applyBorder="1" applyAlignment="1" applyProtection="1">
      <alignment horizontal="left" vertical="center" wrapText="1"/>
    </xf>
    <xf numFmtId="189" fontId="44" fillId="5" borderId="0" xfId="0" applyNumberFormat="1" applyFont="1" applyFill="1" applyAlignment="1" applyProtection="1">
      <alignment horizontal="left" vertical="center"/>
      <protection locked="0"/>
    </xf>
    <xf numFmtId="181" fontId="44" fillId="5" borderId="0" xfId="0" applyNumberFormat="1" applyFont="1" applyFill="1" applyAlignment="1" applyProtection="1">
      <alignment horizontal="left" vertical="center"/>
      <protection locked="0"/>
    </xf>
    <xf numFmtId="0" fontId="44" fillId="0" borderId="39"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181" fontId="44" fillId="5" borderId="2" xfId="0" applyNumberFormat="1" applyFont="1" applyFill="1" applyBorder="1" applyAlignment="1" applyProtection="1">
      <alignment horizontal="left" vertical="center"/>
    </xf>
    <xf numFmtId="181" fontId="44" fillId="5" borderId="3" xfId="0" applyNumberFormat="1" applyFont="1" applyFill="1" applyBorder="1" applyAlignment="1" applyProtection="1">
      <alignment horizontal="left" vertical="center"/>
    </xf>
    <xf numFmtId="0" fontId="43" fillId="5" borderId="3"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66" fillId="0" borderId="39" xfId="0" applyFont="1" applyFill="1" applyBorder="1" applyAlignment="1" applyProtection="1">
      <alignment horizontal="left" vertical="center"/>
      <protection locked="0"/>
    </xf>
    <xf numFmtId="0" fontId="66" fillId="0" borderId="0" xfId="0" applyFont="1" applyFill="1" applyAlignment="1" applyProtection="1">
      <alignment horizontal="left" vertical="center"/>
      <protection locked="0"/>
    </xf>
    <xf numFmtId="14" fontId="44" fillId="5" borderId="0" xfId="0" applyNumberFormat="1" applyFont="1" applyFill="1" applyAlignment="1" applyProtection="1">
      <alignment horizontal="left" vertical="center"/>
      <protection locked="0"/>
    </xf>
    <xf numFmtId="176" fontId="44" fillId="5" borderId="0" xfId="0" applyNumberFormat="1" applyFont="1" applyFill="1" applyAlignment="1" applyProtection="1">
      <alignment horizontal="left" vertical="center"/>
      <protection locked="0"/>
    </xf>
    <xf numFmtId="0" fontId="49" fillId="5" borderId="0" xfId="0" applyFont="1" applyFill="1" applyBorder="1" applyAlignment="1" applyProtection="1">
      <alignment horizontal="left"/>
    </xf>
    <xf numFmtId="0" fontId="44" fillId="5" borderId="0" xfId="0" applyFont="1" applyFill="1" applyBorder="1" applyAlignment="1" applyProtection="1">
      <alignment horizontal="left"/>
    </xf>
    <xf numFmtId="189" fontId="44" fillId="5" borderId="0" xfId="0" applyNumberFormat="1" applyFont="1" applyFill="1" applyBorder="1" applyAlignment="1" applyProtection="1">
      <alignment horizontal="left"/>
    </xf>
    <xf numFmtId="181" fontId="44" fillId="5" borderId="0" xfId="0" applyNumberFormat="1" applyFont="1" applyFill="1" applyBorder="1" applyAlignment="1" applyProtection="1">
      <alignment horizontal="left"/>
    </xf>
    <xf numFmtId="0" fontId="44" fillId="0" borderId="39" xfId="0" applyFont="1" applyBorder="1" applyAlignment="1" applyProtection="1">
      <alignment horizontal="left"/>
      <protection locked="0"/>
    </xf>
    <xf numFmtId="9" fontId="37" fillId="0" borderId="0" xfId="0" applyNumberFormat="1" applyFont="1" applyFill="1" applyBorder="1" applyAlignment="1" applyProtection="1">
      <alignment horizontal="left" vertical="center" wrapText="1"/>
      <protection locked="0"/>
    </xf>
    <xf numFmtId="0" fontId="39" fillId="5" borderId="5" xfId="0" applyNumberFormat="1" applyFont="1" applyFill="1" applyBorder="1" applyAlignment="1" applyProtection="1">
      <alignment horizontal="left" vertical="center" wrapText="1"/>
    </xf>
    <xf numFmtId="0" fontId="39" fillId="5" borderId="21" xfId="0" applyNumberFormat="1" applyFont="1" applyFill="1" applyBorder="1" applyAlignment="1" applyProtection="1">
      <alignment horizontal="left" vertical="center" wrapText="1"/>
    </xf>
    <xf numFmtId="190" fontId="37" fillId="5" borderId="28" xfId="0" applyNumberFormat="1" applyFont="1" applyFill="1" applyBorder="1" applyAlignment="1" applyProtection="1">
      <alignment horizontal="left" vertical="center" wrapText="1"/>
    </xf>
    <xf numFmtId="190" fontId="37" fillId="5" borderId="11" xfId="0" applyNumberFormat="1" applyFont="1" applyFill="1" applyBorder="1" applyAlignment="1" applyProtection="1">
      <alignment horizontal="left" vertical="center" wrapText="1"/>
    </xf>
    <xf numFmtId="49" fontId="37" fillId="0" borderId="39" xfId="0" applyNumberFormat="1" applyFont="1" applyFill="1" applyBorder="1" applyAlignment="1" applyProtection="1">
      <alignment horizontal="left" vertical="center"/>
      <protection locked="0"/>
    </xf>
    <xf numFmtId="49" fontId="37" fillId="0" borderId="0" xfId="0" applyNumberFormat="1" applyFont="1" applyFill="1" applyAlignment="1" applyProtection="1">
      <alignment horizontal="left" vertical="center"/>
      <protection locked="0"/>
    </xf>
    <xf numFmtId="0" fontId="39" fillId="5" borderId="39" xfId="0" applyNumberFormat="1" applyFont="1" applyFill="1" applyBorder="1" applyAlignment="1" applyProtection="1">
      <alignment horizontal="left" vertical="center" wrapText="1"/>
    </xf>
    <xf numFmtId="0" fontId="39" fillId="5" borderId="25" xfId="0" applyNumberFormat="1" applyFont="1" applyFill="1" applyBorder="1" applyAlignment="1" applyProtection="1">
      <alignment horizontal="left" vertical="center" wrapText="1"/>
    </xf>
    <xf numFmtId="0" fontId="37" fillId="5" borderId="27" xfId="0" applyNumberFormat="1" applyFont="1" applyFill="1" applyBorder="1" applyAlignment="1" applyProtection="1">
      <alignment horizontal="left" vertical="center" wrapText="1"/>
    </xf>
    <xf numFmtId="0" fontId="37" fillId="0" borderId="18" xfId="0" applyNumberFormat="1" applyFont="1" applyFill="1" applyBorder="1" applyAlignment="1" applyProtection="1">
      <alignment horizontal="left" vertical="center" wrapText="1"/>
      <protection locked="0"/>
    </xf>
    <xf numFmtId="0" fontId="37" fillId="0" borderId="35" xfId="0" applyNumberFormat="1" applyFont="1" applyFill="1" applyBorder="1" applyAlignment="1" applyProtection="1">
      <alignment horizontal="left" vertical="center" wrapText="1"/>
      <protection locked="0"/>
    </xf>
    <xf numFmtId="9" fontId="37" fillId="0" borderId="39" xfId="0" applyNumberFormat="1" applyFont="1" applyFill="1" applyBorder="1" applyAlignment="1" applyProtection="1">
      <alignment horizontal="left" vertical="center" wrapText="1"/>
      <protection locked="0"/>
    </xf>
    <xf numFmtId="0" fontId="39" fillId="5" borderId="29" xfId="0" applyNumberFormat="1" applyFont="1" applyFill="1" applyBorder="1" applyAlignment="1" applyProtection="1">
      <alignment horizontal="left" vertical="center"/>
    </xf>
    <xf numFmtId="0" fontId="39" fillId="5" borderId="70" xfId="0" applyNumberFormat="1" applyFont="1" applyFill="1" applyBorder="1" applyAlignment="1" applyProtection="1">
      <alignment horizontal="left" vertical="center" wrapText="1"/>
    </xf>
    <xf numFmtId="0" fontId="37" fillId="0" borderId="70" xfId="0" applyNumberFormat="1" applyFont="1" applyFill="1" applyBorder="1" applyAlignment="1" applyProtection="1">
      <alignment horizontal="left" vertical="center" wrapText="1"/>
      <protection locked="0"/>
    </xf>
    <xf numFmtId="0" fontId="37" fillId="0" borderId="71" xfId="0" applyNumberFormat="1" applyFont="1" applyFill="1" applyBorder="1" applyAlignment="1" applyProtection="1">
      <alignment horizontal="left" vertical="center" wrapText="1"/>
      <protection locked="0"/>
    </xf>
    <xf numFmtId="0" fontId="37" fillId="0" borderId="72"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37" fillId="5" borderId="24" xfId="0" applyNumberFormat="1" applyFont="1" applyFill="1" applyBorder="1" applyAlignment="1" applyProtection="1">
      <alignment horizontal="left" vertical="center" wrapText="1"/>
    </xf>
    <xf numFmtId="0" fontId="37" fillId="0" borderId="34" xfId="0" applyNumberFormat="1" applyFont="1" applyFill="1" applyBorder="1" applyAlignment="1" applyProtection="1">
      <alignment horizontal="left" vertical="center" wrapText="1"/>
      <protection locked="0"/>
    </xf>
    <xf numFmtId="0" fontId="37" fillId="5" borderId="0" xfId="0" applyNumberFormat="1" applyFont="1" applyFill="1" applyBorder="1" applyAlignment="1" applyProtection="1">
      <alignment horizontal="left" vertical="center" wrapText="1"/>
      <protection locked="0"/>
    </xf>
    <xf numFmtId="0" fontId="95" fillId="0" borderId="39" xfId="0" applyFont="1" applyFill="1" applyBorder="1" applyAlignment="1" applyProtection="1">
      <alignment horizontal="left" vertical="center"/>
      <protection locked="0"/>
    </xf>
    <xf numFmtId="0" fontId="37" fillId="0" borderId="27" xfId="0" applyNumberFormat="1" applyFont="1" applyFill="1" applyBorder="1" applyAlignment="1" applyProtection="1">
      <alignment horizontal="left" vertical="center" wrapText="1"/>
      <protection locked="0"/>
    </xf>
    <xf numFmtId="0" fontId="37" fillId="0" borderId="58" xfId="0" applyNumberFormat="1" applyFont="1" applyFill="1" applyBorder="1" applyAlignment="1" applyProtection="1">
      <alignment horizontal="left" vertical="center" wrapText="1"/>
      <protection locked="0"/>
    </xf>
    <xf numFmtId="0" fontId="43" fillId="5" borderId="22" xfId="0" applyNumberFormat="1" applyFont="1" applyFill="1" applyBorder="1" applyAlignment="1" applyProtection="1">
      <alignment horizontal="left" vertical="center" wrapText="1"/>
    </xf>
    <xf numFmtId="0" fontId="37" fillId="5" borderId="57" xfId="0" applyNumberFormat="1" applyFont="1" applyFill="1" applyBorder="1" applyAlignment="1" applyProtection="1">
      <alignment horizontal="left" vertical="center" wrapText="1"/>
    </xf>
    <xf numFmtId="0" fontId="44" fillId="5" borderId="1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left" vertical="center" wrapText="1"/>
      <protection locked="0"/>
    </xf>
    <xf numFmtId="0" fontId="66" fillId="5" borderId="0" xfId="0" applyNumberFormat="1" applyFont="1" applyFill="1" applyBorder="1" applyAlignment="1" applyProtection="1">
      <alignment horizontal="left" vertical="center" wrapText="1"/>
      <protection locked="0"/>
    </xf>
    <xf numFmtId="0" fontId="37" fillId="0" borderId="39" xfId="0"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wrapText="1"/>
    </xf>
    <xf numFmtId="0" fontId="42" fillId="5" borderId="74" xfId="0" applyNumberFormat="1" applyFont="1" applyFill="1" applyBorder="1" applyAlignment="1" applyProtection="1">
      <alignment horizontal="left" vertical="center" wrapText="1"/>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37" fillId="5" borderId="54" xfId="0" applyNumberFormat="1" applyFont="1" applyFill="1" applyBorder="1" applyAlignment="1" applyProtection="1">
      <alignment horizontal="left" vertical="center" wrapText="1"/>
    </xf>
    <xf numFmtId="0" fontId="44"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left" vertical="center" wrapText="1"/>
    </xf>
    <xf numFmtId="0" fontId="37" fillId="5" borderId="74"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37" fillId="5" borderId="49" xfId="0" applyNumberFormat="1" applyFont="1" applyFill="1" applyBorder="1" applyAlignment="1" applyProtection="1">
      <alignment horizontal="left" vertical="center" wrapText="1"/>
    </xf>
    <xf numFmtId="0" fontId="44" fillId="5" borderId="17" xfId="0" applyNumberFormat="1" applyFont="1" applyFill="1" applyBorder="1" applyAlignment="1" applyProtection="1">
      <alignment horizontal="left" vertical="center" wrapText="1"/>
    </xf>
    <xf numFmtId="0" fontId="42" fillId="5" borderId="49"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wrapText="1"/>
    </xf>
    <xf numFmtId="0" fontId="42" fillId="0" borderId="3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protection locked="0"/>
    </xf>
    <xf numFmtId="9" fontId="42" fillId="0" borderId="0" xfId="0" applyNumberFormat="1" applyFont="1" applyFill="1" applyBorder="1" applyAlignment="1" applyProtection="1">
      <alignment horizontal="left" vertical="center"/>
      <protection locked="0"/>
    </xf>
    <xf numFmtId="0" fontId="42" fillId="0" borderId="75" xfId="0" applyNumberFormat="1" applyFont="1" applyFill="1" applyBorder="1" applyAlignment="1" applyProtection="1">
      <alignment horizontal="left" vertical="center" wrapText="1"/>
      <protection locked="0"/>
    </xf>
    <xf numFmtId="0" fontId="42" fillId="0" borderId="76"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left" vertical="center" wrapText="1"/>
      <protection locked="0"/>
    </xf>
    <xf numFmtId="0" fontId="67" fillId="5" borderId="42" xfId="0" applyNumberFormat="1" applyFont="1" applyFill="1" applyBorder="1" applyAlignment="1" applyProtection="1">
      <alignment horizontal="left" vertical="center" wrapText="1"/>
    </xf>
    <xf numFmtId="0" fontId="37" fillId="5" borderId="71" xfId="0" applyNumberFormat="1" applyFont="1" applyFill="1" applyBorder="1" applyAlignment="1" applyProtection="1">
      <alignment horizontal="left" vertical="center" wrapText="1"/>
    </xf>
    <xf numFmtId="0" fontId="37" fillId="0" borderId="61"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37"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39" fillId="5" borderId="26" xfId="0" applyNumberFormat="1" applyFont="1" applyFill="1" applyBorder="1" applyAlignment="1" applyProtection="1">
      <alignment horizontal="left" vertical="center" wrapText="1"/>
    </xf>
    <xf numFmtId="0" fontId="37" fillId="0" borderId="33" xfId="0" applyNumberFormat="1" applyFont="1" applyFill="1" applyBorder="1" applyAlignment="1" applyProtection="1">
      <alignment horizontal="left" vertical="center" wrapText="1"/>
      <protection locked="0"/>
    </xf>
    <xf numFmtId="0" fontId="37" fillId="5" borderId="75" xfId="0" applyNumberFormat="1" applyFont="1" applyFill="1" applyBorder="1" applyAlignment="1" applyProtection="1">
      <alignment horizontal="left" vertical="center" wrapText="1"/>
    </xf>
    <xf numFmtId="0" fontId="37" fillId="0" borderId="83" xfId="0" applyNumberFormat="1" applyFont="1" applyFill="1" applyBorder="1" applyAlignment="1" applyProtection="1">
      <alignment horizontal="left" vertical="center"/>
      <protection locked="0"/>
    </xf>
    <xf numFmtId="0" fontId="66" fillId="0" borderId="33"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textRotation="255" wrapText="1"/>
    </xf>
    <xf numFmtId="0" fontId="37" fillId="5" borderId="60"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textRotation="255" wrapText="1"/>
    </xf>
    <xf numFmtId="0" fontId="42" fillId="5" borderId="33" xfId="0" applyNumberFormat="1" applyFont="1" applyFill="1" applyBorder="1" applyAlignment="1" applyProtection="1">
      <alignment horizontal="left" vertical="center" wrapText="1"/>
    </xf>
    <xf numFmtId="0" fontId="3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left" vertical="center" wrapText="1"/>
    </xf>
    <xf numFmtId="189"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95" fillId="5" borderId="5" xfId="0" applyFont="1" applyFill="1" applyBorder="1" applyAlignment="1" applyProtection="1">
      <alignment horizontal="left" vertical="center"/>
      <protection locked="0"/>
    </xf>
    <xf numFmtId="0" fontId="51" fillId="5" borderId="37"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protection locked="0"/>
    </xf>
    <xf numFmtId="0" fontId="44" fillId="5" borderId="79" xfId="0" applyFont="1" applyFill="1" applyBorder="1" applyAlignment="1" applyProtection="1">
      <alignment horizontal="left" vertical="center"/>
      <protection locked="0"/>
    </xf>
    <xf numFmtId="0" fontId="95" fillId="5" borderId="37" xfId="0" applyFont="1" applyFill="1" applyBorder="1" applyAlignment="1" applyProtection="1">
      <alignment horizontal="left" vertical="center"/>
      <protection locked="0"/>
    </xf>
    <xf numFmtId="0" fontId="51" fillId="5" borderId="79" xfId="0" applyFont="1" applyFill="1" applyBorder="1" applyAlignment="1" applyProtection="1">
      <alignment horizontal="left" vertical="center"/>
      <protection locked="0"/>
    </xf>
    <xf numFmtId="0" fontId="51" fillId="5" borderId="63" xfId="0" applyFont="1" applyFill="1" applyBorder="1" applyAlignment="1" applyProtection="1">
      <alignment horizontal="left" vertical="center"/>
    </xf>
    <xf numFmtId="0" fontId="95" fillId="5" borderId="1"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95" fillId="5" borderId="95" xfId="0" applyFont="1" applyFill="1" applyBorder="1" applyAlignment="1" applyProtection="1">
      <alignment horizontal="left" vertical="center"/>
    </xf>
    <xf numFmtId="0" fontId="95" fillId="5" borderId="6" xfId="0" applyFont="1" applyFill="1" applyBorder="1" applyAlignment="1" applyProtection="1">
      <alignment horizontal="left" vertical="center"/>
    </xf>
    <xf numFmtId="0" fontId="51" fillId="5" borderId="65" xfId="0" applyFont="1" applyFill="1" applyBorder="1" applyAlignment="1" applyProtection="1">
      <alignment horizontal="left" vertical="center"/>
    </xf>
    <xf numFmtId="0" fontId="51" fillId="5" borderId="23" xfId="0" applyFont="1" applyFill="1" applyBorder="1" applyAlignment="1" applyProtection="1">
      <alignment horizontal="left" vertical="center"/>
    </xf>
    <xf numFmtId="0" fontId="51" fillId="0" borderId="17" xfId="0" applyFont="1" applyBorder="1" applyAlignment="1" applyProtection="1">
      <alignment horizontal="left" vertical="center"/>
      <protection locked="0"/>
    </xf>
    <xf numFmtId="0" fontId="95" fillId="0" borderId="17" xfId="0" applyFont="1" applyBorder="1" applyAlignment="1" applyProtection="1">
      <alignment horizontal="left" vertical="center"/>
      <protection locked="0"/>
    </xf>
    <xf numFmtId="0" fontId="51" fillId="0" borderId="64" xfId="0" applyFont="1" applyBorder="1" applyAlignment="1" applyProtection="1">
      <alignment horizontal="left" vertical="center"/>
      <protection locked="0"/>
    </xf>
    <xf numFmtId="0" fontId="51" fillId="0" borderId="97" xfId="0" applyFont="1" applyFill="1" applyBorder="1" applyAlignment="1" applyProtection="1">
      <alignment horizontal="left" vertical="center"/>
      <protection locked="0"/>
    </xf>
    <xf numFmtId="0" fontId="51" fillId="0" borderId="34" xfId="0" applyFont="1" applyBorder="1" applyAlignment="1" applyProtection="1">
      <alignment horizontal="left" vertical="center"/>
      <protection locked="0"/>
    </xf>
    <xf numFmtId="0" fontId="95" fillId="5" borderId="24" xfId="0" applyFont="1" applyFill="1" applyBorder="1" applyAlignment="1" applyProtection="1">
      <alignment horizontal="left" vertical="center"/>
    </xf>
    <xf numFmtId="187" fontId="51" fillId="5" borderId="34" xfId="0" applyNumberFormat="1" applyFont="1" applyFill="1" applyBorder="1" applyAlignment="1" applyProtection="1">
      <alignment horizontal="left" vertical="center"/>
    </xf>
    <xf numFmtId="0" fontId="51" fillId="5" borderId="7" xfId="0" applyFont="1" applyFill="1" applyBorder="1" applyAlignment="1" applyProtection="1">
      <alignment horizontal="left" vertical="center"/>
    </xf>
    <xf numFmtId="0" fontId="51" fillId="0" borderId="1" xfId="0"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0" borderId="95" xfId="0" applyFont="1" applyFill="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95" fillId="5" borderId="3" xfId="0" applyFont="1" applyFill="1" applyBorder="1" applyAlignment="1" applyProtection="1">
      <alignment horizontal="left" vertical="center"/>
    </xf>
    <xf numFmtId="0" fontId="51" fillId="5" borderId="1" xfId="0" applyFont="1" applyFill="1" applyBorder="1" applyAlignment="1" applyProtection="1">
      <alignment horizontal="left" vertical="center"/>
    </xf>
    <xf numFmtId="0" fontId="51" fillId="5" borderId="6" xfId="0" applyFont="1" applyFill="1" applyBorder="1" applyAlignment="1" applyProtection="1">
      <alignment horizontal="left" vertical="center"/>
    </xf>
    <xf numFmtId="178" fontId="51" fillId="5" borderId="6" xfId="0" applyNumberFormat="1" applyFont="1" applyFill="1" applyBorder="1" applyAlignment="1" applyProtection="1">
      <alignment horizontal="left" vertical="center"/>
    </xf>
    <xf numFmtId="178" fontId="51" fillId="0" borderId="6" xfId="0" applyNumberFormat="1" applyFont="1" applyBorder="1" applyAlignment="1" applyProtection="1">
      <alignment horizontal="left" vertical="center"/>
      <protection locked="0"/>
    </xf>
    <xf numFmtId="0" fontId="95" fillId="0" borderId="95" xfId="0" applyFont="1" applyFill="1" applyBorder="1" applyAlignment="1" applyProtection="1">
      <alignment horizontal="left" vertical="center"/>
      <protection locked="0"/>
    </xf>
    <xf numFmtId="0" fontId="95" fillId="5" borderId="8" xfId="0" applyFont="1" applyFill="1" applyBorder="1" applyAlignment="1" applyProtection="1">
      <alignment horizontal="left" vertical="center"/>
    </xf>
    <xf numFmtId="0" fontId="51" fillId="5" borderId="61" xfId="0" applyFont="1" applyFill="1" applyBorder="1" applyAlignment="1" applyProtection="1">
      <alignment horizontal="left" vertical="center"/>
    </xf>
    <xf numFmtId="0" fontId="51" fillId="5" borderId="40" xfId="0" applyFont="1" applyFill="1" applyBorder="1" applyAlignment="1" applyProtection="1">
      <alignment horizontal="left" vertical="center"/>
    </xf>
    <xf numFmtId="0" fontId="44" fillId="5" borderId="40" xfId="0" applyFont="1" applyFill="1" applyBorder="1" applyAlignment="1" applyProtection="1">
      <alignment horizontal="left" vertical="center"/>
    </xf>
    <xf numFmtId="0" fontId="44" fillId="5" borderId="30" xfId="0" applyFont="1" applyFill="1" applyBorder="1" applyAlignment="1" applyProtection="1">
      <alignment horizontal="left" vertical="center"/>
    </xf>
    <xf numFmtId="0" fontId="95" fillId="5" borderId="56" xfId="0" applyFont="1" applyFill="1" applyBorder="1" applyAlignment="1" applyProtection="1">
      <alignment horizontal="left" vertical="center"/>
    </xf>
    <xf numFmtId="0" fontId="51" fillId="0" borderId="61" xfId="0" applyFont="1" applyBorder="1" applyAlignment="1" applyProtection="1">
      <alignment horizontal="left" vertical="center"/>
      <protection locked="0"/>
    </xf>
    <xf numFmtId="178" fontId="51" fillId="5" borderId="43" xfId="0" applyNumberFormat="1" applyFont="1" applyFill="1" applyBorder="1" applyAlignment="1" applyProtection="1">
      <alignment horizontal="left" vertical="center"/>
    </xf>
    <xf numFmtId="0" fontId="97" fillId="5" borderId="35" xfId="0" applyFont="1" applyFill="1" applyBorder="1" applyAlignment="1" applyProtection="1">
      <alignment horizontal="left" vertical="center"/>
    </xf>
    <xf numFmtId="0" fontId="55" fillId="5" borderId="36" xfId="0" applyFont="1" applyFill="1" applyBorder="1" applyAlignment="1" applyProtection="1">
      <alignment horizontal="left" vertical="center"/>
    </xf>
    <xf numFmtId="0" fontId="55" fillId="5" borderId="0" xfId="0" applyFont="1" applyFill="1" applyAlignment="1" applyProtection="1">
      <alignment horizontal="left" vertical="center"/>
    </xf>
    <xf numFmtId="0" fontId="63" fillId="5" borderId="36" xfId="0" applyFont="1" applyFill="1" applyBorder="1" applyAlignment="1" applyProtection="1">
      <alignment horizontal="left" vertical="center"/>
    </xf>
    <xf numFmtId="189" fontId="55" fillId="5" borderId="36" xfId="0" applyNumberFormat="1" applyFont="1" applyFill="1" applyBorder="1" applyAlignment="1" applyProtection="1">
      <alignment horizontal="left" vertical="center"/>
    </xf>
    <xf numFmtId="181" fontId="55" fillId="5" borderId="36" xfId="0" applyNumberFormat="1"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0" fillId="5" borderId="1" xfId="1" applyFont="1" applyFill="1" applyBorder="1" applyAlignment="1" applyProtection="1">
      <alignment horizontal="left" vertical="center"/>
    </xf>
    <xf numFmtId="177" fontId="50" fillId="5" borderId="1" xfId="0" applyNumberFormat="1" applyFont="1" applyFill="1" applyBorder="1" applyAlignment="1" applyProtection="1">
      <alignment horizontal="left" vertical="center"/>
    </xf>
    <xf numFmtId="186" fontId="50" fillId="5" borderId="18" xfId="0" applyNumberFormat="1"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7" fillId="5" borderId="0" xfId="0" applyFont="1" applyFill="1" applyAlignment="1" applyProtection="1">
      <alignment horizontal="left" vertical="center"/>
    </xf>
    <xf numFmtId="189" fontId="37" fillId="5" borderId="3" xfId="0" applyNumberFormat="1" applyFont="1" applyFill="1" applyBorder="1" applyAlignment="1" applyProtection="1">
      <alignment horizontal="left" vertical="center" wrapText="1"/>
    </xf>
    <xf numFmtId="184" fontId="37" fillId="0" borderId="9" xfId="0" applyNumberFormat="1" applyFont="1" applyFill="1" applyBorder="1" applyAlignment="1" applyProtection="1">
      <alignment horizontal="left" vertical="center" wrapText="1"/>
      <protection locked="0"/>
    </xf>
    <xf numFmtId="0" fontId="37" fillId="5" borderId="3" xfId="0" applyNumberFormat="1" applyFont="1" applyFill="1" applyBorder="1" applyAlignment="1" applyProtection="1">
      <alignment horizontal="left" vertical="center" wrapText="1"/>
    </xf>
    <xf numFmtId="0" fontId="37" fillId="2" borderId="46"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xf>
    <xf numFmtId="0" fontId="54" fillId="0" borderId="3"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37" fillId="5" borderId="10" xfId="0" applyFont="1" applyFill="1" applyBorder="1" applyAlignment="1" applyProtection="1">
      <alignment horizontal="left" vertical="center" wrapText="1"/>
    </xf>
    <xf numFmtId="49" fontId="44" fillId="5" borderId="21" xfId="0" applyNumberFormat="1" applyFont="1" applyFill="1" applyBorder="1" applyAlignment="1" applyProtection="1">
      <alignment horizontal="left" vertical="center" wrapText="1"/>
    </xf>
    <xf numFmtId="0" fontId="44" fillId="5" borderId="77" xfId="0" applyFont="1" applyFill="1" applyBorder="1" applyAlignment="1" applyProtection="1">
      <alignment horizontal="left" vertical="center"/>
    </xf>
    <xf numFmtId="0" fontId="44" fillId="2" borderId="24" xfId="0" applyNumberFormat="1"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xf>
    <xf numFmtId="49" fontId="44" fillId="5" borderId="27" xfId="0" applyNumberFormat="1" applyFont="1" applyFill="1" applyBorder="1" applyAlignment="1" applyProtection="1">
      <alignment horizontal="left" vertical="center" wrapText="1"/>
    </xf>
    <xf numFmtId="0" fontId="37" fillId="5" borderId="45" xfId="0" applyFont="1" applyFill="1" applyBorder="1" applyAlignment="1" applyProtection="1">
      <alignment horizontal="left" vertical="center" wrapText="1"/>
    </xf>
    <xf numFmtId="0" fontId="44" fillId="2" borderId="25" xfId="0" applyNumberFormat="1" applyFont="1" applyFill="1" applyBorder="1" applyAlignment="1" applyProtection="1">
      <alignment horizontal="left" vertical="center" wrapText="1"/>
      <protection locked="0"/>
    </xf>
    <xf numFmtId="0" fontId="44" fillId="5" borderId="27" xfId="0" applyNumberFormat="1" applyFont="1" applyFill="1" applyBorder="1" applyAlignment="1" applyProtection="1">
      <alignment horizontal="left" vertical="center" wrapText="1"/>
    </xf>
    <xf numFmtId="0" fontId="37" fillId="5" borderId="77" xfId="0" applyFont="1" applyFill="1" applyBorder="1" applyAlignment="1" applyProtection="1">
      <alignment horizontal="left" vertical="center" wrapText="1"/>
    </xf>
    <xf numFmtId="0" fontId="44" fillId="5" borderId="51" xfId="0" applyNumberFormat="1" applyFont="1" applyFill="1" applyBorder="1" applyAlignment="1" applyProtection="1">
      <alignment horizontal="left" vertical="center" wrapText="1"/>
    </xf>
    <xf numFmtId="0" fontId="44" fillId="2" borderId="51"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37" fillId="2" borderId="65" xfId="0" applyNumberFormat="1" applyFont="1" applyFill="1" applyBorder="1" applyAlignment="1" applyProtection="1">
      <alignment horizontal="left" vertical="center" wrapText="1"/>
      <protection locked="0"/>
    </xf>
    <xf numFmtId="0" fontId="39" fillId="5" borderId="39" xfId="0" applyFont="1" applyFill="1" applyBorder="1" applyAlignment="1" applyProtection="1">
      <alignment horizontal="left" vertical="center" wrapText="1"/>
    </xf>
    <xf numFmtId="0" fontId="44" fillId="5" borderId="25" xfId="0" applyNumberFormat="1" applyFont="1" applyFill="1" applyBorder="1" applyAlignment="1" applyProtection="1">
      <alignment horizontal="left" vertical="center" wrapText="1"/>
    </xf>
    <xf numFmtId="0" fontId="51" fillId="5" borderId="3" xfId="0" applyNumberFormat="1" applyFont="1" applyFill="1" applyBorder="1" applyAlignment="1" applyProtection="1">
      <alignment horizontal="left" vertical="center" wrapText="1"/>
    </xf>
    <xf numFmtId="0" fontId="37" fillId="5" borderId="86" xfId="0" applyFont="1" applyFill="1" applyBorder="1" applyAlignment="1" applyProtection="1">
      <alignment horizontal="left" vertical="center" wrapText="1"/>
    </xf>
    <xf numFmtId="0" fontId="44" fillId="2" borderId="19"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xf>
    <xf numFmtId="0" fontId="44" fillId="0" borderId="86" xfId="0" applyFont="1" applyFill="1" applyBorder="1" applyAlignment="1" applyProtection="1">
      <alignment horizontal="left" vertical="center"/>
      <protection locked="0"/>
    </xf>
    <xf numFmtId="0" fontId="67" fillId="5" borderId="29" xfId="0" applyFont="1" applyFill="1" applyBorder="1" applyAlignment="1" applyProtection="1">
      <alignment horizontal="left" vertical="center" textRotation="255" wrapText="1"/>
    </xf>
    <xf numFmtId="0" fontId="42" fillId="0" borderId="123" xfId="0" applyFont="1" applyFill="1" applyBorder="1" applyAlignment="1" applyProtection="1">
      <alignment horizontal="left" vertical="center"/>
      <protection locked="0"/>
    </xf>
    <xf numFmtId="0" fontId="44" fillId="0" borderId="56" xfId="0" applyNumberFormat="1" applyFont="1" applyFill="1" applyBorder="1" applyAlignment="1" applyProtection="1">
      <alignment horizontal="left" vertical="center" wrapText="1"/>
      <protection locked="0"/>
    </xf>
    <xf numFmtId="0" fontId="37" fillId="5" borderId="43" xfId="0" applyNumberFormat="1" applyFont="1" applyFill="1" applyBorder="1" applyAlignment="1" applyProtection="1">
      <alignment horizontal="left" vertical="center" wrapText="1"/>
    </xf>
    <xf numFmtId="0" fontId="44" fillId="0" borderId="8"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9" fontId="37" fillId="2" borderId="19" xfId="0" applyNumberFormat="1" applyFont="1" applyFill="1" applyBorder="1" applyAlignment="1" applyProtection="1">
      <alignment horizontal="left" vertical="center" wrapText="1"/>
      <protection locked="0"/>
    </xf>
    <xf numFmtId="0" fontId="44" fillId="0" borderId="2" xfId="0" applyFont="1" applyFill="1" applyBorder="1" applyAlignment="1" applyProtection="1">
      <alignment horizontal="left" vertical="center"/>
      <protection locked="0"/>
    </xf>
    <xf numFmtId="0" fontId="42" fillId="0" borderId="20" xfId="0" applyNumberFormat="1" applyFont="1" applyFill="1" applyBorder="1" applyAlignment="1" applyProtection="1">
      <alignment horizontal="left" vertical="center" wrapText="1"/>
      <protection locked="0"/>
    </xf>
    <xf numFmtId="0" fontId="69" fillId="5" borderId="3" xfId="0" applyNumberFormat="1" applyFont="1" applyFill="1" applyBorder="1" applyAlignment="1" applyProtection="1">
      <alignment horizontal="left" vertical="center" wrapText="1"/>
    </xf>
    <xf numFmtId="49" fontId="43" fillId="2" borderId="31" xfId="0" applyNumberFormat="1" applyFont="1" applyFill="1" applyBorder="1" applyAlignment="1" applyProtection="1">
      <alignment horizontal="left" vertical="center"/>
      <protection locked="0"/>
    </xf>
    <xf numFmtId="0" fontId="43" fillId="5" borderId="47" xfId="0" applyFont="1" applyFill="1" applyBorder="1" applyAlignment="1" applyProtection="1">
      <alignment horizontal="left" vertical="center" wrapText="1"/>
    </xf>
    <xf numFmtId="0" fontId="43" fillId="5" borderId="38" xfId="0" applyFont="1" applyFill="1" applyBorder="1" applyAlignment="1" applyProtection="1">
      <alignment horizontal="left" vertical="center" wrapText="1"/>
    </xf>
    <xf numFmtId="0" fontId="68" fillId="3" borderId="47" xfId="0" applyFont="1" applyFill="1" applyBorder="1" applyAlignment="1" applyProtection="1">
      <alignment horizontal="left" vertical="center" wrapText="1"/>
      <protection locked="0"/>
    </xf>
    <xf numFmtId="0" fontId="68" fillId="5" borderId="47" xfId="0" applyFont="1" applyFill="1" applyBorder="1" applyAlignment="1" applyProtection="1">
      <alignment horizontal="left" vertical="center" wrapText="1"/>
    </xf>
    <xf numFmtId="0" fontId="68" fillId="3" borderId="46" xfId="0" applyFont="1" applyFill="1" applyBorder="1" applyAlignment="1" applyProtection="1">
      <alignment horizontal="left" vertical="center" wrapText="1"/>
      <protection locked="0"/>
    </xf>
    <xf numFmtId="0" fontId="68" fillId="5" borderId="38" xfId="0" applyFont="1" applyFill="1" applyBorder="1" applyAlignment="1" applyProtection="1">
      <alignment horizontal="left" vertical="center" wrapText="1"/>
    </xf>
    <xf numFmtId="189" fontId="44" fillId="5" borderId="3" xfId="0" applyNumberFormat="1" applyFont="1" applyFill="1" applyBorder="1" applyAlignment="1" applyProtection="1">
      <alignment horizontal="left" vertical="center"/>
    </xf>
    <xf numFmtId="49" fontId="43" fillId="5" borderId="62" xfId="0" applyNumberFormat="1" applyFont="1" applyFill="1" applyBorder="1" applyAlignment="1" applyProtection="1">
      <alignment horizontal="left" vertical="center"/>
    </xf>
    <xf numFmtId="186" fontId="43" fillId="5" borderId="48" xfId="0" applyNumberFormat="1" applyFont="1" applyFill="1" applyBorder="1" applyAlignment="1" applyProtection="1">
      <alignment horizontal="left" vertical="center" wrapText="1"/>
    </xf>
    <xf numFmtId="186" fontId="43" fillId="5" borderId="20" xfId="0" applyNumberFormat="1" applyFont="1" applyFill="1" applyBorder="1" applyAlignment="1" applyProtection="1">
      <alignment horizontal="left" vertical="center" wrapText="1"/>
    </xf>
    <xf numFmtId="186" fontId="43" fillId="5" borderId="40" xfId="0" applyNumberFormat="1" applyFont="1" applyFill="1" applyBorder="1" applyAlignment="1" applyProtection="1">
      <alignment horizontal="left" vertical="center" wrapText="1"/>
    </xf>
    <xf numFmtId="189" fontId="44" fillId="5" borderId="1" xfId="0" applyNumberFormat="1" applyFont="1" applyFill="1" applyBorder="1" applyAlignment="1" applyProtection="1">
      <alignment horizontal="left" vertical="center" wrapText="1"/>
    </xf>
    <xf numFmtId="176" fontId="44" fillId="5" borderId="11" xfId="0" applyNumberFormat="1" applyFont="1" applyFill="1" applyBorder="1" applyAlignment="1" applyProtection="1">
      <alignment horizontal="left" vertical="center"/>
    </xf>
    <xf numFmtId="0" fontId="44" fillId="6" borderId="11"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wrapText="1"/>
      <protection locked="0"/>
    </xf>
    <xf numFmtId="0" fontId="44" fillId="5" borderId="11"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189" fontId="44" fillId="5" borderId="0" xfId="0" applyNumberFormat="1" applyFont="1" applyFill="1" applyAlignment="1" applyProtection="1">
      <alignment horizontal="left" vertical="center"/>
    </xf>
    <xf numFmtId="0" fontId="46" fillId="5" borderId="7" xfId="0" applyFont="1" applyFill="1" applyBorder="1" applyAlignment="1" applyProtection="1">
      <alignment horizontal="left"/>
    </xf>
    <xf numFmtId="186" fontId="46" fillId="5" borderId="1" xfId="1" applyNumberFormat="1" applyFont="1" applyFill="1" applyBorder="1" applyAlignment="1" applyProtection="1">
      <alignment horizontal="left"/>
    </xf>
    <xf numFmtId="0" fontId="70" fillId="5" borderId="1" xfId="0" applyFont="1" applyFill="1" applyBorder="1" applyAlignment="1" applyProtection="1">
      <alignment horizontal="left" vertical="center"/>
      <protection locked="0"/>
    </xf>
    <xf numFmtId="179" fontId="46" fillId="0" borderId="1" xfId="1" applyNumberFormat="1" applyFont="1" applyFill="1" applyBorder="1" applyAlignment="1" applyProtection="1">
      <alignment horizontal="left"/>
      <protection locked="0"/>
    </xf>
    <xf numFmtId="177" fontId="46" fillId="5" borderId="6" xfId="1" applyNumberFormat="1" applyFont="1" applyFill="1" applyBorder="1" applyAlignment="1" applyProtection="1">
      <alignment horizontal="left"/>
    </xf>
    <xf numFmtId="0" fontId="98" fillId="5" borderId="1" xfId="0" applyFont="1" applyFill="1" applyBorder="1" applyAlignment="1" applyProtection="1">
      <alignment horizontal="left" vertical="center"/>
    </xf>
    <xf numFmtId="0" fontId="70" fillId="0" borderId="0" xfId="0" applyFont="1" applyFill="1" applyAlignment="1" applyProtection="1">
      <alignment horizontal="left" vertical="center"/>
      <protection locked="0"/>
    </xf>
    <xf numFmtId="0" fontId="46" fillId="5" borderId="7" xfId="1" applyFont="1" applyFill="1" applyBorder="1" applyAlignment="1" applyProtection="1">
      <alignment horizontal="left"/>
    </xf>
    <xf numFmtId="0" fontId="46" fillId="5" borderId="1" xfId="1" applyFont="1" applyFill="1" applyBorder="1" applyAlignment="1" applyProtection="1">
      <alignment horizontal="left"/>
    </xf>
    <xf numFmtId="9" fontId="70" fillId="6" borderId="1" xfId="0" applyNumberFormat="1" applyFont="1" applyFill="1" applyBorder="1" applyAlignment="1" applyProtection="1">
      <alignment horizontal="left" vertical="center"/>
      <protection locked="0"/>
    </xf>
    <xf numFmtId="0" fontId="98" fillId="0" borderId="1" xfId="0" applyFont="1" applyFill="1" applyBorder="1" applyAlignment="1" applyProtection="1">
      <alignment horizontal="left" vertical="center"/>
      <protection locked="0"/>
    </xf>
    <xf numFmtId="0" fontId="47" fillId="5" borderId="8" xfId="1" applyFont="1" applyFill="1" applyBorder="1" applyAlignment="1" applyProtection="1">
      <alignment horizontal="left"/>
    </xf>
    <xf numFmtId="0" fontId="46" fillId="5" borderId="61" xfId="0" applyFont="1" applyFill="1" applyBorder="1" applyAlignment="1" applyProtection="1">
      <alignment horizontal="left"/>
    </xf>
    <xf numFmtId="177" fontId="47" fillId="5" borderId="43" xfId="0" applyNumberFormat="1" applyFont="1" applyFill="1" applyBorder="1" applyAlignment="1" applyProtection="1">
      <alignment horizontal="left"/>
    </xf>
    <xf numFmtId="0" fontId="46" fillId="5" borderId="0" xfId="0" applyFont="1" applyFill="1" applyAlignment="1" applyProtection="1">
      <alignment horizontal="left"/>
    </xf>
    <xf numFmtId="14" fontId="44" fillId="5" borderId="0" xfId="0" applyNumberFormat="1" applyFont="1" applyFill="1" applyAlignment="1" applyProtection="1">
      <alignment horizontal="left" vertical="center"/>
    </xf>
    <xf numFmtId="0" fontId="44" fillId="0" borderId="0" xfId="0" applyFont="1" applyFill="1" applyAlignment="1" applyProtection="1">
      <alignment horizontal="left" vertical="center"/>
    </xf>
    <xf numFmtId="0" fontId="44" fillId="5" borderId="0" xfId="0" applyFont="1" applyFill="1" applyBorder="1" applyAlignment="1" applyProtection="1">
      <alignment horizontal="left"/>
      <protection locked="0"/>
    </xf>
    <xf numFmtId="189" fontId="44" fillId="5" borderId="0" xfId="0" applyNumberFormat="1" applyFont="1" applyFill="1" applyBorder="1" applyAlignment="1" applyProtection="1">
      <alignment horizontal="left"/>
      <protection locked="0"/>
    </xf>
    <xf numFmtId="181" fontId="44" fillId="5"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0" fontId="39" fillId="5" borderId="5" xfId="0" applyNumberFormat="1" applyFont="1" applyFill="1" applyBorder="1" applyAlignment="1" applyProtection="1">
      <alignment horizontal="left" vertical="center"/>
    </xf>
    <xf numFmtId="0" fontId="39" fillId="5" borderId="21" xfId="0" applyNumberFormat="1" applyFont="1" applyFill="1" applyBorder="1" applyAlignment="1" applyProtection="1">
      <alignment horizontal="left" vertical="center"/>
    </xf>
    <xf numFmtId="0" fontId="37" fillId="5" borderId="28"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left" vertical="center"/>
    </xf>
    <xf numFmtId="49" fontId="37" fillId="0" borderId="0" xfId="0" applyNumberFormat="1" applyFont="1" applyFill="1" applyAlignment="1" applyProtection="1">
      <alignment horizontal="left" vertical="center"/>
    </xf>
    <xf numFmtId="0" fontId="39" fillId="6" borderId="7" xfId="0" applyNumberFormat="1" applyFont="1" applyFill="1" applyBorder="1" applyAlignment="1" applyProtection="1">
      <alignment horizontal="left" vertical="center" wrapText="1"/>
      <protection locked="0"/>
    </xf>
    <xf numFmtId="10" fontId="39" fillId="5" borderId="1"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protection locked="0"/>
    </xf>
    <xf numFmtId="0" fontId="37" fillId="0" borderId="41" xfId="0" applyNumberFormat="1" applyFont="1" applyFill="1" applyBorder="1" applyAlignment="1" applyProtection="1">
      <alignment horizontal="left" vertical="center" wrapText="1"/>
      <protection locked="0"/>
    </xf>
    <xf numFmtId="0" fontId="37" fillId="0" borderId="30" xfId="0" applyNumberFormat="1" applyFont="1" applyFill="1" applyBorder="1" applyAlignment="1" applyProtection="1">
      <alignment horizontal="left" vertical="center" wrapText="1"/>
      <protection locked="0"/>
    </xf>
    <xf numFmtId="0" fontId="95" fillId="0" borderId="0"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37" fillId="5" borderId="33" xfId="0" applyNumberFormat="1" applyFont="1" applyFill="1" applyBorder="1" applyAlignment="1" applyProtection="1">
      <alignment horizontal="left" vertical="center" wrapText="1"/>
    </xf>
    <xf numFmtId="0" fontId="44" fillId="0" borderId="18" xfId="0" applyNumberFormat="1" applyFont="1" applyFill="1" applyBorder="1" applyAlignment="1" applyProtection="1">
      <alignment horizontal="left" vertical="center" wrapText="1"/>
      <protection locked="0"/>
    </xf>
    <xf numFmtId="0" fontId="44" fillId="0" borderId="58" xfId="0" applyNumberFormat="1" applyFont="1" applyFill="1" applyBorder="1" applyAlignment="1" applyProtection="1">
      <alignment horizontal="left" vertical="center" wrapText="1"/>
      <protection locked="0"/>
    </xf>
    <xf numFmtId="0" fontId="95" fillId="5" borderId="31" xfId="0" applyNumberFormat="1" applyFont="1" applyFill="1" applyBorder="1" applyAlignment="1" applyProtection="1">
      <alignment horizontal="left" vertical="center" wrapText="1"/>
    </xf>
    <xf numFmtId="0" fontId="42" fillId="5" borderId="71"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8"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98" fillId="0" borderId="0" xfId="0" applyFont="1" applyAlignment="1" applyProtection="1">
      <alignment horizontal="left" vertical="center"/>
    </xf>
    <xf numFmtId="0" fontId="40" fillId="5" borderId="26"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73" fillId="18" borderId="3" xfId="0" applyFont="1" applyFill="1" applyBorder="1" applyAlignment="1" applyProtection="1">
      <alignment horizontal="left" vertical="center" wrapText="1"/>
      <protection locked="0"/>
    </xf>
    <xf numFmtId="0" fontId="97" fillId="5" borderId="46" xfId="1" applyFont="1" applyFill="1" applyBorder="1" applyAlignment="1" applyProtection="1">
      <alignment horizontal="left" vertical="center"/>
    </xf>
    <xf numFmtId="0" fontId="50" fillId="5" borderId="47" xfId="1" applyFont="1" applyFill="1" applyBorder="1" applyAlignment="1" applyProtection="1">
      <alignment horizontal="left" vertical="center"/>
    </xf>
    <xf numFmtId="0" fontId="50" fillId="5" borderId="37" xfId="1" applyFont="1" applyFill="1" applyBorder="1" applyAlignment="1" applyProtection="1">
      <alignment horizontal="left" vertical="center"/>
    </xf>
    <xf numFmtId="0" fontId="46" fillId="5" borderId="0" xfId="0" applyFont="1" applyFill="1" applyAlignment="1" applyProtection="1">
      <alignment horizontal="left" vertical="center" wrapText="1"/>
    </xf>
    <xf numFmtId="0" fontId="95" fillId="5" borderId="4" xfId="0" applyNumberFormat="1" applyFont="1" applyFill="1" applyBorder="1" applyAlignment="1" applyProtection="1">
      <alignment horizontal="left" vertical="center"/>
    </xf>
    <xf numFmtId="0" fontId="95" fillId="5" borderId="13" xfId="0" applyNumberFormat="1" applyFont="1" applyFill="1" applyBorder="1" applyAlignment="1" applyProtection="1">
      <alignment horizontal="left" vertical="center"/>
    </xf>
    <xf numFmtId="10" fontId="46" fillId="5" borderId="31" xfId="0" applyNumberFormat="1" applyFont="1" applyFill="1" applyBorder="1" applyAlignment="1" applyProtection="1">
      <alignment horizontal="left" vertical="center" wrapText="1"/>
    </xf>
    <xf numFmtId="0" fontId="51" fillId="5" borderId="1" xfId="6"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50" fillId="5" borderId="2" xfId="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protection locked="0"/>
    </xf>
    <xf numFmtId="49" fontId="46" fillId="5" borderId="1" xfId="0" applyNumberFormat="1" applyFont="1" applyFill="1" applyBorder="1" applyAlignment="1" applyProtection="1">
      <alignment horizontal="left" vertical="center" wrapText="1"/>
    </xf>
    <xf numFmtId="0" fontId="46" fillId="5" borderId="0" xfId="0" applyNumberFormat="1" applyFont="1" applyFill="1" applyAlignment="1" applyProtection="1">
      <alignment horizontal="left" vertical="center" wrapText="1"/>
    </xf>
    <xf numFmtId="0" fontId="95" fillId="5" borderId="7" xfId="0" applyNumberFormat="1" applyFont="1" applyFill="1" applyBorder="1" applyAlignment="1" applyProtection="1">
      <alignment horizontal="left" vertical="center"/>
    </xf>
    <xf numFmtId="0" fontId="95" fillId="5" borderId="2" xfId="0" applyNumberFormat="1" applyFont="1" applyFill="1" applyBorder="1" applyAlignment="1" applyProtection="1">
      <alignment horizontal="left" vertical="center"/>
    </xf>
    <xf numFmtId="10" fontId="46" fillId="5" borderId="6" xfId="0" applyNumberFormat="1" applyFont="1" applyFill="1" applyBorder="1" applyAlignment="1" applyProtection="1">
      <alignment horizontal="left" vertical="center" wrapText="1"/>
    </xf>
    <xf numFmtId="0" fontId="51" fillId="0" borderId="1" xfId="6" applyFont="1" applyFill="1" applyBorder="1" applyAlignment="1" applyProtection="1">
      <alignment horizontal="left" vertical="center" wrapText="1"/>
      <protection locked="0"/>
    </xf>
    <xf numFmtId="179" fontId="44" fillId="5" borderId="1" xfId="0" applyNumberFormat="1" applyFont="1" applyFill="1" applyBorder="1" applyAlignment="1" applyProtection="1">
      <alignment horizontal="left" vertical="center" wrapText="1"/>
    </xf>
    <xf numFmtId="177" fontId="44" fillId="0" borderId="1" xfId="0" applyNumberFormat="1" applyFont="1" applyFill="1" applyBorder="1" applyAlignment="1" applyProtection="1">
      <alignment horizontal="left" vertical="center" wrapText="1"/>
      <protection locked="0"/>
    </xf>
    <xf numFmtId="0" fontId="43" fillId="5" borderId="44" xfId="0" applyFont="1" applyFill="1" applyBorder="1" applyAlignment="1" applyProtection="1">
      <alignment horizontal="left" vertical="center"/>
    </xf>
    <xf numFmtId="0" fontId="175" fillId="5" borderId="44" xfId="0" applyFont="1" applyFill="1" applyBorder="1" applyAlignment="1" applyProtection="1">
      <alignment horizontal="left" vertical="center"/>
    </xf>
    <xf numFmtId="0" fontId="43" fillId="5" borderId="44" xfId="0" applyFont="1" applyFill="1" applyBorder="1" applyAlignment="1" applyProtection="1">
      <alignment horizontal="left" vertical="center" wrapText="1"/>
    </xf>
    <xf numFmtId="0" fontId="44" fillId="5" borderId="36" xfId="0" applyFont="1" applyFill="1" applyBorder="1" applyAlignment="1" applyProtection="1">
      <alignment horizontal="left" vertical="center" wrapText="1"/>
    </xf>
    <xf numFmtId="0" fontId="44" fillId="5" borderId="0" xfId="6" applyFont="1" applyFill="1" applyAlignment="1" applyProtection="1">
      <alignment horizontal="left" vertical="center" wrapText="1"/>
      <protection locked="0"/>
    </xf>
    <xf numFmtId="0" fontId="44" fillId="8" borderId="0" xfId="6" applyFont="1" applyFill="1" applyAlignment="1" applyProtection="1">
      <alignment horizontal="left" vertical="center" wrapText="1"/>
    </xf>
    <xf numFmtId="0" fontId="44" fillId="0" borderId="0" xfId="6" applyFont="1" applyAlignment="1" applyProtection="1">
      <alignment horizontal="left" vertical="center" wrapText="1"/>
    </xf>
    <xf numFmtId="0" fontId="44" fillId="0" borderId="0" xfId="0" applyFont="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xf>
    <xf numFmtId="0" fontId="114" fillId="5" borderId="14" xfId="0" applyFont="1" applyFill="1" applyBorder="1" applyAlignment="1" applyProtection="1">
      <alignment horizontal="left" vertical="center"/>
    </xf>
    <xf numFmtId="0" fontId="46" fillId="5" borderId="66" xfId="0"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47" fillId="5" borderId="13"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xf>
    <xf numFmtId="0" fontId="46" fillId="5" borderId="79" xfId="0" applyFont="1" applyFill="1" applyBorder="1" applyAlignment="1" applyProtection="1">
      <alignment horizontal="left" vertical="center" wrapText="1"/>
    </xf>
    <xf numFmtId="0" fontId="46" fillId="5" borderId="3" xfId="6" applyFont="1" applyFill="1" applyBorder="1" applyAlignment="1" applyProtection="1">
      <alignment horizontal="left" vertical="center" wrapText="1"/>
      <protection locked="0"/>
    </xf>
    <xf numFmtId="0" fontId="46" fillId="5" borderId="1" xfId="6" applyFont="1" applyFill="1" applyBorder="1" applyAlignment="1" applyProtection="1">
      <alignment horizontal="left" vertical="center" wrapText="1"/>
      <protection locked="0"/>
    </xf>
    <xf numFmtId="179" fontId="46" fillId="5" borderId="1" xfId="6" applyNumberFormat="1"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5" borderId="64"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51" xfId="0" applyFont="1" applyFill="1" applyBorder="1" applyAlignment="1" applyProtection="1">
      <alignment horizontal="left" vertical="center" wrapText="1"/>
    </xf>
    <xf numFmtId="0" fontId="46" fillId="5" borderId="41" xfId="0" applyFont="1" applyFill="1" applyBorder="1" applyAlignment="1" applyProtection="1">
      <alignment horizontal="left" vertical="center" wrapText="1"/>
    </xf>
    <xf numFmtId="0" fontId="98" fillId="5" borderId="1" xfId="6" applyFont="1" applyFill="1" applyBorder="1" applyAlignment="1" applyProtection="1">
      <alignment horizontal="left" vertical="center"/>
    </xf>
    <xf numFmtId="9" fontId="46" fillId="5" borderId="1" xfId="0" applyNumberFormat="1" applyFont="1" applyFill="1" applyBorder="1" applyAlignment="1" applyProtection="1">
      <alignment horizontal="left" vertical="center" wrapText="1"/>
    </xf>
    <xf numFmtId="186" fontId="98" fillId="5" borderId="1" xfId="6" applyNumberFormat="1" applyFont="1" applyFill="1" applyBorder="1" applyAlignment="1" applyProtection="1">
      <alignment horizontal="left" vertical="center"/>
    </xf>
    <xf numFmtId="177" fontId="114" fillId="0" borderId="1" xfId="6" applyNumberFormat="1" applyFont="1" applyFill="1" applyBorder="1" applyAlignment="1" applyProtection="1">
      <alignment horizontal="left" vertical="center"/>
    </xf>
    <xf numFmtId="177" fontId="114" fillId="5" borderId="1" xfId="6" applyNumberFormat="1" applyFont="1" applyFill="1" applyBorder="1" applyAlignment="1" applyProtection="1">
      <alignment horizontal="left" vertical="center"/>
    </xf>
    <xf numFmtId="187" fontId="114" fillId="5" borderId="1" xfId="6" applyNumberFormat="1"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36" xfId="0" applyFont="1" applyFill="1" applyBorder="1" applyAlignment="1" applyProtection="1">
      <alignment horizontal="left" vertical="center" wrapText="1"/>
    </xf>
    <xf numFmtId="0" fontId="46" fillId="5" borderId="80" xfId="0" applyFont="1" applyFill="1" applyBorder="1" applyAlignment="1" applyProtection="1">
      <alignment horizontal="left" vertical="center" wrapText="1"/>
    </xf>
    <xf numFmtId="0" fontId="46" fillId="5" borderId="1" xfId="6" applyFont="1" applyFill="1" applyBorder="1" applyAlignment="1" applyProtection="1">
      <alignment horizontal="left" vertical="center" wrapText="1"/>
    </xf>
    <xf numFmtId="0" fontId="46" fillId="5" borderId="1" xfId="6" applyNumberFormat="1" applyFont="1" applyFill="1" applyBorder="1" applyAlignment="1" applyProtection="1">
      <alignment horizontal="left" vertical="center" wrapText="1"/>
    </xf>
    <xf numFmtId="0" fontId="46" fillId="5" borderId="13"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95" fillId="5" borderId="8" xfId="0" applyNumberFormat="1" applyFont="1" applyFill="1" applyBorder="1" applyAlignment="1" applyProtection="1">
      <alignment horizontal="left" vertical="center"/>
    </xf>
    <xf numFmtId="0" fontId="95" fillId="5" borderId="44" xfId="0" applyNumberFormat="1" applyFont="1" applyFill="1" applyBorder="1" applyAlignment="1" applyProtection="1">
      <alignment horizontal="left" vertical="center"/>
    </xf>
    <xf numFmtId="10" fontId="46" fillId="5" borderId="43" xfId="0" applyNumberFormat="1" applyFont="1" applyFill="1" applyBorder="1" applyAlignment="1" applyProtection="1">
      <alignment horizontal="left" vertical="center" wrapText="1"/>
    </xf>
    <xf numFmtId="0" fontId="98" fillId="5" borderId="1" xfId="6" applyFont="1" applyFill="1" applyBorder="1" applyAlignment="1" applyProtection="1">
      <alignment horizontal="left" vertical="center" wrapText="1"/>
    </xf>
    <xf numFmtId="0" fontId="98" fillId="5" borderId="3"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protection locked="0"/>
    </xf>
    <xf numFmtId="0" fontId="46" fillId="0" borderId="6" xfId="0" applyFont="1" applyFill="1" applyBorder="1" applyAlignment="1" applyProtection="1">
      <alignment horizontal="left" vertical="center" wrapText="1"/>
      <protection locked="0"/>
    </xf>
    <xf numFmtId="0" fontId="98" fillId="6" borderId="3" xfId="0" applyFont="1" applyFill="1" applyBorder="1" applyAlignment="1" applyProtection="1">
      <alignment horizontal="left" vertical="center" wrapText="1"/>
      <protection locked="0"/>
    </xf>
    <xf numFmtId="0" fontId="98" fillId="6" borderId="1" xfId="0" applyFont="1" applyFill="1" applyBorder="1" applyAlignment="1" applyProtection="1">
      <alignment horizontal="left" vertical="center" wrapText="1"/>
      <protection locked="0"/>
    </xf>
    <xf numFmtId="0" fontId="98" fillId="6" borderId="17"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left" vertical="center"/>
    </xf>
    <xf numFmtId="0" fontId="46" fillId="5" borderId="0" xfId="0" applyFont="1" applyFill="1" applyBorder="1" applyAlignment="1" applyProtection="1">
      <alignment horizontal="left" vertical="center" wrapText="1"/>
    </xf>
    <xf numFmtId="0" fontId="114" fillId="5" borderId="65" xfId="0" applyFont="1" applyFill="1" applyBorder="1" applyAlignment="1" applyProtection="1">
      <alignment horizontal="left" vertical="center"/>
    </xf>
    <xf numFmtId="0" fontId="114" fillId="5" borderId="6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0" borderId="61" xfId="0" applyFont="1" applyFill="1" applyBorder="1" applyAlignment="1" applyProtection="1">
      <alignment horizontal="left" vertical="center" wrapText="1"/>
      <protection locked="0"/>
    </xf>
    <xf numFmtId="0" fontId="46" fillId="0" borderId="43" xfId="0" applyFont="1" applyFill="1" applyBorder="1" applyAlignment="1" applyProtection="1">
      <alignment horizontal="left" vertical="center" wrapText="1"/>
      <protection locked="0"/>
    </xf>
    <xf numFmtId="0" fontId="46" fillId="6" borderId="11" xfId="0" applyFont="1" applyFill="1" applyBorder="1" applyAlignment="1" applyProtection="1">
      <alignment horizontal="left" vertical="center" wrapText="1"/>
      <protection locked="0"/>
    </xf>
    <xf numFmtId="0" fontId="46" fillId="6" borderId="13"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5" borderId="71" xfId="0" applyFont="1" applyFill="1" applyBorder="1" applyAlignment="1" applyProtection="1">
      <alignment horizontal="left" vertical="center" wrapText="1"/>
    </xf>
    <xf numFmtId="0" fontId="46" fillId="5" borderId="44" xfId="0" applyFont="1" applyFill="1" applyBorder="1" applyAlignment="1" applyProtection="1">
      <alignment horizontal="left" vertical="center" wrapText="1"/>
    </xf>
    <xf numFmtId="0" fontId="46" fillId="6" borderId="61" xfId="0" applyFont="1" applyFill="1" applyBorder="1" applyAlignment="1" applyProtection="1">
      <alignment horizontal="left" vertical="center" wrapText="1"/>
      <protection locked="0"/>
    </xf>
    <xf numFmtId="0" fontId="46" fillId="5" borderId="72" xfId="0" applyFont="1" applyFill="1" applyBorder="1" applyAlignment="1" applyProtection="1">
      <alignment horizontal="left" vertical="center" wrapText="1"/>
    </xf>
    <xf numFmtId="0" fontId="46" fillId="5" borderId="73"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3" fillId="5" borderId="72"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xf>
    <xf numFmtId="0" fontId="44" fillId="5" borderId="40" xfId="0" applyFont="1" applyFill="1" applyBorder="1" applyAlignment="1" applyProtection="1">
      <alignment horizontal="left" vertical="center" wrapText="1"/>
    </xf>
    <xf numFmtId="0" fontId="44" fillId="5" borderId="30"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187" fontId="43" fillId="5" borderId="84" xfId="0" applyNumberFormat="1" applyFont="1" applyFill="1" applyBorder="1" applyAlignment="1" applyProtection="1">
      <alignment horizontal="left" vertical="center" wrapText="1"/>
    </xf>
    <xf numFmtId="0" fontId="44" fillId="5" borderId="84" xfId="0" applyFont="1" applyFill="1" applyBorder="1" applyAlignment="1" applyProtection="1">
      <alignment horizontal="left" vertical="center" wrapText="1"/>
    </xf>
    <xf numFmtId="14" fontId="44" fillId="5" borderId="84" xfId="0" applyNumberFormat="1" applyFont="1" applyFill="1" applyBorder="1" applyAlignment="1" applyProtection="1">
      <alignment horizontal="left" vertical="center" wrapText="1"/>
    </xf>
    <xf numFmtId="14" fontId="44" fillId="5" borderId="66" xfId="0" applyNumberFormat="1" applyFont="1" applyFill="1" applyBorder="1" applyAlignment="1" applyProtection="1">
      <alignment horizontal="left" vertical="center" wrapText="1"/>
    </xf>
    <xf numFmtId="0" fontId="44" fillId="6" borderId="84" xfId="6" applyFont="1" applyFill="1" applyBorder="1" applyAlignment="1" applyProtection="1">
      <alignment horizontal="left" vertical="center" wrapText="1"/>
      <protection locked="0"/>
    </xf>
    <xf numFmtId="10" fontId="44" fillId="5" borderId="66" xfId="0" applyNumberFormat="1" applyFont="1" applyFill="1" applyBorder="1" applyAlignment="1" applyProtection="1">
      <alignment horizontal="left" vertical="center" wrapText="1"/>
    </xf>
    <xf numFmtId="0" fontId="44" fillId="5" borderId="81" xfId="0" applyFont="1" applyFill="1" applyBorder="1" applyAlignment="1" applyProtection="1">
      <alignment horizontal="left" vertical="center" wrapText="1"/>
    </xf>
    <xf numFmtId="0" fontId="51" fillId="5" borderId="31" xfId="0" applyFont="1" applyFill="1" applyBorder="1" applyAlignment="1" applyProtection="1">
      <alignment horizontal="left" vertical="center" wrapText="1"/>
    </xf>
    <xf numFmtId="0" fontId="46" fillId="5" borderId="55" xfId="0" applyFont="1" applyFill="1" applyBorder="1" applyAlignment="1" applyProtection="1">
      <alignment horizontal="left" vertical="center" wrapText="1"/>
    </xf>
    <xf numFmtId="0" fontId="98" fillId="5" borderId="15" xfId="0" applyFont="1" applyFill="1" applyBorder="1" applyAlignment="1" applyProtection="1">
      <alignment horizontal="left" vertical="center" wrapText="1"/>
    </xf>
    <xf numFmtId="10" fontId="46" fillId="8" borderId="0" xfId="0" applyNumberFormat="1" applyFont="1" applyFill="1" applyAlignment="1" applyProtection="1">
      <alignment horizontal="left" vertical="center" wrapText="1"/>
      <protection locked="0"/>
    </xf>
    <xf numFmtId="10" fontId="46" fillId="0" borderId="0" xfId="0" applyNumberFormat="1" applyFont="1" applyAlignment="1" applyProtection="1">
      <alignment horizontal="left" vertical="center" wrapText="1"/>
    </xf>
    <xf numFmtId="187" fontId="43" fillId="5" borderId="57" xfId="0" applyNumberFormat="1"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181" fontId="46" fillId="5" borderId="57" xfId="0" applyNumberFormat="1" applyFont="1" applyFill="1" applyBorder="1" applyAlignment="1" applyProtection="1">
      <alignment horizontal="left" vertical="center" wrapText="1"/>
    </xf>
    <xf numFmtId="181" fontId="98" fillId="5" borderId="57"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59"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51" fillId="5" borderId="43" xfId="0" applyFont="1" applyFill="1" applyBorder="1" applyAlignment="1" applyProtection="1">
      <alignment horizontal="left" vertical="center" wrapText="1"/>
    </xf>
    <xf numFmtId="0" fontId="44" fillId="5" borderId="5" xfId="6" applyFont="1" applyFill="1" applyBorder="1" applyAlignment="1" applyProtection="1">
      <alignment horizontal="left" vertical="center" wrapText="1"/>
      <protection locked="0"/>
    </xf>
    <xf numFmtId="0" fontId="44" fillId="5" borderId="11" xfId="6" applyFont="1" applyFill="1" applyBorder="1" applyAlignment="1" applyProtection="1">
      <alignment horizontal="left" vertical="center" wrapText="1"/>
      <protection locked="0"/>
    </xf>
    <xf numFmtId="0" fontId="44" fillId="5" borderId="79" xfId="6" applyFont="1" applyFill="1" applyBorder="1" applyAlignment="1" applyProtection="1">
      <alignment horizontal="left" vertical="center"/>
      <protection locked="0"/>
    </xf>
    <xf numFmtId="0" fontId="43" fillId="5" borderId="4"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0" fontId="44" fillId="5" borderId="37" xfId="0" applyFont="1" applyFill="1" applyBorder="1" applyAlignment="1" applyProtection="1">
      <alignment horizontal="left" vertical="center" wrapText="1"/>
    </xf>
    <xf numFmtId="0" fontId="44" fillId="5" borderId="7" xfId="6" applyFont="1" applyFill="1" applyBorder="1" applyAlignment="1" applyProtection="1">
      <alignment horizontal="left" vertical="center" wrapText="1"/>
    </xf>
    <xf numFmtId="10" fontId="44" fillId="0" borderId="3" xfId="6" applyNumberFormat="1" applyFont="1" applyFill="1" applyBorder="1" applyAlignment="1" applyProtection="1">
      <alignment horizontal="left" vertical="center" wrapText="1"/>
      <protection locked="0"/>
    </xf>
    <xf numFmtId="10" fontId="46" fillId="5" borderId="6" xfId="6" applyNumberFormat="1"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7" fontId="46" fillId="5" borderId="49" xfId="0" applyNumberFormat="1" applyFont="1" applyFill="1" applyBorder="1" applyAlignment="1" applyProtection="1">
      <alignment horizontal="left" vertical="center" wrapText="1"/>
    </xf>
    <xf numFmtId="187" fontId="46" fillId="5" borderId="60" xfId="0" applyNumberFormat="1"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187" fontId="43" fillId="5" borderId="61" xfId="0" applyNumberFormat="1" applyFont="1" applyFill="1" applyBorder="1" applyAlignment="1" applyProtection="1">
      <alignment horizontal="left" vertical="center" wrapText="1"/>
    </xf>
    <xf numFmtId="0" fontId="46" fillId="5" borderId="48" xfId="0" applyFont="1" applyFill="1" applyBorder="1" applyAlignment="1" applyProtection="1">
      <alignment horizontal="left" vertical="center"/>
    </xf>
    <xf numFmtId="0" fontId="44"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wrapText="1"/>
    </xf>
    <xf numFmtId="0" fontId="44" fillId="5" borderId="8" xfId="6" applyFont="1" applyFill="1" applyBorder="1" applyAlignment="1" applyProtection="1">
      <alignment horizontal="left" vertical="center" wrapText="1"/>
    </xf>
    <xf numFmtId="10" fontId="44" fillId="0" borderId="56" xfId="6" applyNumberFormat="1" applyFont="1" applyFill="1" applyBorder="1" applyAlignment="1" applyProtection="1">
      <alignment horizontal="left" vertical="center" wrapText="1"/>
      <protection locked="0"/>
    </xf>
    <xf numFmtId="10" fontId="46" fillId="5" borderId="43" xfId="6" applyNumberFormat="1"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9" fontId="46" fillId="5" borderId="6" xfId="0" applyNumberFormat="1"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9" fontId="46" fillId="5" borderId="8" xfId="0" applyNumberFormat="1" applyFont="1" applyFill="1" applyBorder="1" applyAlignment="1" applyProtection="1">
      <alignment horizontal="left" vertical="center" wrapText="1"/>
    </xf>
    <xf numFmtId="10" fontId="46" fillId="5" borderId="61" xfId="0" applyNumberFormat="1"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0" borderId="1" xfId="0" applyFont="1" applyBorder="1" applyAlignment="1" applyProtection="1">
      <alignment horizontal="left" vertical="center" wrapText="1"/>
      <protection locked="0"/>
    </xf>
    <xf numFmtId="0" fontId="98" fillId="5" borderId="2" xfId="0" applyFont="1" applyFill="1" applyBorder="1" applyAlignment="1" applyProtection="1">
      <alignment horizontal="left" vertical="center"/>
    </xf>
    <xf numFmtId="0" fontId="98" fillId="5" borderId="51" xfId="0" applyFont="1" applyFill="1" applyBorder="1" applyAlignment="1" applyProtection="1">
      <alignment horizontal="left" vertical="center"/>
    </xf>
    <xf numFmtId="0" fontId="98" fillId="5" borderId="41" xfId="0" applyFont="1" applyFill="1" applyBorder="1" applyAlignment="1" applyProtection="1">
      <alignment horizontal="left" vertical="center"/>
    </xf>
    <xf numFmtId="0" fontId="47" fillId="5" borderId="42" xfId="0" applyFont="1" applyFill="1" applyBorder="1" applyAlignment="1" applyProtection="1">
      <alignment horizontal="left" vertical="center" wrapText="1"/>
    </xf>
    <xf numFmtId="0" fontId="46" fillId="0" borderId="61" xfId="0" applyFont="1" applyBorder="1" applyAlignment="1" applyProtection="1">
      <alignment horizontal="left" vertical="center" wrapText="1"/>
      <protection locked="0"/>
    </xf>
    <xf numFmtId="0" fontId="46" fillId="5" borderId="61" xfId="0" applyFont="1" applyFill="1" applyBorder="1" applyAlignment="1" applyProtection="1">
      <alignment horizontal="left" vertical="center"/>
    </xf>
    <xf numFmtId="0" fontId="46" fillId="5" borderId="48" xfId="0" applyFont="1" applyFill="1" applyBorder="1" applyAlignment="1" applyProtection="1">
      <alignment horizontal="left" vertical="center" wrapText="1"/>
    </xf>
    <xf numFmtId="0" fontId="46" fillId="5" borderId="62" xfId="0"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6" fillId="5" borderId="47" xfId="0" applyFont="1" applyFill="1" applyBorder="1" applyAlignment="1" applyProtection="1">
      <alignment horizontal="left" vertical="center"/>
    </xf>
    <xf numFmtId="0" fontId="46" fillId="5" borderId="28" xfId="0" applyFont="1" applyFill="1" applyBorder="1" applyAlignment="1" applyProtection="1">
      <alignment horizontal="left" vertical="center"/>
    </xf>
    <xf numFmtId="0" fontId="47" fillId="5" borderId="24" xfId="0" applyFont="1" applyFill="1" applyBorder="1" applyAlignment="1" applyProtection="1">
      <alignment horizontal="left" vertical="center" wrapText="1"/>
    </xf>
    <xf numFmtId="0" fontId="98" fillId="5" borderId="24"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xf>
    <xf numFmtId="0" fontId="46" fillId="5" borderId="7" xfId="0" applyFont="1" applyFill="1" applyBorder="1" applyAlignment="1" applyProtection="1">
      <alignment horizontal="left" vertical="center"/>
    </xf>
    <xf numFmtId="9" fontId="46" fillId="5" borderId="6" xfId="0" applyNumberFormat="1" applyFont="1" applyFill="1" applyBorder="1" applyAlignment="1" applyProtection="1">
      <alignment horizontal="left" vertical="center"/>
    </xf>
    <xf numFmtId="0" fontId="98" fillId="5" borderId="56"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9" fontId="46" fillId="5" borderId="43" xfId="0" applyNumberFormat="1" applyFont="1" applyFill="1" applyBorder="1" applyAlignment="1" applyProtection="1">
      <alignment horizontal="left" vertical="center" wrapText="1"/>
    </xf>
    <xf numFmtId="0" fontId="46"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98" fillId="5" borderId="1"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107" fillId="5" borderId="0" xfId="0" applyFont="1" applyFill="1" applyAlignment="1" applyProtection="1">
      <alignment horizontal="left" vertical="center"/>
    </xf>
    <xf numFmtId="187" fontId="95" fillId="5" borderId="0" xfId="0" applyNumberFormat="1" applyFont="1" applyFill="1" applyAlignment="1" applyProtection="1">
      <alignment horizontal="left" vertical="center" wrapText="1"/>
    </xf>
    <xf numFmtId="0" fontId="107" fillId="5" borderId="46" xfId="0" applyFont="1" applyFill="1" applyBorder="1" applyAlignment="1" applyProtection="1">
      <alignment horizontal="left" vertical="center"/>
    </xf>
    <xf numFmtId="187" fontId="185" fillId="5" borderId="37" xfId="0" applyNumberFormat="1" applyFont="1" applyFill="1" applyBorder="1" applyAlignment="1" applyProtection="1">
      <alignment horizontal="left" vertical="center" wrapText="1"/>
    </xf>
    <xf numFmtId="0" fontId="95" fillId="5" borderId="37" xfId="0" applyFont="1" applyFill="1" applyBorder="1" applyAlignment="1" applyProtection="1">
      <alignment horizontal="left" vertical="center"/>
    </xf>
    <xf numFmtId="0" fontId="107" fillId="5" borderId="47" xfId="0" applyFont="1" applyFill="1" applyBorder="1" applyAlignment="1" applyProtection="1">
      <alignment horizontal="left" vertical="center"/>
    </xf>
    <xf numFmtId="0" fontId="107" fillId="5" borderId="38" xfId="0"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0" fontId="46" fillId="5" borderId="0" xfId="0" applyFont="1" applyFill="1" applyAlignment="1" applyProtection="1">
      <alignment horizontal="left" vertical="center" wrapText="1"/>
      <protection locked="0"/>
    </xf>
    <xf numFmtId="0" fontId="98" fillId="5" borderId="7"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114" fillId="5" borderId="1" xfId="0" applyFont="1" applyFill="1" applyBorder="1" applyAlignment="1" applyProtection="1">
      <alignment horizontal="left" vertical="center" wrapText="1"/>
    </xf>
    <xf numFmtId="49" fontId="98" fillId="5" borderId="1" xfId="0" applyNumberFormat="1" applyFont="1" applyFill="1" applyBorder="1" applyAlignment="1" applyProtection="1">
      <alignment horizontal="left" vertical="center" wrapText="1"/>
    </xf>
    <xf numFmtId="10" fontId="98" fillId="5" borderId="1" xfId="0" applyNumberFormat="1" applyFont="1" applyFill="1" applyBorder="1" applyAlignment="1" applyProtection="1">
      <alignment horizontal="left" vertical="center" wrapText="1"/>
    </xf>
    <xf numFmtId="10" fontId="46" fillId="5" borderId="58" xfId="0" applyNumberFormat="1" applyFont="1" applyFill="1" applyBorder="1" applyAlignment="1" applyProtection="1">
      <alignment horizontal="left" vertical="center" wrapText="1"/>
    </xf>
    <xf numFmtId="10" fontId="46" fillId="5" borderId="0" xfId="0" applyNumberFormat="1" applyFont="1" applyFill="1" applyBorder="1" applyAlignment="1" applyProtection="1">
      <alignment horizontal="left" vertical="center" wrapText="1"/>
    </xf>
    <xf numFmtId="10" fontId="95" fillId="0" borderId="1" xfId="0" applyNumberFormat="1" applyFont="1" applyBorder="1" applyAlignment="1" applyProtection="1">
      <alignment horizontal="left" vertical="center"/>
      <protection locked="0"/>
    </xf>
    <xf numFmtId="10" fontId="95" fillId="5" borderId="1" xfId="0" applyNumberFormat="1" applyFont="1" applyFill="1" applyBorder="1" applyAlignment="1" applyProtection="1">
      <alignment horizontal="left" vertical="center"/>
    </xf>
    <xf numFmtId="9" fontId="98" fillId="5" borderId="1" xfId="0" applyNumberFormat="1"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98" fillId="5" borderId="1" xfId="0" applyNumberFormat="1" applyFont="1" applyFill="1" applyBorder="1" applyAlignment="1" applyProtection="1">
      <alignment horizontal="left" vertical="center" wrapText="1"/>
    </xf>
    <xf numFmtId="10" fontId="46" fillId="5" borderId="50" xfId="0" applyNumberFormat="1" applyFont="1" applyFill="1" applyBorder="1" applyAlignment="1" applyProtection="1">
      <alignment horizontal="left" vertical="center" wrapText="1"/>
    </xf>
    <xf numFmtId="0" fontId="236" fillId="0" borderId="1" xfId="0" applyNumberFormat="1" applyFont="1" applyFill="1" applyBorder="1" applyAlignment="1" applyProtection="1">
      <alignment horizontal="left" vertical="center" wrapText="1"/>
      <protection locked="0"/>
    </xf>
    <xf numFmtId="0" fontId="236" fillId="0" borderId="18" xfId="0" applyNumberFormat="1" applyFont="1" applyFill="1" applyBorder="1" applyAlignment="1" applyProtection="1">
      <alignment horizontal="left" vertical="center" wrapText="1"/>
      <protection locked="0"/>
    </xf>
    <xf numFmtId="0" fontId="98" fillId="5" borderId="19" xfId="0" applyFont="1" applyFill="1" applyBorder="1" applyAlignment="1" applyProtection="1">
      <alignment horizontal="left" vertical="center" wrapText="1"/>
    </xf>
    <xf numFmtId="0" fontId="98" fillId="5" borderId="18"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49" fontId="98" fillId="5" borderId="71" xfId="0" applyNumberFormat="1" applyFont="1" applyFill="1" applyBorder="1" applyAlignment="1" applyProtection="1">
      <alignment horizontal="left" vertical="center" wrapText="1"/>
    </xf>
    <xf numFmtId="10" fontId="46" fillId="5" borderId="73" xfId="0" applyNumberFormat="1" applyFont="1" applyFill="1" applyBorder="1" applyAlignment="1" applyProtection="1">
      <alignment horizontal="left" vertical="center" wrapText="1"/>
    </xf>
    <xf numFmtId="9" fontId="98" fillId="5" borderId="61" xfId="0" applyNumberFormat="1" applyFont="1" applyFill="1" applyBorder="1" applyAlignment="1" applyProtection="1">
      <alignment horizontal="left" vertical="center" wrapText="1"/>
    </xf>
    <xf numFmtId="0" fontId="185" fillId="5" borderId="37" xfId="0" applyNumberFormat="1" applyFont="1" applyFill="1" applyBorder="1" applyAlignment="1" applyProtection="1">
      <alignment horizontal="left" vertical="center" wrapText="1"/>
    </xf>
    <xf numFmtId="49" fontId="98" fillId="5" borderId="61" xfId="0" applyNumberFormat="1" applyFont="1" applyFill="1" applyBorder="1" applyAlignment="1" applyProtection="1">
      <alignment horizontal="left" vertical="center" wrapText="1"/>
    </xf>
    <xf numFmtId="0" fontId="98" fillId="0" borderId="61" xfId="0" applyNumberFormat="1" applyFont="1" applyFill="1" applyBorder="1" applyAlignment="1" applyProtection="1">
      <alignment horizontal="left" vertical="center" wrapText="1"/>
      <protection locked="0"/>
    </xf>
    <xf numFmtId="0" fontId="98" fillId="5" borderId="61" xfId="0" applyNumberFormat="1" applyFont="1" applyFill="1" applyBorder="1" applyAlignment="1" applyProtection="1">
      <alignment horizontal="left" vertical="center" wrapText="1"/>
    </xf>
    <xf numFmtId="0" fontId="98" fillId="6" borderId="61" xfId="0" applyFont="1" applyFill="1" applyBorder="1" applyAlignment="1" applyProtection="1">
      <alignment horizontal="left" vertical="center" wrapText="1"/>
      <protection locked="0"/>
    </xf>
    <xf numFmtId="10" fontId="98" fillId="5" borderId="61" xfId="0" applyNumberFormat="1"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5" borderId="1" xfId="0" applyFont="1" applyFill="1" applyBorder="1" applyAlignment="1" applyProtection="1">
      <alignment horizontal="left" vertical="center"/>
    </xf>
    <xf numFmtId="0" fontId="98" fillId="5" borderId="3" xfId="0" applyFont="1" applyFill="1" applyBorder="1" applyAlignment="1" applyProtection="1">
      <alignment horizontal="left" vertical="center"/>
    </xf>
    <xf numFmtId="186" fontId="98" fillId="5" borderId="1" xfId="0" applyNumberFormat="1" applyFont="1" applyFill="1" applyBorder="1" applyAlignment="1" applyProtection="1">
      <alignment horizontal="left" vertical="center"/>
    </xf>
    <xf numFmtId="187" fontId="98" fillId="5" borderId="1" xfId="0" applyNumberFormat="1" applyFont="1" applyFill="1" applyBorder="1" applyAlignment="1" applyProtection="1">
      <alignment horizontal="left" vertical="center"/>
    </xf>
    <xf numFmtId="177" fontId="114" fillId="5" borderId="1" xfId="0" applyNumberFormat="1" applyFont="1" applyFill="1" applyBorder="1" applyAlignment="1" applyProtection="1">
      <alignment horizontal="left" vertical="center"/>
    </xf>
    <xf numFmtId="187" fontId="114" fillId="5" borderId="1" xfId="0" applyNumberFormat="1" applyFont="1" applyFill="1" applyBorder="1" applyAlignment="1" applyProtection="1">
      <alignment horizontal="left" vertical="center" wrapText="1"/>
    </xf>
    <xf numFmtId="186" fontId="98" fillId="5" borderId="17" xfId="0" applyNumberFormat="1" applyFont="1" applyFill="1" applyBorder="1" applyAlignment="1" applyProtection="1">
      <alignment horizontal="left" vertical="center" wrapText="1"/>
    </xf>
    <xf numFmtId="179" fontId="114" fillId="5" borderId="1"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wrapText="1"/>
    </xf>
    <xf numFmtId="179" fontId="114" fillId="5" borderId="49" xfId="0" applyNumberFormat="1" applyFont="1" applyFill="1" applyBorder="1" applyAlignment="1" applyProtection="1">
      <alignment horizontal="left" vertical="center" wrapText="1"/>
    </xf>
    <xf numFmtId="0" fontId="46" fillId="5" borderId="57" xfId="0" applyNumberFormat="1" applyFont="1" applyFill="1" applyBorder="1" applyAlignment="1" applyProtection="1">
      <alignment horizontal="left" vertical="center" wrapText="1"/>
    </xf>
    <xf numFmtId="0" fontId="114" fillId="5" borderId="37" xfId="0" applyNumberFormat="1" applyFont="1" applyFill="1" applyBorder="1" applyAlignment="1" applyProtection="1">
      <alignment horizontal="left" vertical="center" wrapText="1"/>
    </xf>
    <xf numFmtId="0" fontId="231" fillId="5" borderId="1" xfId="3" applyNumberFormat="1" applyFont="1" applyFill="1" applyBorder="1" applyAlignment="1" applyProtection="1">
      <alignment horizontal="left" vertical="center"/>
    </xf>
    <xf numFmtId="0" fontId="95" fillId="0" borderId="0" xfId="0" applyNumberFormat="1" applyFont="1" applyAlignment="1" applyProtection="1">
      <alignment horizontal="left" vertical="center"/>
    </xf>
    <xf numFmtId="0" fontId="46" fillId="5" borderId="5" xfId="0" applyNumberFormat="1" applyFont="1" applyFill="1" applyBorder="1" applyAlignment="1" applyProtection="1">
      <alignment horizontal="left" vertical="center" wrapText="1"/>
    </xf>
    <xf numFmtId="0" fontId="46" fillId="5" borderId="11"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wrapText="1"/>
    </xf>
    <xf numFmtId="0" fontId="46" fillId="5" borderId="57" xfId="3" applyNumberFormat="1" applyFont="1" applyFill="1" applyBorder="1" applyAlignment="1" applyProtection="1">
      <alignment horizontal="left" vertical="center"/>
    </xf>
    <xf numFmtId="0" fontId="46" fillId="5" borderId="59" xfId="3"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114" fillId="5" borderId="1" xfId="0" applyNumberFormat="1" applyFont="1" applyFill="1" applyBorder="1" applyAlignment="1" applyProtection="1">
      <alignment horizontal="left" vertical="center" wrapText="1"/>
    </xf>
    <xf numFmtId="0" fontId="114" fillId="5" borderId="6"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114" fillId="5" borderId="61" xfId="0" applyNumberFormat="1" applyFont="1" applyFill="1" applyBorder="1" applyAlignment="1" applyProtection="1">
      <alignment horizontal="left" vertical="center" wrapText="1"/>
    </xf>
    <xf numFmtId="0" fontId="114" fillId="5" borderId="43" xfId="0" applyNumberFormat="1" applyFont="1" applyFill="1" applyBorder="1" applyAlignment="1" applyProtection="1">
      <alignment horizontal="left" vertical="center" wrapText="1"/>
    </xf>
    <xf numFmtId="0" fontId="99" fillId="0" borderId="0" xfId="7" applyFont="1" applyAlignment="1">
      <alignment horizontal="left" vertical="center"/>
    </xf>
    <xf numFmtId="0" fontId="99" fillId="0" borderId="127" xfId="7" applyFont="1" applyBorder="1" applyAlignment="1">
      <alignment horizontal="left" vertical="center"/>
    </xf>
    <xf numFmtId="0" fontId="94"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99" fillId="0" borderId="128" xfId="7" applyFont="1" applyBorder="1" applyAlignment="1">
      <alignment horizontal="left" vertical="center"/>
    </xf>
    <xf numFmtId="0" fontId="165" fillId="17" borderId="0" xfId="7" applyFont="1" applyFill="1" applyAlignment="1">
      <alignment horizontal="left" vertical="center"/>
    </xf>
    <xf numFmtId="0" fontId="95"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99" fillId="17" borderId="129" xfId="7" applyFont="1" applyFill="1" applyBorder="1" applyAlignment="1">
      <alignment horizontal="left" vertical="center"/>
    </xf>
    <xf numFmtId="0" fontId="99" fillId="17" borderId="0" xfId="7" applyFont="1" applyFill="1" applyBorder="1" applyAlignment="1">
      <alignment horizontal="left" vertical="center"/>
    </xf>
    <xf numFmtId="0" fontId="147" fillId="17" borderId="134" xfId="7" applyFont="1" applyFill="1" applyBorder="1" applyAlignment="1" applyProtection="1">
      <alignment horizontal="left" vertical="center" wrapText="1"/>
    </xf>
    <xf numFmtId="0" fontId="147" fillId="17" borderId="138" xfId="7" applyFont="1" applyFill="1" applyBorder="1" applyAlignment="1" applyProtection="1">
      <alignment horizontal="left" vertical="center" wrapText="1"/>
    </xf>
    <xf numFmtId="0" fontId="99" fillId="17" borderId="0" xfId="7" applyFont="1" applyFill="1" applyAlignment="1">
      <alignment horizontal="left" vertical="center"/>
    </xf>
    <xf numFmtId="0" fontId="144" fillId="17" borderId="0" xfId="7" applyFont="1" applyFill="1" applyAlignment="1">
      <alignment horizontal="left" vertical="center"/>
    </xf>
    <xf numFmtId="0" fontId="98" fillId="17" borderId="0" xfId="7" applyFont="1" applyFill="1" applyAlignment="1">
      <alignment horizontal="left" vertical="center"/>
    </xf>
    <xf numFmtId="10" fontId="98" fillId="17" borderId="0" xfId="7" applyNumberFormat="1" applyFont="1" applyFill="1" applyAlignment="1">
      <alignment horizontal="left" vertical="center"/>
    </xf>
    <xf numFmtId="0" fontId="99" fillId="0" borderId="0" xfId="7" applyFont="1" applyFill="1" applyAlignment="1">
      <alignment horizontal="left" vertical="center"/>
    </xf>
    <xf numFmtId="0" fontId="95"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99" fillId="0" borderId="129" xfId="7" applyFont="1" applyFill="1" applyBorder="1" applyAlignment="1">
      <alignment horizontal="left" vertical="center"/>
    </xf>
    <xf numFmtId="0" fontId="99" fillId="0" borderId="0" xfId="7" applyFont="1" applyFill="1" applyBorder="1" applyAlignment="1">
      <alignment horizontal="left" vertical="center"/>
    </xf>
    <xf numFmtId="0" fontId="99" fillId="0" borderId="0" xfId="7" applyFont="1" applyFill="1" applyBorder="1" applyAlignment="1" applyProtection="1">
      <alignment horizontal="left" vertical="center"/>
      <protection locked="0"/>
    </xf>
    <xf numFmtId="0" fontId="98" fillId="0" borderId="0" xfId="7" applyFont="1" applyAlignment="1">
      <alignment horizontal="left" vertical="center"/>
    </xf>
    <xf numFmtId="10" fontId="98" fillId="0" borderId="0" xfId="7" applyNumberFormat="1" applyFont="1" applyAlignment="1">
      <alignment horizontal="left" vertical="center"/>
    </xf>
    <xf numFmtId="49" fontId="46" fillId="14" borderId="1" xfId="7" applyNumberFormat="1" applyFont="1" applyFill="1" applyBorder="1" applyAlignment="1" applyProtection="1">
      <alignment horizontal="left" vertical="center" wrapText="1"/>
    </xf>
    <xf numFmtId="186" fontId="148" fillId="14" borderId="0" xfId="7" applyNumberFormat="1" applyFont="1" applyFill="1" applyBorder="1" applyAlignment="1">
      <alignment horizontal="left" vertical="center"/>
    </xf>
    <xf numFmtId="186" fontId="148" fillId="14" borderId="0" xfId="7" applyNumberFormat="1" applyFont="1" applyFill="1" applyAlignment="1">
      <alignment horizontal="left" vertical="center"/>
    </xf>
    <xf numFmtId="0" fontId="147" fillId="12" borderId="133" xfId="7" applyFont="1" applyFill="1" applyBorder="1" applyAlignment="1" applyProtection="1">
      <alignment horizontal="left" vertical="center" wrapText="1"/>
    </xf>
    <xf numFmtId="0" fontId="147" fillId="14" borderId="134" xfId="7" applyFont="1" applyFill="1" applyBorder="1" applyAlignment="1" applyProtection="1">
      <alignment horizontal="left" vertical="center" wrapText="1"/>
    </xf>
    <xf numFmtId="0" fontId="238" fillId="16" borderId="134" xfId="7" applyFont="1" applyFill="1" applyBorder="1" applyAlignment="1" applyProtection="1">
      <alignment horizontal="left" vertical="center" wrapText="1"/>
      <protection locked="0"/>
    </xf>
    <xf numFmtId="0" fontId="238" fillId="16" borderId="138" xfId="7" applyFont="1" applyFill="1" applyBorder="1" applyAlignment="1" applyProtection="1">
      <alignment horizontal="left" vertical="center" wrapText="1"/>
      <protection locked="0"/>
    </xf>
    <xf numFmtId="0" fontId="99" fillId="14" borderId="0" xfId="7" applyFont="1" applyFill="1" applyAlignment="1">
      <alignment horizontal="left" vertical="center"/>
    </xf>
    <xf numFmtId="10" fontId="148" fillId="14" borderId="136" xfId="7" applyNumberFormat="1" applyFont="1" applyFill="1" applyBorder="1" applyAlignment="1">
      <alignment horizontal="left" vertical="center"/>
    </xf>
    <xf numFmtId="0" fontId="114" fillId="6" borderId="0" xfId="7" applyFont="1" applyFill="1" applyAlignment="1">
      <alignment horizontal="left" vertical="center"/>
    </xf>
    <xf numFmtId="0" fontId="98" fillId="14" borderId="0" xfId="7" applyFont="1" applyFill="1" applyAlignment="1">
      <alignment horizontal="left" vertical="center"/>
    </xf>
    <xf numFmtId="10" fontId="98" fillId="14" borderId="0" xfId="7" applyNumberFormat="1" applyFont="1" applyFill="1" applyAlignment="1">
      <alignment horizontal="left" vertical="center"/>
    </xf>
    <xf numFmtId="49" fontId="46" fillId="5" borderId="1" xfId="7" applyNumberFormat="1" applyFont="1" applyFill="1" applyBorder="1" applyAlignment="1" applyProtection="1">
      <alignment horizontal="left" vertical="center" wrapText="1"/>
    </xf>
    <xf numFmtId="186" fontId="98" fillId="0" borderId="0" xfId="7" applyNumberFormat="1" applyFont="1" applyAlignment="1" applyProtection="1">
      <alignment horizontal="left" vertical="center"/>
    </xf>
    <xf numFmtId="0" fontId="147" fillId="13" borderId="134" xfId="7" applyFont="1" applyFill="1" applyBorder="1" applyAlignment="1" applyProtection="1">
      <alignment horizontal="left" vertical="center" wrapText="1"/>
    </xf>
    <xf numFmtId="0" fontId="147" fillId="13" borderId="138" xfId="7" applyFont="1" applyFill="1" applyBorder="1" applyAlignment="1" applyProtection="1">
      <alignment horizontal="left" vertical="center" wrapText="1"/>
    </xf>
    <xf numFmtId="0" fontId="98" fillId="0" borderId="0" xfId="7" applyFont="1" applyAlignment="1" applyProtection="1">
      <alignment horizontal="left" vertical="center"/>
    </xf>
    <xf numFmtId="10" fontId="98" fillId="0" borderId="129" xfId="7" applyNumberFormat="1" applyFont="1" applyBorder="1" applyAlignment="1" applyProtection="1">
      <alignment horizontal="left" vertical="center"/>
    </xf>
    <xf numFmtId="10" fontId="98" fillId="0" borderId="0" xfId="7" applyNumberFormat="1" applyFont="1" applyAlignment="1" applyProtection="1">
      <alignment horizontal="left" vertical="center"/>
    </xf>
    <xf numFmtId="0" fontId="148" fillId="14" borderId="0" xfId="7" applyFont="1" applyFill="1" applyAlignment="1" applyProtection="1">
      <alignment horizontal="left" vertical="center"/>
    </xf>
    <xf numFmtId="0" fontId="147" fillId="12" borderId="131" xfId="7" applyFont="1" applyFill="1" applyBorder="1" applyAlignment="1" applyProtection="1">
      <alignment horizontal="left" vertical="center" wrapText="1"/>
    </xf>
    <xf numFmtId="0" fontId="147" fillId="12" borderId="132" xfId="7" applyFont="1" applyFill="1" applyBorder="1" applyAlignment="1" applyProtection="1">
      <alignment horizontal="left" vertical="center" wrapText="1"/>
    </xf>
    <xf numFmtId="186" fontId="99" fillId="12" borderId="131" xfId="7" applyNumberFormat="1" applyFont="1" applyFill="1" applyBorder="1" applyAlignment="1">
      <alignment horizontal="left" vertical="center" wrapText="1"/>
    </xf>
    <xf numFmtId="186" fontId="99" fillId="12" borderId="137" xfId="7" applyNumberFormat="1" applyFont="1" applyFill="1" applyBorder="1" applyAlignment="1">
      <alignment horizontal="left" vertical="center" wrapText="1"/>
    </xf>
    <xf numFmtId="10" fontId="98" fillId="0" borderId="142" xfId="7" applyNumberFormat="1" applyFont="1" applyBorder="1" applyAlignment="1">
      <alignment horizontal="left" vertical="center"/>
    </xf>
    <xf numFmtId="10" fontId="98" fillId="0" borderId="36" xfId="7" applyNumberFormat="1" applyFont="1" applyBorder="1" applyAlignment="1">
      <alignment horizontal="left" vertical="center"/>
    </xf>
    <xf numFmtId="177" fontId="98" fillId="0" borderId="0" xfId="7" applyNumberFormat="1" applyFont="1" applyAlignment="1">
      <alignment horizontal="left" vertical="center"/>
    </xf>
    <xf numFmtId="181" fontId="98" fillId="0" borderId="129" xfId="7" applyNumberFormat="1" applyFont="1" applyBorder="1" applyAlignment="1">
      <alignment horizontal="left" vertical="center"/>
    </xf>
    <xf numFmtId="181" fontId="98" fillId="0" borderId="0" xfId="7" applyNumberFormat="1" applyFont="1" applyAlignment="1">
      <alignment horizontal="left" vertical="center"/>
    </xf>
    <xf numFmtId="186" fontId="98" fillId="0" borderId="0" xfId="7" applyNumberFormat="1" applyFont="1" applyAlignment="1">
      <alignment horizontal="left" vertical="center"/>
    </xf>
    <xf numFmtId="10" fontId="98" fillId="0" borderId="129" xfId="7" applyNumberFormat="1" applyFont="1" applyBorder="1" applyAlignment="1">
      <alignment horizontal="left" vertical="center"/>
    </xf>
    <xf numFmtId="0" fontId="148" fillId="14" borderId="0" xfId="7" applyFont="1" applyFill="1" applyAlignment="1">
      <alignment horizontal="left" vertical="center"/>
    </xf>
    <xf numFmtId="0" fontId="147" fillId="12" borderId="134" xfId="7" applyFont="1" applyFill="1" applyBorder="1" applyAlignment="1" applyProtection="1">
      <alignment horizontal="left" vertical="center" wrapText="1"/>
    </xf>
    <xf numFmtId="0" fontId="147" fillId="12" borderId="138" xfId="7" applyFont="1" applyFill="1" applyBorder="1" applyAlignment="1" applyProtection="1">
      <alignment horizontal="left" vertical="center" wrapText="1"/>
    </xf>
    <xf numFmtId="10" fontId="98" fillId="0" borderId="136" xfId="7" applyNumberFormat="1" applyFont="1" applyBorder="1" applyAlignment="1">
      <alignment horizontal="left" vertical="center"/>
    </xf>
    <xf numFmtId="10" fontId="98" fillId="0" borderId="65" xfId="7" applyNumberFormat="1" applyFont="1" applyBorder="1" applyAlignment="1">
      <alignment horizontal="left" vertical="center"/>
    </xf>
    <xf numFmtId="10" fontId="98" fillId="0" borderId="0" xfId="7" applyNumberFormat="1" applyFont="1" applyBorder="1" applyAlignment="1">
      <alignment horizontal="left" vertical="center"/>
    </xf>
    <xf numFmtId="0" fontId="98" fillId="0" borderId="0" xfId="7" applyFont="1" applyFill="1" applyAlignment="1">
      <alignment horizontal="left" vertical="center"/>
    </xf>
    <xf numFmtId="10" fontId="98" fillId="0" borderId="0" xfId="7" applyNumberFormat="1" applyFont="1" applyFill="1" applyAlignment="1">
      <alignment horizontal="left" vertical="center"/>
    </xf>
    <xf numFmtId="0" fontId="147" fillId="12" borderId="140" xfId="7" applyFont="1" applyFill="1" applyBorder="1" applyAlignment="1" applyProtection="1">
      <alignment horizontal="left" vertical="center" wrapText="1"/>
    </xf>
    <xf numFmtId="0" fontId="147" fillId="12" borderId="141" xfId="7" applyFont="1" applyFill="1" applyBorder="1" applyAlignment="1" applyProtection="1">
      <alignment horizontal="left" vertical="center" wrapText="1"/>
    </xf>
    <xf numFmtId="0" fontId="98" fillId="0" borderId="129" xfId="7" applyFont="1" applyBorder="1" applyAlignment="1">
      <alignment horizontal="left" vertical="center"/>
    </xf>
    <xf numFmtId="0" fontId="147" fillId="13" borderId="131" xfId="7" applyFont="1" applyFill="1" applyBorder="1" applyAlignment="1" applyProtection="1">
      <alignment horizontal="left" vertical="center" wrapText="1"/>
    </xf>
    <xf numFmtId="0" fontId="147" fillId="13" borderId="132" xfId="7" applyFont="1" applyFill="1" applyBorder="1" applyAlignment="1" applyProtection="1">
      <alignment horizontal="left" vertical="center" wrapText="1"/>
    </xf>
    <xf numFmtId="186" fontId="99" fillId="12" borderId="134" xfId="7" applyNumberFormat="1" applyFont="1" applyFill="1" applyBorder="1" applyAlignment="1">
      <alignment horizontal="left" vertical="center" wrapText="1"/>
    </xf>
    <xf numFmtId="186" fontId="99" fillId="12" borderId="143" xfId="7" applyNumberFormat="1" applyFont="1" applyFill="1" applyBorder="1" applyAlignment="1">
      <alignment horizontal="left" vertical="center" wrapText="1"/>
    </xf>
    <xf numFmtId="0" fontId="98" fillId="13" borderId="131" xfId="7" applyFont="1" applyFill="1" applyBorder="1" applyAlignment="1" applyProtection="1">
      <alignment horizontal="left" vertical="center" wrapText="1"/>
    </xf>
    <xf numFmtId="0" fontId="98" fillId="13" borderId="132" xfId="7" applyFont="1" applyFill="1" applyBorder="1" applyAlignment="1" applyProtection="1">
      <alignment horizontal="left" vertical="center" wrapText="1"/>
    </xf>
    <xf numFmtId="49" fontId="46" fillId="6" borderId="1" xfId="7" applyNumberFormat="1" applyFont="1" applyFill="1" applyBorder="1" applyAlignment="1" applyProtection="1">
      <alignment horizontal="left" vertical="center" wrapText="1"/>
    </xf>
    <xf numFmtId="186" fontId="98" fillId="6" borderId="0" xfId="7" applyNumberFormat="1" applyFont="1" applyFill="1" applyAlignment="1">
      <alignment horizontal="left" vertical="center"/>
    </xf>
    <xf numFmtId="0" fontId="98" fillId="6" borderId="134" xfId="7" applyFont="1" applyFill="1" applyBorder="1" applyAlignment="1" applyProtection="1">
      <alignment horizontal="left" vertical="center" wrapText="1"/>
    </xf>
    <xf numFmtId="0" fontId="98" fillId="6" borderId="138" xfId="7" applyFont="1" applyFill="1" applyBorder="1" applyAlignment="1" applyProtection="1">
      <alignment horizontal="left" vertical="center" wrapText="1"/>
    </xf>
    <xf numFmtId="0" fontId="98" fillId="6" borderId="0" xfId="7" applyFont="1" applyFill="1" applyAlignment="1">
      <alignment horizontal="left" vertical="center"/>
    </xf>
    <xf numFmtId="10" fontId="98" fillId="6" borderId="129" xfId="7" applyNumberFormat="1" applyFont="1" applyFill="1" applyBorder="1" applyAlignment="1">
      <alignment horizontal="left" vertical="center"/>
    </xf>
    <xf numFmtId="10" fontId="98" fillId="6" borderId="0" xfId="7" applyNumberFormat="1" applyFont="1" applyFill="1" applyAlignment="1">
      <alignment horizontal="left" vertical="center"/>
    </xf>
    <xf numFmtId="177" fontId="98" fillId="6" borderId="0" xfId="7" applyNumberFormat="1" applyFont="1" applyFill="1" applyAlignment="1">
      <alignment horizontal="left" vertical="center"/>
    </xf>
    <xf numFmtId="10" fontId="98" fillId="6" borderId="136" xfId="7" applyNumberFormat="1" applyFont="1" applyFill="1" applyBorder="1" applyAlignment="1">
      <alignment horizontal="left" vertical="center"/>
    </xf>
    <xf numFmtId="10" fontId="98" fillId="6" borderId="65" xfId="7" applyNumberFormat="1" applyFont="1" applyFill="1" applyBorder="1" applyAlignment="1">
      <alignment horizontal="left" vertical="center"/>
    </xf>
    <xf numFmtId="0" fontId="135" fillId="6" borderId="0" xfId="7" applyFont="1" applyFill="1" applyAlignment="1">
      <alignment horizontal="left" vertical="center"/>
    </xf>
    <xf numFmtId="0" fontId="98" fillId="6" borderId="0" xfId="7" applyNumberFormat="1" applyFont="1" applyFill="1" applyAlignment="1">
      <alignment horizontal="left" vertical="center"/>
    </xf>
    <xf numFmtId="0" fontId="98" fillId="12" borderId="140" xfId="7" applyFont="1" applyFill="1" applyBorder="1" applyAlignment="1" applyProtection="1">
      <alignment horizontal="left" vertical="center" wrapText="1"/>
    </xf>
    <xf numFmtId="0" fontId="98" fillId="12" borderId="141" xfId="7" applyFont="1" applyFill="1" applyBorder="1" applyAlignment="1" applyProtection="1">
      <alignment horizontal="left" vertical="center" wrapText="1"/>
    </xf>
    <xf numFmtId="14" fontId="98" fillId="0" borderId="0" xfId="7" applyNumberFormat="1" applyFont="1" applyAlignment="1">
      <alignment horizontal="left" vertical="center"/>
    </xf>
    <xf numFmtId="0" fontId="135" fillId="0" borderId="0" xfId="7" applyFont="1" applyAlignment="1">
      <alignment horizontal="left" vertical="center"/>
    </xf>
    <xf numFmtId="0" fontId="98" fillId="0" borderId="0" xfId="7" applyNumberFormat="1" applyFont="1" applyAlignment="1">
      <alignment horizontal="left" vertical="center"/>
    </xf>
    <xf numFmtId="186" fontId="99" fillId="12" borderId="140" xfId="7" applyNumberFormat="1" applyFont="1" applyFill="1" applyBorder="1" applyAlignment="1">
      <alignment horizontal="left" vertical="center" wrapText="1"/>
    </xf>
    <xf numFmtId="186" fontId="99" fillId="12" borderId="144" xfId="7" applyNumberFormat="1" applyFont="1" applyFill="1" applyBorder="1" applyAlignment="1">
      <alignment horizontal="left" vertical="center" wrapText="1"/>
    </xf>
    <xf numFmtId="186" fontId="98" fillId="14" borderId="0" xfId="7" applyNumberFormat="1" applyFont="1" applyFill="1" applyAlignment="1">
      <alignment horizontal="left" vertical="center"/>
    </xf>
    <xf numFmtId="186" fontId="98" fillId="0" borderId="40" xfId="7" applyNumberFormat="1" applyFont="1" applyBorder="1" applyAlignment="1">
      <alignment horizontal="left" vertical="center"/>
    </xf>
    <xf numFmtId="0" fontId="147" fillId="13" borderId="145" xfId="7" applyFont="1" applyFill="1" applyBorder="1" applyAlignment="1" applyProtection="1">
      <alignment horizontal="left" vertical="center" wrapText="1"/>
    </xf>
    <xf numFmtId="0" fontId="147" fillId="13" borderId="146" xfId="7" applyFont="1" applyFill="1" applyBorder="1" applyAlignment="1" applyProtection="1">
      <alignment horizontal="left" vertical="center" wrapText="1"/>
    </xf>
    <xf numFmtId="0" fontId="98" fillId="0" borderId="40" xfId="7" applyFont="1" applyBorder="1" applyAlignment="1">
      <alignment horizontal="left" vertical="center"/>
    </xf>
    <xf numFmtId="10" fontId="98" fillId="0" borderId="147" xfId="7" applyNumberFormat="1" applyFont="1" applyBorder="1" applyAlignment="1">
      <alignment horizontal="left" vertical="center"/>
    </xf>
    <xf numFmtId="10" fontId="98" fillId="0" borderId="40" xfId="7" applyNumberFormat="1" applyFont="1" applyBorder="1" applyAlignment="1">
      <alignment horizontal="left" vertical="center"/>
    </xf>
    <xf numFmtId="177" fontId="98" fillId="0" borderId="40" xfId="7" applyNumberFormat="1" applyFont="1" applyBorder="1" applyAlignment="1">
      <alignment horizontal="left" vertical="center"/>
    </xf>
    <xf numFmtId="0" fontId="147" fillId="12" borderId="148" xfId="7" applyFont="1" applyFill="1" applyBorder="1" applyAlignment="1" applyProtection="1">
      <alignment horizontal="left" vertical="center" wrapText="1"/>
    </xf>
    <xf numFmtId="0" fontId="147" fillId="12" borderId="149" xfId="7" applyFont="1" applyFill="1" applyBorder="1" applyAlignment="1" applyProtection="1">
      <alignment horizontal="left" vertical="center" wrapText="1"/>
    </xf>
    <xf numFmtId="10" fontId="98" fillId="15" borderId="129" xfId="7" applyNumberFormat="1" applyFont="1" applyFill="1" applyBorder="1" applyAlignment="1">
      <alignment horizontal="left" vertical="center"/>
    </xf>
    <xf numFmtId="10" fontId="98" fillId="15" borderId="0" xfId="7" applyNumberFormat="1" applyFont="1" applyFill="1" applyAlignment="1">
      <alignment horizontal="left" vertical="center"/>
    </xf>
    <xf numFmtId="178" fontId="98" fillId="0" borderId="0" xfId="7" applyNumberFormat="1" applyFont="1" applyAlignment="1">
      <alignment horizontal="left" vertical="center"/>
    </xf>
    <xf numFmtId="10" fontId="98" fillId="15" borderId="136" xfId="7" applyNumberFormat="1" applyFont="1" applyFill="1" applyBorder="1" applyAlignment="1">
      <alignment horizontal="left" vertical="center"/>
    </xf>
    <xf numFmtId="10" fontId="98" fillId="15" borderId="65" xfId="7" applyNumberFormat="1" applyFont="1" applyFill="1" applyBorder="1" applyAlignment="1">
      <alignment horizontal="left" vertical="center"/>
    </xf>
    <xf numFmtId="10" fontId="98" fillId="15" borderId="147" xfId="7" applyNumberFormat="1" applyFont="1" applyFill="1" applyBorder="1" applyAlignment="1">
      <alignment horizontal="left" vertical="center"/>
    </xf>
    <xf numFmtId="10" fontId="98" fillId="15" borderId="40" xfId="7" applyNumberFormat="1" applyFont="1" applyFill="1" applyBorder="1" applyAlignment="1">
      <alignment horizontal="left" vertical="center"/>
    </xf>
    <xf numFmtId="178" fontId="98" fillId="0" borderId="40" xfId="7" applyNumberFormat="1" applyFont="1" applyBorder="1" applyAlignment="1">
      <alignment horizontal="left" vertical="center"/>
    </xf>
    <xf numFmtId="0" fontId="99" fillId="13" borderId="150" xfId="7" applyFont="1" applyFill="1" applyBorder="1" applyAlignment="1">
      <alignment horizontal="left" vertical="center" wrapText="1"/>
    </xf>
    <xf numFmtId="0" fontId="99" fillId="13" borderId="151" xfId="7" applyFont="1" applyFill="1" applyBorder="1" applyAlignment="1">
      <alignment horizontal="left" vertical="center" wrapText="1"/>
    </xf>
    <xf numFmtId="180" fontId="98" fillId="0" borderId="0" xfId="7" applyNumberFormat="1" applyFont="1" applyAlignment="1">
      <alignment horizontal="left" vertical="center"/>
    </xf>
    <xf numFmtId="180" fontId="98" fillId="0" borderId="129" xfId="7" applyNumberFormat="1" applyFont="1" applyBorder="1" applyAlignment="1">
      <alignment horizontal="left" vertical="center"/>
    </xf>
    <xf numFmtId="177" fontId="98" fillId="15" borderId="0" xfId="7" applyNumberFormat="1" applyFont="1" applyFill="1" applyAlignment="1">
      <alignment horizontal="left" vertical="center"/>
    </xf>
    <xf numFmtId="0" fontId="147" fillId="13" borderId="140" xfId="7" applyFont="1" applyFill="1" applyBorder="1" applyAlignment="1" applyProtection="1">
      <alignment horizontal="left" vertical="center" wrapText="1"/>
    </xf>
    <xf numFmtId="0" fontId="99" fillId="12" borderId="140" xfId="7" applyFont="1" applyFill="1" applyBorder="1" applyAlignment="1">
      <alignment horizontal="left" vertical="center" wrapText="1"/>
    </xf>
    <xf numFmtId="0" fontId="99" fillId="12" borderId="144" xfId="7" applyFont="1" applyFill="1" applyBorder="1" applyAlignment="1">
      <alignment horizontal="left" vertical="center" wrapText="1"/>
    </xf>
    <xf numFmtId="0" fontId="147" fillId="6" borderId="134" xfId="7" applyFont="1" applyFill="1" applyBorder="1" applyAlignment="1" applyProtection="1">
      <alignment horizontal="left" vertical="center" wrapText="1"/>
    </xf>
    <xf numFmtId="180" fontId="98" fillId="6" borderId="0" xfId="7" applyNumberFormat="1" applyFont="1" applyFill="1" applyAlignment="1">
      <alignment horizontal="left" vertical="center"/>
    </xf>
    <xf numFmtId="0" fontId="98" fillId="6" borderId="129" xfId="7" applyFont="1" applyFill="1" applyBorder="1" applyAlignment="1">
      <alignment horizontal="left" vertical="center"/>
    </xf>
    <xf numFmtId="178" fontId="98" fillId="6" borderId="0" xfId="7" applyNumberFormat="1" applyFont="1" applyFill="1" applyAlignment="1">
      <alignment horizontal="left" vertical="center"/>
    </xf>
    <xf numFmtId="0" fontId="99" fillId="12" borderId="152" xfId="7" applyFont="1" applyFill="1" applyBorder="1" applyAlignment="1">
      <alignment horizontal="left" vertical="center" wrapText="1"/>
    </xf>
    <xf numFmtId="0" fontId="99" fillId="12" borderId="153" xfId="7" applyFont="1" applyFill="1" applyBorder="1" applyAlignment="1">
      <alignment horizontal="left" vertical="center" wrapText="1"/>
    </xf>
    <xf numFmtId="0" fontId="99" fillId="12" borderId="154" xfId="7" applyFont="1" applyFill="1" applyBorder="1" applyAlignment="1">
      <alignment horizontal="left" vertical="center" wrapText="1"/>
    </xf>
    <xf numFmtId="0" fontId="140" fillId="0" borderId="0" xfId="7" applyFont="1" applyAlignment="1">
      <alignment horizontal="left" vertical="center"/>
    </xf>
    <xf numFmtId="0" fontId="114" fillId="0" borderId="0" xfId="7" applyFont="1" applyAlignment="1">
      <alignment horizontal="left" vertical="center"/>
    </xf>
    <xf numFmtId="0" fontId="114" fillId="0" borderId="129" xfId="7" applyFont="1" applyBorder="1" applyAlignment="1">
      <alignment horizontal="left" vertical="center"/>
    </xf>
    <xf numFmtId="180" fontId="114" fillId="0" borderId="0" xfId="7" applyNumberFormat="1" applyFont="1" applyAlignment="1">
      <alignment horizontal="left" vertical="center"/>
    </xf>
    <xf numFmtId="180" fontId="114" fillId="0" borderId="129" xfId="7" applyNumberFormat="1" applyFont="1" applyBorder="1" applyAlignment="1">
      <alignment horizontal="left" vertical="center"/>
    </xf>
    <xf numFmtId="0" fontId="147" fillId="13" borderId="155" xfId="7" applyFont="1" applyFill="1" applyBorder="1" applyAlignment="1">
      <alignment horizontal="left" vertical="center" wrapText="1"/>
    </xf>
    <xf numFmtId="0" fontId="147" fillId="13" borderId="131" xfId="7" applyFont="1" applyFill="1" applyBorder="1" applyAlignment="1">
      <alignment horizontal="left" vertical="center" wrapText="1"/>
    </xf>
    <xf numFmtId="0" fontId="147" fillId="12" borderId="156" xfId="7" applyFont="1" applyFill="1" applyBorder="1" applyAlignment="1">
      <alignment horizontal="left" vertical="center" wrapText="1"/>
    </xf>
    <xf numFmtId="0" fontId="147" fillId="12" borderId="134" xfId="7" applyFont="1" applyFill="1" applyBorder="1" applyAlignment="1">
      <alignment horizontal="left" vertical="center" wrapText="1"/>
    </xf>
    <xf numFmtId="0" fontId="147" fillId="13" borderId="156" xfId="7" applyFont="1" applyFill="1" applyBorder="1" applyAlignment="1">
      <alignment horizontal="left" vertical="center" wrapText="1"/>
    </xf>
    <xf numFmtId="0" fontId="147" fillId="13" borderId="134" xfId="7" applyFont="1" applyFill="1" applyBorder="1" applyAlignment="1">
      <alignment horizontal="left" vertical="center" wrapText="1"/>
    </xf>
    <xf numFmtId="0" fontId="147" fillId="12" borderId="157" xfId="7" applyFont="1" applyFill="1" applyBorder="1" applyAlignment="1">
      <alignment horizontal="left" vertical="center" wrapText="1"/>
    </xf>
    <xf numFmtId="0" fontId="147" fillId="12" borderId="140" xfId="7" applyFont="1" applyFill="1" applyBorder="1" applyAlignment="1">
      <alignment horizontal="left" vertical="center" wrapText="1"/>
    </xf>
    <xf numFmtId="0" fontId="57" fillId="5" borderId="90" xfId="0" applyFont="1" applyFill="1" applyBorder="1" applyAlignment="1" applyProtection="1">
      <alignment horizontal="left" vertical="center"/>
      <protection locked="0"/>
    </xf>
    <xf numFmtId="0" fontId="51"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0" fontId="51" fillId="0" borderId="16" xfId="0" applyNumberFormat="1" applyFont="1" applyFill="1" applyBorder="1" applyAlignment="1" applyProtection="1">
      <alignment horizontal="left" vertical="center" wrapText="1"/>
      <protection locked="0"/>
    </xf>
    <xf numFmtId="0" fontId="51" fillId="5" borderId="23" xfId="0" applyNumberFormat="1" applyFont="1" applyFill="1" applyBorder="1" applyAlignment="1" applyProtection="1">
      <alignment horizontal="left" vertical="center" wrapText="1"/>
    </xf>
    <xf numFmtId="0" fontId="51" fillId="5" borderId="26" xfId="0" applyNumberFormat="1" applyFont="1" applyFill="1" applyBorder="1" applyAlignment="1" applyProtection="1">
      <alignment horizontal="left" vertical="center" wrapText="1"/>
    </xf>
    <xf numFmtId="49" fontId="44" fillId="5" borderId="16" xfId="0" applyNumberFormat="1" applyFont="1" applyFill="1" applyBorder="1" applyAlignment="1" applyProtection="1">
      <alignment horizontal="left" vertical="center" wrapText="1"/>
    </xf>
    <xf numFmtId="0" fontId="37" fillId="2" borderId="23" xfId="0" applyNumberFormat="1" applyFont="1" applyFill="1" applyBorder="1" applyAlignment="1" applyProtection="1">
      <alignment horizontal="left" vertical="center" wrapText="1"/>
      <protection locked="0"/>
    </xf>
    <xf numFmtId="17" fontId="42" fillId="0" borderId="19" xfId="0" applyNumberFormat="1" applyFont="1" applyFill="1" applyBorder="1" applyAlignment="1" applyProtection="1">
      <alignment horizontal="left" vertical="center" wrapText="1"/>
      <protection locked="0"/>
    </xf>
    <xf numFmtId="0" fontId="42" fillId="0" borderId="19" xfId="0" applyNumberFormat="1"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protection locked="0"/>
    </xf>
    <xf numFmtId="0" fontId="66" fillId="5" borderId="39" xfId="0" applyFont="1" applyFill="1" applyBorder="1" applyAlignment="1" applyProtection="1">
      <alignment horizontal="left" vertical="center"/>
      <protection locked="0"/>
    </xf>
    <xf numFmtId="0" fontId="44" fillId="5" borderId="39" xfId="0" applyFont="1" applyFill="1" applyBorder="1" applyAlignment="1" applyProtection="1">
      <alignment horizontal="left"/>
      <protection locked="0"/>
    </xf>
    <xf numFmtId="9" fontId="37" fillId="5" borderId="0" xfId="0" applyNumberFormat="1" applyFont="1" applyFill="1" applyBorder="1" applyAlignment="1" applyProtection="1">
      <alignment horizontal="left" vertical="center" wrapText="1"/>
      <protection locked="0"/>
    </xf>
    <xf numFmtId="0" fontId="44"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left" vertical="center" wrapText="1"/>
      <protection locked="0"/>
    </xf>
    <xf numFmtId="0" fontId="95" fillId="0" borderId="32" xfId="0" applyNumberFormat="1" applyFont="1" applyFill="1" applyBorder="1" applyAlignment="1" applyProtection="1">
      <alignment horizontal="left" vertical="center" wrapText="1"/>
      <protection locked="0"/>
    </xf>
    <xf numFmtId="0" fontId="55" fillId="5" borderId="91" xfId="0" applyFont="1" applyFill="1" applyBorder="1" applyAlignment="1" applyProtection="1">
      <alignment horizontal="left" vertical="center"/>
    </xf>
    <xf numFmtId="0" fontId="51" fillId="5" borderId="166" xfId="0" applyFont="1" applyFill="1" applyBorder="1" applyAlignment="1" applyProtection="1">
      <alignment horizontal="left" vertical="center"/>
      <protection locked="0"/>
    </xf>
    <xf numFmtId="0" fontId="55" fillId="5" borderId="25" xfId="0" applyFont="1" applyFill="1" applyBorder="1" applyAlignment="1" applyProtection="1">
      <alignment horizontal="left" vertical="center"/>
    </xf>
    <xf numFmtId="0" fontId="55" fillId="5" borderId="27" xfId="0" applyFont="1" applyFill="1" applyBorder="1" applyAlignment="1" applyProtection="1">
      <alignment horizontal="left" vertical="center"/>
    </xf>
    <xf numFmtId="0" fontId="37" fillId="0" borderId="24" xfId="0" applyNumberFormat="1" applyFont="1" applyFill="1" applyBorder="1" applyAlignment="1" applyProtection="1">
      <alignment horizontal="left" vertical="center" wrapText="1"/>
      <protection locked="0"/>
    </xf>
    <xf numFmtId="0" fontId="37" fillId="0" borderId="42" xfId="0" applyNumberFormat="1" applyFont="1" applyFill="1" applyBorder="1" applyAlignment="1" applyProtection="1">
      <alignment horizontal="left" vertical="center" wrapText="1"/>
      <protection locked="0"/>
    </xf>
    <xf numFmtId="0" fontId="37" fillId="5" borderId="59" xfId="0" applyFont="1" applyFill="1" applyBorder="1" applyAlignment="1" applyProtection="1">
      <alignment horizontal="left" vertical="center" wrapText="1"/>
    </xf>
    <xf numFmtId="0" fontId="44" fillId="5" borderId="53" xfId="0" applyFont="1" applyFill="1" applyBorder="1" applyAlignment="1" applyProtection="1">
      <alignment horizontal="left" vertical="center"/>
    </xf>
    <xf numFmtId="0" fontId="37" fillId="5" borderId="58" xfId="0" applyFont="1" applyFill="1" applyBorder="1" applyAlignment="1" applyProtection="1">
      <alignment horizontal="left" vertical="center" wrapText="1"/>
    </xf>
    <xf numFmtId="0" fontId="37" fillId="5" borderId="34" xfId="0" applyFont="1" applyFill="1" applyBorder="1" applyAlignment="1" applyProtection="1">
      <alignment horizontal="left" vertical="center" wrapText="1"/>
    </xf>
    <xf numFmtId="0" fontId="37" fillId="5" borderId="50" xfId="0"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protection locked="0"/>
    </xf>
    <xf numFmtId="0" fontId="37" fillId="2" borderId="24" xfId="0" applyNumberFormat="1"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43" xfId="0" applyFont="1" applyFill="1" applyBorder="1" applyAlignment="1" applyProtection="1">
      <alignment horizontal="left" vertical="center" wrapText="1"/>
      <protection locked="0"/>
    </xf>
    <xf numFmtId="0" fontId="44" fillId="0" borderId="48" xfId="0" applyNumberFormat="1" applyFont="1" applyFill="1" applyBorder="1" applyAlignment="1" applyProtection="1">
      <alignment horizontal="left" vertical="center" wrapText="1"/>
      <protection locked="0"/>
    </xf>
    <xf numFmtId="0" fontId="44" fillId="2" borderId="4" xfId="0" applyNumberFormat="1" applyFont="1" applyFill="1" applyBorder="1" applyAlignment="1" applyProtection="1">
      <alignment horizontal="left" vertical="center" wrapText="1"/>
      <protection locked="0"/>
    </xf>
    <xf numFmtId="49" fontId="37" fillId="0" borderId="0" xfId="0" applyNumberFormat="1" applyFont="1" applyFill="1" applyBorder="1" applyAlignment="1" applyProtection="1">
      <alignment horizontal="left" vertical="center"/>
      <protection locked="0"/>
    </xf>
    <xf numFmtId="0" fontId="37" fillId="0" borderId="73" xfId="0" applyNumberFormat="1" applyFont="1" applyFill="1" applyBorder="1" applyAlignment="1" applyProtection="1">
      <alignment horizontal="left" vertical="center" wrapText="1"/>
      <protection locked="0"/>
    </xf>
    <xf numFmtId="0" fontId="44" fillId="5" borderId="54"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protection locked="0"/>
    </xf>
    <xf numFmtId="176" fontId="44" fillId="5" borderId="41" xfId="0" applyNumberFormat="1" applyFont="1" applyFill="1" applyBorder="1" applyAlignment="1" applyProtection="1">
      <alignment horizontal="left" vertical="center" wrapText="1"/>
    </xf>
    <xf numFmtId="176" fontId="44" fillId="18" borderId="41" xfId="0" applyNumberFormat="1"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99"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10" fontId="103" fillId="8" borderId="1" xfId="0" applyNumberFormat="1" applyFont="1" applyFill="1" applyBorder="1" applyAlignment="1" applyProtection="1">
      <alignment horizontal="left" vertical="center"/>
    </xf>
    <xf numFmtId="9" fontId="103" fillId="8" borderId="1" xfId="0" applyNumberFormat="1" applyFont="1" applyFill="1" applyBorder="1" applyAlignment="1" applyProtection="1">
      <alignment horizontal="left" vertical="center"/>
    </xf>
    <xf numFmtId="0" fontId="103" fillId="8" borderId="18" xfId="0"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9" fontId="103" fillId="8" borderId="18" xfId="0" applyNumberFormat="1" applyFont="1" applyFill="1" applyBorder="1" applyAlignment="1" applyProtection="1">
      <alignment horizontal="left" vertical="center"/>
    </xf>
    <xf numFmtId="0" fontId="98" fillId="8" borderId="2" xfId="0" applyFont="1" applyFill="1" applyBorder="1" applyAlignment="1" applyProtection="1">
      <alignment horizontal="left" vertical="center" wrapText="1"/>
    </xf>
    <xf numFmtId="0" fontId="103" fillId="8" borderId="35" xfId="0" applyFont="1" applyFill="1" applyBorder="1" applyAlignment="1" applyProtection="1">
      <alignment horizontal="left" vertical="center" wrapText="1"/>
    </xf>
    <xf numFmtId="0" fontId="103" fillId="8" borderId="36" xfId="0" applyFont="1" applyFill="1" applyBorder="1" applyAlignment="1" applyProtection="1">
      <alignment horizontal="left" vertical="center" wrapText="1"/>
    </xf>
    <xf numFmtId="0" fontId="103" fillId="8" borderId="27" xfId="0" applyFont="1" applyFill="1" applyBorder="1" applyAlignment="1" applyProtection="1">
      <alignment horizontal="left" vertical="center" wrapText="1"/>
    </xf>
    <xf numFmtId="0" fontId="103" fillId="8" borderId="2" xfId="0" applyFont="1" applyFill="1" applyBorder="1" applyAlignment="1" applyProtection="1">
      <alignment horizontal="left" vertical="center" wrapText="1"/>
    </xf>
    <xf numFmtId="0" fontId="103" fillId="8" borderId="51" xfId="0" applyFont="1" applyFill="1" applyBorder="1" applyAlignment="1" applyProtection="1">
      <alignment horizontal="left" vertical="center"/>
    </xf>
    <xf numFmtId="0" fontId="103" fillId="8" borderId="3" xfId="0" applyFont="1" applyFill="1" applyBorder="1" applyAlignment="1" applyProtection="1">
      <alignment horizontal="left" vertical="center" wrapText="1"/>
    </xf>
    <xf numFmtId="0" fontId="103" fillId="8" borderId="60" xfId="0" applyFont="1" applyFill="1" applyBorder="1" applyAlignment="1" applyProtection="1">
      <alignment horizontal="left" vertical="center" wrapText="1"/>
    </xf>
    <xf numFmtId="0" fontId="103" fillId="8" borderId="0" xfId="0" applyFont="1" applyFill="1" applyBorder="1" applyAlignment="1" applyProtection="1">
      <alignment horizontal="left" vertical="center" wrapText="1"/>
    </xf>
    <xf numFmtId="0" fontId="103" fillId="8" borderId="25" xfId="0" applyFont="1" applyFill="1" applyBorder="1" applyAlignment="1" applyProtection="1">
      <alignment horizontal="left" vertical="center" wrapText="1"/>
    </xf>
    <xf numFmtId="0" fontId="103" fillId="8" borderId="64" xfId="0" applyFont="1" applyFill="1" applyBorder="1" applyAlignment="1" applyProtection="1">
      <alignment horizontal="left" vertical="center" wrapText="1"/>
    </xf>
    <xf numFmtId="0" fontId="103" fillId="8" borderId="65" xfId="0" applyFont="1" applyFill="1" applyBorder="1" applyAlignment="1" applyProtection="1">
      <alignment horizontal="left" vertical="center" wrapText="1"/>
    </xf>
    <xf numFmtId="0" fontId="103" fillId="8" borderId="24" xfId="0" applyFont="1" applyFill="1" applyBorder="1" applyAlignment="1" applyProtection="1">
      <alignment horizontal="left" vertical="center" wrapText="1"/>
    </xf>
    <xf numFmtId="0" fontId="40" fillId="8" borderId="0" xfId="0" applyFont="1" applyFill="1" applyAlignment="1" applyProtection="1">
      <alignment horizontal="left" vertical="center"/>
    </xf>
    <xf numFmtId="181" fontId="40" fillId="5" borderId="0" xfId="0" applyNumberFormat="1" applyFont="1" applyFill="1" applyAlignment="1" applyProtection="1">
      <alignment horizontal="left" vertical="center"/>
    </xf>
    <xf numFmtId="0" fontId="105" fillId="8" borderId="1" xfId="0" applyFont="1" applyFill="1" applyBorder="1" applyAlignment="1" applyProtection="1">
      <alignment horizontal="left" vertical="center" wrapText="1"/>
    </xf>
    <xf numFmtId="0" fontId="113" fillId="8" borderId="1" xfId="0" applyFont="1" applyFill="1" applyBorder="1" applyAlignment="1" applyProtection="1">
      <alignment horizontal="left" vertical="center" wrapText="1"/>
    </xf>
    <xf numFmtId="0" fontId="242" fillId="8" borderId="1" xfId="0" applyFont="1" applyFill="1" applyBorder="1" applyAlignment="1" applyProtection="1">
      <alignment horizontal="left" vertical="center" wrapText="1"/>
    </xf>
    <xf numFmtId="10" fontId="242" fillId="8" borderId="1" xfId="0" applyNumberFormat="1" applyFont="1" applyFill="1" applyBorder="1" applyAlignment="1" applyProtection="1">
      <alignment horizontal="left" vertical="center"/>
    </xf>
    <xf numFmtId="9" fontId="242" fillId="8" borderId="1" xfId="0" applyNumberFormat="1" applyFont="1" applyFill="1" applyBorder="1" applyAlignment="1" applyProtection="1">
      <alignment horizontal="left" vertical="center"/>
    </xf>
    <xf numFmtId="0" fontId="242" fillId="8" borderId="18" xfId="0" applyFont="1" applyFill="1" applyBorder="1" applyAlignment="1" applyProtection="1">
      <alignment horizontal="left" vertical="center" wrapText="1"/>
    </xf>
    <xf numFmtId="0" fontId="105" fillId="8" borderId="18" xfId="0" applyFont="1" applyFill="1" applyBorder="1" applyAlignment="1" applyProtection="1">
      <alignment horizontal="left" vertical="center" wrapText="1"/>
    </xf>
    <xf numFmtId="9" fontId="242" fillId="8" borderId="18" xfId="0" applyNumberFormat="1" applyFont="1" applyFill="1" applyBorder="1" applyAlignment="1" applyProtection="1">
      <alignment horizontal="left" vertical="center"/>
    </xf>
    <xf numFmtId="0" fontId="105" fillId="8" borderId="2" xfId="0" applyFont="1" applyFill="1" applyBorder="1" applyAlignment="1" applyProtection="1">
      <alignment horizontal="left" vertical="center" wrapText="1"/>
    </xf>
    <xf numFmtId="0" fontId="242" fillId="8" borderId="35" xfId="0" applyFont="1" applyFill="1" applyBorder="1" applyAlignment="1" applyProtection="1">
      <alignment horizontal="left" vertical="center" wrapText="1"/>
    </xf>
    <xf numFmtId="0" fontId="242" fillId="8" borderId="36" xfId="0" applyFont="1" applyFill="1" applyBorder="1" applyAlignment="1" applyProtection="1">
      <alignment horizontal="left" vertical="center" wrapText="1"/>
    </xf>
    <xf numFmtId="0" fontId="242" fillId="8" borderId="27" xfId="0" applyFont="1" applyFill="1" applyBorder="1" applyAlignment="1" applyProtection="1">
      <alignment horizontal="left" vertical="center" wrapText="1"/>
    </xf>
    <xf numFmtId="0" fontId="242" fillId="8" borderId="2" xfId="0" applyFont="1" applyFill="1" applyBorder="1" applyAlignment="1" applyProtection="1">
      <alignment horizontal="left" vertical="center" wrapText="1"/>
    </xf>
    <xf numFmtId="0" fontId="242" fillId="8" borderId="51" xfId="0" applyFont="1" applyFill="1" applyBorder="1" applyAlignment="1" applyProtection="1">
      <alignment horizontal="left" vertical="center"/>
    </xf>
    <xf numFmtId="0" fontId="242" fillId="8" borderId="3" xfId="0" applyFont="1" applyFill="1" applyBorder="1" applyAlignment="1" applyProtection="1">
      <alignment horizontal="left" vertical="center" wrapText="1"/>
    </xf>
    <xf numFmtId="0" fontId="242" fillId="8" borderId="60" xfId="0" applyFont="1" applyFill="1" applyBorder="1" applyAlignment="1" applyProtection="1">
      <alignment horizontal="left" vertical="center" wrapText="1"/>
    </xf>
    <xf numFmtId="0" fontId="242" fillId="8" borderId="0" xfId="0" applyFont="1" applyFill="1" applyBorder="1" applyAlignment="1" applyProtection="1">
      <alignment horizontal="left" vertical="center" wrapText="1"/>
    </xf>
    <xf numFmtId="0" fontId="242" fillId="8" borderId="25" xfId="0" applyFont="1" applyFill="1" applyBorder="1" applyAlignment="1" applyProtection="1">
      <alignment horizontal="left" vertical="center" wrapText="1"/>
    </xf>
    <xf numFmtId="0" fontId="242" fillId="8" borderId="64" xfId="0" applyFont="1" applyFill="1" applyBorder="1" applyAlignment="1" applyProtection="1">
      <alignment horizontal="left" vertical="center" wrapText="1"/>
    </xf>
    <xf numFmtId="0" fontId="242" fillId="8" borderId="65" xfId="0" applyFont="1" applyFill="1" applyBorder="1" applyAlignment="1" applyProtection="1">
      <alignment horizontal="left" vertical="center" wrapText="1"/>
    </xf>
    <xf numFmtId="0" fontId="242" fillId="8" borderId="24" xfId="0" applyFont="1" applyFill="1" applyBorder="1" applyAlignment="1" applyProtection="1">
      <alignment horizontal="left" vertical="center" wrapText="1"/>
    </xf>
    <xf numFmtId="0" fontId="193" fillId="8" borderId="0" xfId="0" applyFont="1" applyFill="1" applyAlignment="1" applyProtection="1">
      <alignment horizontal="left" vertical="center"/>
    </xf>
    <xf numFmtId="0" fontId="243" fillId="5" borderId="1" xfId="0" applyFont="1" applyFill="1" applyBorder="1" applyAlignment="1" applyProtection="1">
      <alignment horizontal="left" vertical="center" wrapText="1"/>
    </xf>
    <xf numFmtId="0" fontId="193" fillId="5" borderId="1" xfId="0" applyFont="1" applyFill="1" applyBorder="1" applyAlignment="1" applyProtection="1">
      <alignment horizontal="left" vertical="center"/>
    </xf>
    <xf numFmtId="181" fontId="193" fillId="5" borderId="0" xfId="0" applyNumberFormat="1" applyFont="1" applyFill="1" applyAlignment="1" applyProtection="1">
      <alignment horizontal="left" vertical="center"/>
    </xf>
    <xf numFmtId="9" fontId="40" fillId="6" borderId="36" xfId="0" applyNumberFormat="1" applyFont="1" applyFill="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0" fillId="5" borderId="0" xfId="0" applyFont="1" applyFill="1" applyAlignment="1" applyProtection="1">
      <alignment horizontal="left" vertical="center"/>
    </xf>
    <xf numFmtId="9" fontId="40" fillId="5" borderId="6" xfId="0" applyNumberFormat="1" applyFont="1" applyFill="1" applyBorder="1" applyAlignment="1" applyProtection="1">
      <alignment horizontal="left" vertical="center"/>
    </xf>
    <xf numFmtId="10" fontId="40" fillId="5" borderId="17" xfId="0" applyNumberFormat="1" applyFont="1" applyFill="1" applyBorder="1" applyAlignment="1" applyProtection="1">
      <alignment horizontal="left" vertical="center"/>
    </xf>
    <xf numFmtId="0" fontId="41" fillId="0" borderId="6"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protection locked="0"/>
    </xf>
    <xf numFmtId="0" fontId="40" fillId="5" borderId="35"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73" fillId="18" borderId="0" xfId="0" applyFont="1" applyFill="1" applyAlignment="1" applyProtection="1">
      <alignment horizontal="left" vertical="center"/>
    </xf>
    <xf numFmtId="10" fontId="40" fillId="18" borderId="0" xfId="0" applyNumberFormat="1" applyFont="1" applyFill="1" applyAlignment="1" applyProtection="1">
      <alignment horizontal="left" vertical="center"/>
    </xf>
    <xf numFmtId="0" fontId="40" fillId="5" borderId="6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40" fillId="5" borderId="23"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114" fillId="0" borderId="6" xfId="0" applyFont="1" applyFill="1" applyBorder="1" applyAlignment="1" applyProtection="1">
      <alignment horizontal="left" vertical="center" wrapText="1"/>
      <protection locked="0"/>
    </xf>
    <xf numFmtId="0" fontId="40" fillId="2" borderId="3" xfId="0" applyFont="1" applyFill="1" applyBorder="1" applyAlignment="1" applyProtection="1">
      <alignment horizontal="left" vertical="center" wrapText="1"/>
      <protection locked="0"/>
    </xf>
    <xf numFmtId="0" fontId="40" fillId="18" borderId="44" xfId="0" applyFont="1" applyFill="1" applyBorder="1" applyAlignment="1" applyProtection="1">
      <alignment horizontal="left" vertical="center"/>
    </xf>
    <xf numFmtId="10" fontId="40" fillId="18" borderId="61" xfId="0" applyNumberFormat="1" applyFont="1" applyFill="1" applyBorder="1" applyAlignment="1" applyProtection="1">
      <alignment horizontal="left" vertical="center"/>
    </xf>
    <xf numFmtId="0" fontId="168" fillId="5" borderId="1" xfId="13" applyFont="1" applyFill="1" applyBorder="1" applyAlignment="1" applyProtection="1">
      <alignment horizontal="left" vertical="center" wrapText="1"/>
    </xf>
    <xf numFmtId="0" fontId="167"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68" fillId="5" borderId="1" xfId="13" applyNumberFormat="1" applyFont="1" applyFill="1" applyBorder="1" applyAlignment="1" applyProtection="1">
      <alignment horizontal="left" vertical="center" wrapText="1"/>
    </xf>
    <xf numFmtId="0" fontId="168" fillId="13" borderId="1" xfId="13" applyFont="1" applyFill="1" applyBorder="1" applyAlignment="1" applyProtection="1">
      <alignment horizontal="left" vertical="center" wrapText="1"/>
      <protection locked="0"/>
    </xf>
    <xf numFmtId="0" fontId="167" fillId="5" borderId="1" xfId="13" applyFill="1" applyBorder="1" applyAlignment="1" applyProtection="1">
      <alignment horizontal="left" vertical="center"/>
    </xf>
    <xf numFmtId="0" fontId="168" fillId="5" borderId="18" xfId="13" applyFont="1" applyFill="1" applyBorder="1" applyAlignment="1" applyProtection="1">
      <alignment horizontal="left" vertical="center" wrapText="1"/>
    </xf>
    <xf numFmtId="0" fontId="90" fillId="0" borderId="1" xfId="13" applyFont="1" applyFill="1" applyBorder="1" applyAlignment="1" applyProtection="1">
      <alignment horizontal="left"/>
      <protection locked="0"/>
    </xf>
    <xf numFmtId="0" fontId="167" fillId="0" borderId="1" xfId="13" applyBorder="1" applyAlignment="1" applyProtection="1">
      <alignment horizontal="left"/>
      <protection locked="0"/>
    </xf>
    <xf numFmtId="0" fontId="45" fillId="5" borderId="87" xfId="0" applyFont="1" applyFill="1" applyBorder="1" applyAlignment="1" applyProtection="1">
      <alignment vertical="center"/>
    </xf>
    <xf numFmtId="0" fontId="45" fillId="5" borderId="88" xfId="0" applyFont="1" applyFill="1" applyBorder="1" applyAlignment="1" applyProtection="1">
      <alignment vertical="center"/>
    </xf>
    <xf numFmtId="14" fontId="40" fillId="0" borderId="54" xfId="0" applyNumberFormat="1" applyFont="1" applyFill="1" applyBorder="1" applyAlignment="1" applyProtection="1">
      <alignment vertical="center"/>
      <protection locked="0"/>
    </xf>
    <xf numFmtId="0" fontId="40" fillId="5" borderId="124" xfId="0" applyFont="1" applyFill="1" applyBorder="1" applyAlignment="1" applyProtection="1">
      <alignment vertical="center"/>
    </xf>
    <xf numFmtId="14" fontId="40" fillId="6" borderId="75" xfId="0" applyNumberFormat="1" applyFont="1" applyFill="1" applyBorder="1" applyAlignment="1" applyProtection="1">
      <alignment vertical="center"/>
      <protection locked="0"/>
    </xf>
    <xf numFmtId="0" fontId="40" fillId="5" borderId="75" xfId="0" applyFont="1" applyFill="1" applyBorder="1" applyAlignment="1" applyProtection="1">
      <alignment vertical="center" wrapText="1"/>
    </xf>
    <xf numFmtId="0" fontId="40" fillId="5" borderId="75" xfId="0" applyNumberFormat="1" applyFont="1" applyFill="1" applyBorder="1" applyAlignment="1" applyProtection="1">
      <alignment vertical="center"/>
    </xf>
    <xf numFmtId="0" fontId="40" fillId="2" borderId="1" xfId="0" applyFont="1" applyFill="1" applyBorder="1" applyAlignment="1" applyProtection="1">
      <alignment vertical="center" wrapText="1"/>
      <protection locked="0"/>
    </xf>
    <xf numFmtId="0" fontId="40" fillId="0" borderId="3" xfId="0" applyFont="1" applyFill="1" applyBorder="1" applyAlignment="1" applyProtection="1">
      <alignment vertical="center" wrapText="1"/>
      <protection locked="0"/>
    </xf>
    <xf numFmtId="0" fontId="114" fillId="5" borderId="0" xfId="0" applyFont="1" applyFill="1" applyBorder="1" applyAlignment="1" applyProtection="1">
      <alignment vertical="center"/>
    </xf>
    <xf numFmtId="0" fontId="40" fillId="2" borderId="75" xfId="0" applyFont="1" applyFill="1" applyBorder="1" applyAlignment="1" applyProtection="1">
      <alignment vertical="center" wrapText="1"/>
      <protection locked="0"/>
    </xf>
    <xf numFmtId="0" fontId="40" fillId="5" borderId="22" xfId="0" applyFont="1" applyFill="1" applyBorder="1" applyAlignment="1" applyProtection="1">
      <alignment vertical="center" wrapText="1"/>
    </xf>
    <xf numFmtId="49" fontId="40" fillId="5" borderId="28" xfId="0" applyNumberFormat="1" applyFont="1" applyFill="1" applyBorder="1" applyAlignment="1" applyProtection="1">
      <alignment vertical="center" wrapText="1"/>
    </xf>
    <xf numFmtId="0" fontId="40" fillId="5" borderId="31" xfId="0" applyNumberFormat="1" applyFont="1" applyFill="1" applyBorder="1" applyAlignment="1" applyProtection="1">
      <alignment vertical="center" wrapText="1"/>
    </xf>
    <xf numFmtId="49" fontId="40" fillId="6" borderId="3" xfId="0" applyNumberFormat="1" applyFont="1" applyFill="1" applyBorder="1" applyAlignment="1" applyProtection="1">
      <alignment vertical="center" wrapText="1"/>
      <protection locked="0"/>
    </xf>
    <xf numFmtId="49" fontId="40" fillId="0" borderId="6" xfId="0" applyNumberFormat="1" applyFont="1" applyFill="1" applyBorder="1" applyAlignment="1" applyProtection="1">
      <alignment vertical="center" wrapText="1"/>
      <protection locked="0"/>
    </xf>
    <xf numFmtId="49" fontId="40" fillId="6" borderId="61" xfId="0" applyNumberFormat="1" applyFont="1" applyFill="1" applyBorder="1" applyAlignment="1" applyProtection="1">
      <alignment vertical="center" wrapText="1"/>
      <protection locked="0"/>
    </xf>
    <xf numFmtId="49" fontId="40" fillId="0" borderId="43" xfId="0" applyNumberFormat="1" applyFont="1" applyFill="1" applyBorder="1" applyAlignment="1" applyProtection="1">
      <alignment vertical="center" wrapText="1"/>
      <protection locked="0"/>
    </xf>
    <xf numFmtId="0" fontId="40" fillId="5" borderId="29" xfId="0" applyFont="1" applyFill="1" applyBorder="1" applyAlignment="1" applyProtection="1">
      <alignment vertical="center" wrapText="1"/>
    </xf>
    <xf numFmtId="0" fontId="40" fillId="0" borderId="73" xfId="0" applyFont="1" applyFill="1" applyBorder="1" applyAlignment="1" applyProtection="1">
      <alignment vertical="center" wrapText="1"/>
      <protection locked="0"/>
    </xf>
    <xf numFmtId="0" fontId="40" fillId="5" borderId="92" xfId="0" applyFont="1" applyFill="1" applyBorder="1" applyAlignment="1" applyProtection="1">
      <alignment vertical="center" wrapText="1"/>
    </xf>
    <xf numFmtId="0" fontId="40" fillId="6" borderId="40" xfId="0" applyFont="1" applyFill="1" applyBorder="1" applyAlignment="1" applyProtection="1">
      <alignment vertical="center" wrapText="1"/>
      <protection locked="0"/>
    </xf>
    <xf numFmtId="0" fontId="40" fillId="6" borderId="73"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shrinkToFit="1"/>
      <protection locked="0"/>
    </xf>
    <xf numFmtId="0" fontId="40" fillId="5" borderId="21" xfId="0" applyFont="1" applyFill="1" applyBorder="1" applyAlignment="1" applyProtection="1">
      <alignment vertical="center" wrapText="1"/>
    </xf>
    <xf numFmtId="184" fontId="40" fillId="0" borderId="38" xfId="0" applyNumberFormat="1" applyFont="1" applyFill="1" applyBorder="1" applyAlignment="1" applyProtection="1">
      <alignment vertical="center" wrapText="1"/>
      <protection locked="0"/>
    </xf>
    <xf numFmtId="0" fontId="40" fillId="5" borderId="5" xfId="0" applyFont="1" applyFill="1" applyBorder="1" applyAlignment="1" applyProtection="1">
      <alignment vertical="center" wrapText="1"/>
    </xf>
    <xf numFmtId="0" fontId="40" fillId="5" borderId="25" xfId="0" applyFont="1" applyFill="1" applyBorder="1" applyAlignment="1" applyProtection="1">
      <alignment vertical="center" wrapText="1"/>
    </xf>
    <xf numFmtId="0" fontId="40" fillId="0" borderId="6" xfId="0" applyFont="1" applyFill="1" applyBorder="1" applyAlignment="1" applyProtection="1">
      <alignment vertical="center" wrapText="1"/>
      <protection locked="0"/>
    </xf>
    <xf numFmtId="0" fontId="40" fillId="0" borderId="1" xfId="0" applyFont="1" applyFill="1" applyBorder="1" applyAlignment="1" applyProtection="1">
      <alignment vertical="center" wrapText="1"/>
      <protection locked="0"/>
    </xf>
    <xf numFmtId="0" fontId="40" fillId="0" borderId="43" xfId="0" applyFont="1" applyFill="1" applyBorder="1" applyAlignment="1" applyProtection="1">
      <alignment vertical="center" wrapText="1"/>
      <protection locked="0"/>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xf>
    <xf numFmtId="0" fontId="45" fillId="5" borderId="79" xfId="0" applyFont="1" applyFill="1" applyBorder="1" applyAlignment="1" applyProtection="1">
      <alignment vertical="center" wrapText="1"/>
    </xf>
    <xf numFmtId="0" fontId="45" fillId="6" borderId="37" xfId="0" applyFont="1" applyFill="1" applyBorder="1" applyAlignment="1" applyProtection="1">
      <alignment vertical="center" wrapText="1"/>
      <protection locked="0"/>
    </xf>
    <xf numFmtId="0" fontId="45" fillId="6" borderId="79" xfId="0" applyFont="1" applyFill="1" applyBorder="1" applyAlignment="1" applyProtection="1">
      <alignment vertical="center" wrapText="1"/>
      <protection locked="0"/>
    </xf>
    <xf numFmtId="0" fontId="40" fillId="5" borderId="6" xfId="0" applyFont="1" applyFill="1" applyBorder="1" applyAlignment="1" applyProtection="1">
      <alignment vertical="center" wrapText="1"/>
      <protection locked="0"/>
    </xf>
    <xf numFmtId="184" fontId="40" fillId="0" borderId="43" xfId="0" applyNumberFormat="1" applyFont="1" applyFill="1" applyBorder="1" applyAlignment="1" applyProtection="1">
      <alignment vertical="center"/>
      <protection locked="0"/>
    </xf>
    <xf numFmtId="0" fontId="40" fillId="5" borderId="28" xfId="0" applyFont="1" applyFill="1" applyBorder="1" applyAlignment="1" applyProtection="1">
      <alignment vertical="center" wrapText="1"/>
    </xf>
    <xf numFmtId="0" fontId="40" fillId="6" borderId="34" xfId="0" applyFont="1" applyFill="1" applyBorder="1" applyAlignment="1" applyProtection="1">
      <alignment vertical="center" wrapText="1"/>
      <protection locked="0"/>
    </xf>
    <xf numFmtId="0" fontId="40" fillId="6" borderId="50" xfId="0" applyFont="1" applyFill="1" applyBorder="1" applyAlignment="1" applyProtection="1">
      <alignment vertical="center" wrapText="1"/>
      <protection locked="0"/>
    </xf>
    <xf numFmtId="184" fontId="40" fillId="0" borderId="31" xfId="0" applyNumberFormat="1" applyFont="1" applyFill="1" applyBorder="1" applyAlignment="1" applyProtection="1">
      <alignmen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179" fontId="37" fillId="5" borderId="0" xfId="0" applyNumberFormat="1" applyFont="1" applyFill="1" applyAlignment="1" applyProtection="1">
      <alignment horizontal="left" vertical="center"/>
      <protection locked="0"/>
    </xf>
    <xf numFmtId="0" fontId="37" fillId="0" borderId="0" xfId="0" applyFont="1" applyAlignment="1" applyProtection="1">
      <alignment horizontal="left" vertical="center"/>
      <protection locked="0"/>
    </xf>
    <xf numFmtId="0" fontId="37" fillId="6" borderId="15" xfId="0" applyNumberFormat="1" applyFont="1" applyFill="1" applyBorder="1" applyAlignment="1" applyProtection="1">
      <alignment horizontal="left" vertical="center"/>
      <protection locked="0"/>
    </xf>
    <xf numFmtId="0" fontId="37" fillId="6" borderId="53" xfId="0" applyNumberFormat="1" applyFont="1" applyFill="1" applyBorder="1" applyAlignment="1" applyProtection="1">
      <alignment horizontal="left" vertical="center"/>
      <protection locked="0"/>
    </xf>
    <xf numFmtId="0" fontId="39" fillId="5" borderId="55" xfId="0" applyFont="1" applyFill="1" applyBorder="1" applyAlignment="1" applyProtection="1">
      <alignment horizontal="left" vertical="center" wrapText="1"/>
      <protection locked="0"/>
    </xf>
    <xf numFmtId="0" fontId="37" fillId="5" borderId="15" xfId="0" applyFont="1" applyFill="1" applyBorder="1" applyAlignment="1" applyProtection="1">
      <alignment horizontal="left" vertical="center"/>
      <protection locked="0"/>
    </xf>
    <xf numFmtId="0" fontId="37" fillId="0" borderId="1" xfId="0" applyNumberFormat="1" applyFont="1" applyFill="1" applyBorder="1" applyAlignment="1" applyProtection="1">
      <alignment horizontal="left" vertical="center"/>
      <protection locked="0"/>
    </xf>
    <xf numFmtId="0" fontId="39" fillId="5" borderId="29"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wrapText="1"/>
      <protection locked="0"/>
    </xf>
    <xf numFmtId="177" fontId="37" fillId="2" borderId="31" xfId="1" applyNumberFormat="1" applyFont="1" applyFill="1" applyBorder="1" applyAlignment="1" applyProtection="1">
      <alignment horizontal="left" vertical="center"/>
      <protection locked="0"/>
    </xf>
    <xf numFmtId="0" fontId="37" fillId="5" borderId="14" xfId="0" applyFont="1" applyFill="1" applyBorder="1" applyAlignment="1" applyProtection="1">
      <alignment horizontal="left" vertical="center"/>
    </xf>
    <xf numFmtId="177" fontId="40"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184" fontId="54"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181" fontId="37" fillId="0" borderId="6" xfId="0"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40" fillId="0" borderId="31" xfId="1" applyNumberFormat="1" applyFont="1" applyFill="1" applyBorder="1" applyAlignment="1" applyProtection="1">
      <alignment horizontal="left" vertical="center"/>
      <protection locked="0"/>
    </xf>
    <xf numFmtId="0" fontId="40" fillId="5" borderId="82" xfId="0" applyFont="1" applyFill="1" applyBorder="1" applyAlignment="1" applyProtection="1">
      <alignment horizontal="left" vertical="center"/>
      <protection locked="0"/>
    </xf>
    <xf numFmtId="176" fontId="44" fillId="0" borderId="31" xfId="1" applyNumberFormat="1" applyFont="1" applyFill="1" applyBorder="1" applyAlignment="1" applyProtection="1">
      <alignment horizontal="left" vertical="center"/>
      <protection locked="0"/>
    </xf>
    <xf numFmtId="10" fontId="40" fillId="0" borderId="6" xfId="1" applyNumberFormat="1" applyFont="1" applyFill="1" applyBorder="1" applyAlignment="1" applyProtection="1">
      <alignment horizontal="left" vertical="center"/>
      <protection locked="0"/>
    </xf>
    <xf numFmtId="176" fontId="37" fillId="0" borderId="6" xfId="1" applyNumberFormat="1" applyFont="1" applyFill="1" applyBorder="1" applyAlignment="1" applyProtection="1">
      <alignment horizontal="left" vertical="center"/>
      <protection locked="0"/>
    </xf>
    <xf numFmtId="181" fontId="40" fillId="0" borderId="31" xfId="0" applyNumberFormat="1" applyFont="1" applyFill="1" applyBorder="1" applyAlignment="1" applyProtection="1">
      <alignment horizontal="left" vertical="center"/>
      <protection locked="0"/>
    </xf>
    <xf numFmtId="0" fontId="114" fillId="5" borderId="0" xfId="0" applyFont="1" applyFill="1" applyAlignment="1" applyProtection="1">
      <alignment horizontal="left" vertical="center"/>
      <protection locked="0"/>
    </xf>
    <xf numFmtId="176" fontId="37" fillId="0" borderId="58"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181" fontId="40" fillId="0" borderId="43" xfId="0" applyNumberFormat="1" applyFont="1" applyFill="1" applyBorder="1" applyAlignment="1" applyProtection="1">
      <alignment horizontal="left" vertical="center"/>
      <protection locked="0"/>
    </xf>
    <xf numFmtId="0" fontId="37" fillId="0" borderId="15" xfId="0" applyNumberFormat="1" applyFont="1" applyFill="1" applyBorder="1" applyAlignment="1" applyProtection="1">
      <alignment horizontal="left" vertical="center"/>
      <protection locked="0"/>
    </xf>
    <xf numFmtId="0" fontId="40" fillId="6" borderId="31" xfId="0" applyFont="1" applyFill="1" applyBorder="1" applyAlignment="1" applyProtection="1">
      <alignment horizontal="left" vertical="center"/>
      <protection locked="0"/>
    </xf>
    <xf numFmtId="9" fontId="40" fillId="0" borderId="43" xfId="0" applyNumberFormat="1" applyFont="1" applyFill="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10" fontId="37" fillId="0" borderId="58" xfId="0" applyNumberFormat="1" applyFont="1" applyFill="1" applyBorder="1" applyAlignment="1" applyProtection="1">
      <alignment horizontal="left" vertical="center"/>
      <protection locked="0"/>
    </xf>
    <xf numFmtId="10" fontId="37" fillId="2" borderId="58" xfId="0" applyNumberFormat="1" applyFont="1" applyFill="1" applyBorder="1" applyAlignment="1" applyProtection="1">
      <alignment horizontal="left" vertical="center"/>
      <protection locked="0"/>
    </xf>
    <xf numFmtId="0" fontId="98" fillId="5" borderId="0" xfId="0" applyFont="1" applyFill="1" applyAlignment="1" applyProtection="1">
      <alignment horizontal="left" vertical="center"/>
      <protection locked="0"/>
    </xf>
    <xf numFmtId="0" fontId="37" fillId="0" borderId="58" xfId="0" applyFont="1" applyFill="1" applyBorder="1" applyAlignment="1" applyProtection="1">
      <alignment horizontal="left" vertical="center"/>
      <protection locked="0"/>
    </xf>
    <xf numFmtId="0" fontId="40" fillId="0" borderId="0" xfId="0" applyFont="1" applyFill="1" applyAlignment="1" applyProtection="1">
      <alignment horizontal="left" vertical="center"/>
      <protection locked="0"/>
    </xf>
    <xf numFmtId="0" fontId="37" fillId="5" borderId="38" xfId="0" applyFont="1" applyFill="1" applyBorder="1" applyAlignment="1" applyProtection="1">
      <alignment horizontal="left" vertical="center"/>
    </xf>
    <xf numFmtId="10" fontId="37" fillId="0" borderId="43" xfId="0" applyNumberFormat="1" applyFont="1" applyFill="1" applyBorder="1" applyAlignment="1" applyProtection="1">
      <alignment horizontal="left" vertical="center"/>
      <protection locked="0"/>
    </xf>
    <xf numFmtId="0" fontId="37" fillId="0" borderId="34" xfId="0" applyFont="1" applyFill="1" applyBorder="1" applyAlignment="1" applyProtection="1">
      <alignment horizontal="left" vertical="center"/>
      <protection locked="0"/>
    </xf>
    <xf numFmtId="10" fontId="37" fillId="0" borderId="50" xfId="0" applyNumberFormat="1" applyFont="1" applyFill="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6" borderId="6" xfId="0" applyFont="1" applyFill="1" applyBorder="1" applyAlignment="1" applyProtection="1">
      <alignment horizontal="left" vertical="center"/>
      <protection locked="0"/>
    </xf>
    <xf numFmtId="0" fontId="37" fillId="0" borderId="7" xfId="0" applyFont="1" applyBorder="1" applyAlignment="1" applyProtection="1">
      <alignment horizontal="left" vertical="center" wrapText="1"/>
      <protection locked="0"/>
    </xf>
    <xf numFmtId="10" fontId="37" fillId="0" borderId="6" xfId="0" applyNumberFormat="1" applyFont="1" applyBorder="1" applyAlignment="1" applyProtection="1">
      <alignment horizontal="left" vertical="center"/>
      <protection locked="0"/>
    </xf>
    <xf numFmtId="183" fontId="37" fillId="0" borderId="6" xfId="0" applyNumberFormat="1" applyFont="1" applyBorder="1" applyAlignment="1" applyProtection="1">
      <alignment horizontal="left" vertical="center"/>
      <protection locked="0"/>
    </xf>
    <xf numFmtId="181" fontId="37" fillId="0" borderId="43" xfId="0" applyNumberFormat="1" applyFont="1" applyBorder="1" applyAlignment="1" applyProtection="1">
      <alignment horizontal="left" vertical="center"/>
      <protection locked="0"/>
    </xf>
    <xf numFmtId="0" fontId="37" fillId="0" borderId="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79" fontId="40" fillId="0" borderId="0" xfId="0" applyNumberFormat="1" applyFont="1" applyAlignment="1" applyProtection="1">
      <alignment horizontal="left" vertical="center"/>
      <protection locked="0"/>
    </xf>
    <xf numFmtId="0" fontId="216" fillId="8" borderId="112" xfId="0" applyFont="1" applyFill="1" applyBorder="1" applyAlignment="1" applyProtection="1">
      <alignment horizontal="left" vertical="center" wrapText="1"/>
      <protection locked="0"/>
    </xf>
    <xf numFmtId="0" fontId="216" fillId="8" borderId="112" xfId="0" applyNumberFormat="1" applyFont="1" applyFill="1" applyBorder="1" applyAlignment="1" applyProtection="1">
      <alignment horizontal="left" vertical="center" wrapText="1"/>
      <protection locked="0"/>
    </xf>
    <xf numFmtId="0" fontId="216" fillId="8" borderId="113" xfId="0" applyFont="1" applyFill="1" applyBorder="1" applyAlignment="1" applyProtection="1">
      <alignment horizontal="left" vertical="center" wrapText="1"/>
      <protection locked="0"/>
    </xf>
    <xf numFmtId="0" fontId="217" fillId="8" borderId="0" xfId="0" applyNumberFormat="1" applyFont="1" applyFill="1" applyAlignment="1" applyProtection="1">
      <alignment horizontal="left" vertical="center"/>
      <protection locked="0"/>
    </xf>
    <xf numFmtId="0" fontId="217" fillId="8" borderId="0" xfId="0" applyFont="1" applyFill="1" applyAlignment="1" applyProtection="1">
      <alignment horizontal="left" vertical="center"/>
      <protection locked="0"/>
    </xf>
    <xf numFmtId="0" fontId="217" fillId="0" borderId="0" xfId="0" applyFont="1" applyAlignment="1" applyProtection="1">
      <alignment horizontal="left" vertical="center"/>
      <protection locked="0"/>
    </xf>
    <xf numFmtId="0" fontId="39" fillId="5" borderId="0" xfId="0" applyFont="1" applyFill="1" applyBorder="1" applyAlignment="1" applyProtection="1">
      <alignment horizontal="left" vertical="center" wrapText="1"/>
    </xf>
    <xf numFmtId="0" fontId="37" fillId="8" borderId="0" xfId="0" applyFont="1" applyFill="1" applyAlignment="1" applyProtection="1">
      <alignment horizontal="left" vertical="center"/>
      <protection locked="0"/>
    </xf>
    <xf numFmtId="49" fontId="37" fillId="5" borderId="0" xfId="0" applyNumberFormat="1"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xf>
    <xf numFmtId="0" fontId="216" fillId="8" borderId="0" xfId="0" applyFont="1" applyFill="1" applyBorder="1" applyAlignment="1" applyProtection="1">
      <alignment horizontal="left" vertical="center" wrapText="1"/>
      <protection locked="0"/>
    </xf>
    <xf numFmtId="0" fontId="216" fillId="8" borderId="0" xfId="0" applyNumberFormat="1" applyFont="1" applyFill="1" applyBorder="1" applyAlignment="1" applyProtection="1">
      <alignment horizontal="left" vertical="center" wrapText="1"/>
      <protection locked="0"/>
    </xf>
    <xf numFmtId="0" fontId="216" fillId="8" borderId="25" xfId="0" applyNumberFormat="1" applyFont="1" applyFill="1" applyBorder="1" applyAlignment="1" applyProtection="1">
      <alignment horizontal="left" vertical="center" wrapText="1"/>
      <protection locked="0"/>
    </xf>
    <xf numFmtId="0" fontId="217" fillId="8" borderId="0" xfId="0" applyFont="1" applyFill="1" applyAlignment="1" applyProtection="1">
      <alignment horizontal="left" vertical="center" wrapText="1"/>
      <protection locked="0"/>
    </xf>
    <xf numFmtId="0" fontId="217" fillId="8" borderId="0" xfId="0" applyNumberFormat="1" applyFont="1" applyFill="1" applyAlignment="1" applyProtection="1">
      <alignment horizontal="left" vertical="center" wrapText="1"/>
      <protection locked="0"/>
    </xf>
    <xf numFmtId="0" fontId="36" fillId="5" borderId="116" xfId="0" applyFont="1" applyFill="1" applyBorder="1" applyAlignment="1" applyProtection="1">
      <alignment horizontal="left" vertical="center"/>
    </xf>
    <xf numFmtId="0" fontId="37" fillId="8" borderId="0" xfId="0"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protection locked="0"/>
    </xf>
    <xf numFmtId="0" fontId="37" fillId="0" borderId="0" xfId="0" applyFont="1" applyFill="1" applyAlignment="1" applyProtection="1">
      <alignment horizontal="left" vertical="center" wrapText="1"/>
      <protection locked="0"/>
    </xf>
    <xf numFmtId="0" fontId="37" fillId="0" borderId="0" xfId="0" applyNumberFormat="1" applyFont="1" applyFill="1" applyAlignment="1" applyProtection="1">
      <alignment horizontal="left" vertical="center" wrapText="1"/>
      <protection locked="0"/>
    </xf>
    <xf numFmtId="0" fontId="37" fillId="5" borderId="18" xfId="0" applyFont="1" applyFill="1" applyBorder="1" applyAlignment="1" applyProtection="1">
      <alignment horizontal="left" vertical="center" wrapText="1"/>
    </xf>
    <xf numFmtId="0" fontId="95" fillId="2" borderId="18"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xf>
    <xf numFmtId="0" fontId="37" fillId="5" borderId="17" xfId="0" applyFont="1" applyFill="1" applyBorder="1" applyAlignment="1" applyProtection="1">
      <alignment horizontal="left" vertical="center"/>
    </xf>
    <xf numFmtId="0" fontId="39" fillId="5" borderId="60" xfId="0" applyFont="1" applyFill="1" applyBorder="1" applyAlignment="1" applyProtection="1">
      <alignment horizontal="left" vertical="center"/>
    </xf>
    <xf numFmtId="0" fontId="37" fillId="5" borderId="0" xfId="0" applyFont="1" applyFill="1" applyAlignment="1" applyProtection="1">
      <alignment horizontal="left" vertical="center"/>
    </xf>
    <xf numFmtId="179" fontId="37" fillId="5" borderId="18"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37" fillId="5" borderId="11" xfId="0" applyFont="1" applyFill="1" applyBorder="1" applyAlignment="1" applyProtection="1">
      <alignment horizontal="left" vertical="center"/>
    </xf>
    <xf numFmtId="0" fontId="95" fillId="5" borderId="11" xfId="0" applyFont="1" applyFill="1" applyBorder="1" applyAlignment="1" applyProtection="1">
      <alignment horizontal="left" vertical="center"/>
    </xf>
    <xf numFmtId="0" fontId="95" fillId="5" borderId="31" xfId="0" applyFont="1" applyFill="1" applyBorder="1" applyAlignment="1" applyProtection="1">
      <alignment horizontal="left" vertical="center"/>
    </xf>
    <xf numFmtId="0" fontId="37" fillId="5" borderId="13" xfId="0" applyFont="1" applyFill="1" applyBorder="1" applyAlignment="1" applyProtection="1">
      <alignment horizontal="left" vertical="center"/>
    </xf>
    <xf numFmtId="0" fontId="47" fillId="5" borderId="38" xfId="1" applyFont="1" applyFill="1" applyBorder="1" applyAlignment="1" applyProtection="1">
      <alignment horizontal="left" vertical="center"/>
    </xf>
    <xf numFmtId="0" fontId="39" fillId="5" borderId="39"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39" fillId="5" borderId="29" xfId="0" applyFont="1" applyFill="1" applyBorder="1" applyAlignment="1" applyProtection="1">
      <alignment horizontal="left" vertical="center"/>
    </xf>
    <xf numFmtId="0" fontId="37" fillId="5" borderId="61" xfId="0" applyFont="1" applyFill="1" applyBorder="1" applyAlignment="1" applyProtection="1">
      <alignment horizontal="left" vertical="center"/>
    </xf>
    <xf numFmtId="0" fontId="37" fillId="5" borderId="43" xfId="0" applyFont="1" applyFill="1" applyBorder="1" applyAlignment="1" applyProtection="1">
      <alignment horizontal="left" vertical="center"/>
    </xf>
    <xf numFmtId="0" fontId="37" fillId="5" borderId="44" xfId="0" applyFont="1" applyFill="1" applyBorder="1" applyAlignment="1" applyProtection="1">
      <alignment horizontal="left" vertical="center"/>
    </xf>
    <xf numFmtId="0" fontId="40" fillId="5" borderId="62" xfId="0" applyFont="1" applyFill="1" applyBorder="1" applyAlignment="1" applyProtection="1">
      <alignment horizontal="left" vertical="center"/>
    </xf>
    <xf numFmtId="0" fontId="37" fillId="5" borderId="55" xfId="0" applyFont="1" applyFill="1" applyBorder="1" applyAlignment="1" applyProtection="1">
      <alignment horizontal="left" vertical="center"/>
    </xf>
    <xf numFmtId="0" fontId="37" fillId="5" borderId="67" xfId="0" applyFont="1" applyFill="1" applyBorder="1" applyAlignment="1" applyProtection="1">
      <alignment horizontal="left" vertical="center"/>
    </xf>
    <xf numFmtId="181" fontId="102" fillId="5" borderId="81" xfId="0" applyNumberFormat="1" applyFont="1" applyFill="1" applyBorder="1" applyAlignment="1" applyProtection="1">
      <alignment horizontal="left" vertical="center"/>
    </xf>
    <xf numFmtId="0" fontId="37" fillId="5" borderId="64" xfId="0" applyFont="1" applyFill="1" applyBorder="1" applyAlignment="1" applyProtection="1">
      <alignment horizontal="left" vertical="center"/>
    </xf>
    <xf numFmtId="0" fontId="37" fillId="5" borderId="41" xfId="0" applyFont="1" applyFill="1" applyBorder="1" applyAlignment="1" applyProtection="1">
      <alignment horizontal="left" vertical="center"/>
    </xf>
    <xf numFmtId="0" fontId="96" fillId="0" borderId="7" xfId="0" applyFont="1" applyBorder="1" applyAlignment="1" applyProtection="1">
      <alignment horizontal="left" vertical="center"/>
      <protection locked="0"/>
    </xf>
    <xf numFmtId="0" fontId="96" fillId="0" borderId="1" xfId="0" applyFont="1" applyFill="1" applyBorder="1" applyAlignment="1" applyProtection="1">
      <alignment horizontal="left" vertical="center"/>
      <protection locked="0"/>
    </xf>
    <xf numFmtId="0" fontId="96" fillId="0" borderId="6" xfId="0" applyFont="1" applyFill="1" applyBorder="1" applyAlignment="1" applyProtection="1">
      <alignment horizontal="left" vertical="center"/>
      <protection locked="0"/>
    </xf>
    <xf numFmtId="0" fontId="37" fillId="6" borderId="41" xfId="0" applyFont="1" applyFill="1" applyBorder="1" applyAlignment="1" applyProtection="1">
      <alignment horizontal="left" vertical="center"/>
      <protection locked="0"/>
    </xf>
    <xf numFmtId="0" fontId="140" fillId="5" borderId="0" xfId="0" applyFont="1" applyFill="1" applyAlignment="1" applyProtection="1">
      <alignment horizontal="left" vertical="center"/>
    </xf>
    <xf numFmtId="0" fontId="39" fillId="5" borderId="23" xfId="0" applyFont="1" applyFill="1" applyBorder="1" applyAlignment="1" applyProtection="1">
      <alignment horizontal="left" vertical="center"/>
    </xf>
    <xf numFmtId="0" fontId="40" fillId="6" borderId="64" xfId="0" applyFont="1" applyFill="1" applyBorder="1" applyAlignment="1" applyProtection="1">
      <alignment horizontal="left" vertical="center"/>
    </xf>
    <xf numFmtId="0" fontId="39" fillId="6" borderId="1" xfId="0"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37" fillId="5" borderId="24" xfId="0"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181" fontId="37" fillId="5" borderId="64" xfId="0" applyNumberFormat="1" applyFont="1" applyFill="1" applyBorder="1" applyAlignment="1" applyProtection="1">
      <alignment horizontal="left" vertical="center"/>
    </xf>
    <xf numFmtId="0" fontId="40" fillId="0" borderId="6" xfId="0" applyFont="1" applyBorder="1" applyAlignment="1" applyProtection="1">
      <alignment horizontal="left" vertical="center"/>
      <protection locked="0"/>
    </xf>
    <xf numFmtId="0" fontId="37" fillId="5" borderId="27" xfId="0" applyFont="1" applyFill="1" applyBorder="1" applyAlignment="1" applyProtection="1">
      <alignment horizontal="left" vertical="center"/>
    </xf>
    <xf numFmtId="0" fontId="39" fillId="5" borderId="35" xfId="0" applyFont="1" applyFill="1" applyBorder="1" applyAlignment="1" applyProtection="1">
      <alignment horizontal="left" vertical="center"/>
    </xf>
    <xf numFmtId="181" fontId="37" fillId="5" borderId="35" xfId="0" applyNumberFormat="1" applyFont="1" applyFill="1" applyBorder="1" applyAlignment="1" applyProtection="1">
      <alignment horizontal="left" vertical="center"/>
    </xf>
    <xf numFmtId="0" fontId="40" fillId="5" borderId="8" xfId="0" applyFont="1" applyFill="1" applyBorder="1" applyAlignment="1" applyProtection="1">
      <alignment horizontal="left" vertical="center"/>
    </xf>
    <xf numFmtId="0" fontId="40" fillId="0" borderId="43" xfId="0" applyFont="1" applyBorder="1" applyAlignment="1" applyProtection="1">
      <alignment horizontal="left" vertical="center"/>
      <protection locked="0"/>
    </xf>
    <xf numFmtId="0" fontId="39" fillId="0" borderId="31" xfId="0" applyFont="1" applyFill="1" applyBorder="1" applyAlignment="1" applyProtection="1">
      <alignment horizontal="left" vertical="center"/>
      <protection locked="0"/>
    </xf>
    <xf numFmtId="0" fontId="37" fillId="6" borderId="82" xfId="0"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37" fillId="0" borderId="81" xfId="0" applyFont="1" applyFill="1" applyBorder="1" applyAlignment="1" applyProtection="1">
      <alignment horizontal="left" vertical="center"/>
      <protection locked="0"/>
    </xf>
    <xf numFmtId="0" fontId="96" fillId="0" borderId="4" xfId="0" applyFont="1" applyFill="1" applyBorder="1" applyAlignment="1" applyProtection="1">
      <alignment horizontal="left" vertical="center"/>
      <protection locked="0"/>
    </xf>
    <xf numFmtId="0" fontId="96" fillId="0" borderId="11" xfId="0" applyFont="1" applyFill="1" applyBorder="1" applyAlignment="1" applyProtection="1">
      <alignment horizontal="left" vertical="center"/>
      <protection locked="0"/>
    </xf>
    <xf numFmtId="0" fontId="96" fillId="0" borderId="31" xfId="0" applyFont="1" applyFill="1" applyBorder="1" applyAlignment="1" applyProtection="1">
      <alignment horizontal="left" vertical="center"/>
      <protection locked="0"/>
    </xf>
    <xf numFmtId="0" fontId="40" fillId="5" borderId="39" xfId="0" applyFont="1" applyFill="1" applyBorder="1" applyAlignment="1" applyProtection="1">
      <alignment horizontal="left" vertical="center"/>
    </xf>
    <xf numFmtId="0" fontId="40" fillId="0" borderId="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6" xfId="0" applyFont="1" applyFill="1" applyBorder="1" applyAlignment="1" applyProtection="1">
      <alignment horizontal="left" vertical="center"/>
      <protection locked="0"/>
    </xf>
    <xf numFmtId="0" fontId="40" fillId="5" borderId="29" xfId="0" applyFont="1" applyFill="1" applyBorder="1" applyAlignment="1" applyProtection="1">
      <alignment horizontal="left" vertical="center"/>
    </xf>
    <xf numFmtId="0" fontId="40" fillId="0" borderId="8" xfId="0" applyFont="1" applyBorder="1" applyAlignment="1" applyProtection="1">
      <alignment horizontal="left" vertical="center"/>
      <protection locked="0"/>
    </xf>
    <xf numFmtId="0" fontId="40" fillId="0" borderId="61" xfId="0" applyFont="1" applyBorder="1" applyAlignment="1" applyProtection="1">
      <alignment horizontal="left" vertical="center"/>
      <protection locked="0"/>
    </xf>
    <xf numFmtId="0" fontId="114" fillId="5" borderId="0" xfId="0" applyFont="1" applyFill="1" applyAlignment="1" applyProtection="1">
      <alignment horizontal="left" vertical="center"/>
    </xf>
    <xf numFmtId="0" fontId="73" fillId="5" borderId="0" xfId="0" applyFont="1" applyFill="1" applyAlignment="1" applyProtection="1">
      <alignment horizontal="left" vertical="center"/>
    </xf>
    <xf numFmtId="0" fontId="96" fillId="0" borderId="18" xfId="0" applyFont="1" applyFill="1" applyBorder="1" applyAlignment="1" applyProtection="1">
      <alignment horizontal="left" vertical="center"/>
    </xf>
    <xf numFmtId="0" fontId="96" fillId="0" borderId="18" xfId="0" applyFont="1" applyFill="1" applyBorder="1" applyAlignment="1" applyProtection="1">
      <alignment horizontal="left" vertical="center"/>
      <protection locked="0"/>
    </xf>
    <xf numFmtId="0" fontId="39" fillId="5" borderId="28" xfId="0" applyFont="1" applyFill="1" applyBorder="1" applyAlignment="1" applyProtection="1">
      <alignment horizontal="left" vertical="center"/>
    </xf>
    <xf numFmtId="0" fontId="37" fillId="5" borderId="31"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7" fillId="5" borderId="6" xfId="0" applyFont="1" applyFill="1" applyBorder="1" applyAlignment="1" applyProtection="1">
      <alignment horizontal="left" vertical="center"/>
    </xf>
    <xf numFmtId="0" fontId="40" fillId="5" borderId="0" xfId="0" applyNumberFormat="1" applyFont="1" applyFill="1" applyAlignment="1" applyProtection="1">
      <alignment horizontal="left" vertical="center"/>
    </xf>
    <xf numFmtId="0" fontId="39" fillId="5" borderId="56"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217" fillId="5" borderId="0" xfId="0" applyFont="1" applyFill="1" applyBorder="1" applyAlignment="1" applyProtection="1">
      <alignment horizontal="left" vertical="center"/>
    </xf>
    <xf numFmtId="10" fontId="40" fillId="5" borderId="61" xfId="0" applyNumberFormat="1" applyFont="1" applyFill="1" applyBorder="1" applyAlignment="1" applyProtection="1">
      <alignment horizontal="left" vertical="center"/>
    </xf>
    <xf numFmtId="177" fontId="47" fillId="5" borderId="17" xfId="0" applyNumberFormat="1" applyFont="1" applyFill="1" applyBorder="1" applyAlignment="1" applyProtection="1">
      <alignment horizontal="left" vertical="center" wrapText="1"/>
    </xf>
    <xf numFmtId="177"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177" fontId="47" fillId="5" borderId="1" xfId="0" applyNumberFormat="1" applyFont="1" applyFill="1" applyBorder="1" applyAlignment="1" applyProtection="1">
      <alignment horizontal="left" vertical="center" wrapText="1"/>
    </xf>
    <xf numFmtId="177" fontId="47" fillId="5" borderId="61" xfId="0" applyNumberFormat="1" applyFont="1" applyFill="1" applyBorder="1" applyAlignment="1" applyProtection="1">
      <alignment horizontal="left" vertical="center" wrapText="1"/>
    </xf>
    <xf numFmtId="177" fontId="47" fillId="5" borderId="0" xfId="0" applyNumberFormat="1" applyFont="1" applyFill="1" applyBorder="1" applyAlignment="1" applyProtection="1">
      <alignment horizontal="left" vertical="center" wrapText="1"/>
    </xf>
    <xf numFmtId="0" fontId="95" fillId="5" borderId="0" xfId="2" applyFont="1" applyFill="1" applyAlignment="1" applyProtection="1">
      <alignment horizontal="left" vertical="center" wrapText="1"/>
    </xf>
    <xf numFmtId="0" fontId="37" fillId="2" borderId="1" xfId="2" applyFont="1" applyFill="1" applyBorder="1" applyAlignment="1" applyProtection="1">
      <alignment horizontal="left" vertical="center" wrapText="1"/>
      <protection locked="0"/>
    </xf>
    <xf numFmtId="177" fontId="46" fillId="0" borderId="6" xfId="0" applyNumberFormat="1" applyFont="1" applyFill="1" applyBorder="1" applyAlignment="1" applyProtection="1">
      <alignment horizontal="left" vertical="center" wrapText="1"/>
      <protection locked="0"/>
    </xf>
    <xf numFmtId="9" fontId="37" fillId="5" borderId="0" xfId="0" applyNumberFormat="1" applyFont="1" applyFill="1" applyBorder="1" applyAlignment="1" applyProtection="1">
      <alignment horizontal="left" vertical="center"/>
    </xf>
    <xf numFmtId="10" fontId="46" fillId="5" borderId="1" xfId="0" applyNumberFormat="1" applyFont="1" applyFill="1" applyBorder="1" applyAlignment="1" applyProtection="1">
      <alignment horizontal="left" vertical="center" wrapText="1"/>
    </xf>
    <xf numFmtId="191" fontId="46" fillId="5" borderId="1" xfId="0" applyNumberFormat="1" applyFont="1" applyFill="1" applyBorder="1" applyAlignment="1" applyProtection="1">
      <alignment horizontal="left" vertical="center" wrapText="1"/>
    </xf>
    <xf numFmtId="10" fontId="45" fillId="5" borderId="2" xfId="0" applyNumberFormat="1" applyFont="1" applyFill="1" applyBorder="1" applyAlignment="1" applyProtection="1">
      <alignment horizontal="left" vertical="center" wrapText="1"/>
    </xf>
    <xf numFmtId="181" fontId="47" fillId="5" borderId="1" xfId="0" applyNumberFormat="1"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191" fontId="46" fillId="0" borderId="1" xfId="0" applyNumberFormat="1" applyFont="1" applyFill="1" applyBorder="1" applyAlignment="1" applyProtection="1">
      <alignment horizontal="left" vertical="center" wrapText="1"/>
      <protection locked="0"/>
    </xf>
    <xf numFmtId="0" fontId="95" fillId="0" borderId="7" xfId="0" applyFont="1" applyFill="1" applyBorder="1" applyAlignment="1" applyProtection="1">
      <alignment horizontal="left" vertical="center"/>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0" fillId="0" borderId="0" xfId="0" applyFont="1" applyBorder="1" applyAlignment="1" applyProtection="1">
      <alignment horizontal="left" vertical="center"/>
    </xf>
    <xf numFmtId="0" fontId="40" fillId="5" borderId="43" xfId="0" applyFont="1" applyFill="1" applyBorder="1" applyAlignment="1" applyProtection="1">
      <alignment horizontal="left" vertical="center" wrapText="1"/>
    </xf>
    <xf numFmtId="0" fontId="169" fillId="5" borderId="6" xfId="0" applyFont="1" applyFill="1" applyBorder="1" applyAlignment="1" applyProtection="1">
      <alignment horizontal="left" vertical="center" wrapText="1"/>
    </xf>
    <xf numFmtId="0" fontId="169" fillId="5" borderId="18" xfId="0" applyFont="1" applyFill="1" applyBorder="1" applyAlignment="1" applyProtection="1">
      <alignment horizontal="left" vertical="center" wrapText="1"/>
    </xf>
    <xf numFmtId="0" fontId="169" fillId="5" borderId="58" xfId="0" applyFont="1" applyFill="1" applyBorder="1" applyAlignment="1" applyProtection="1">
      <alignment horizontal="left" vertical="center" wrapText="1"/>
    </xf>
    <xf numFmtId="0" fontId="169" fillId="5" borderId="41" xfId="0" applyFont="1" applyFill="1" applyBorder="1" applyAlignment="1" applyProtection="1">
      <alignment horizontal="left" vertical="center" wrapText="1"/>
    </xf>
    <xf numFmtId="0" fontId="98" fillId="5" borderId="64" xfId="0" applyFont="1" applyFill="1" applyBorder="1" applyAlignment="1" applyProtection="1">
      <alignment horizontal="left" vertical="center"/>
    </xf>
    <xf numFmtId="0" fontId="169" fillId="5" borderId="2" xfId="0" applyFont="1" applyFill="1" applyBorder="1" applyAlignment="1" applyProtection="1">
      <alignment horizontal="left" vertical="center" wrapText="1"/>
    </xf>
    <xf numFmtId="0" fontId="169" fillId="5" borderId="80" xfId="0" applyFont="1" applyFill="1" applyBorder="1" applyAlignment="1" applyProtection="1">
      <alignment horizontal="left" vertical="center" wrapText="1"/>
    </xf>
    <xf numFmtId="0" fontId="98" fillId="5" borderId="44" xfId="0" applyFont="1" applyFill="1" applyBorder="1" applyAlignment="1" applyProtection="1">
      <alignment horizontal="left" vertical="center"/>
    </xf>
    <xf numFmtId="0" fontId="169" fillId="5" borderId="44" xfId="0" applyFont="1" applyFill="1" applyBorder="1" applyAlignment="1" applyProtection="1">
      <alignment horizontal="left" vertical="center" wrapText="1"/>
    </xf>
    <xf numFmtId="0" fontId="169" fillId="5" borderId="62"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45" fillId="5" borderId="6" xfId="0" applyFont="1" applyFill="1" applyBorder="1" applyAlignment="1" applyProtection="1">
      <alignment horizontal="left" vertical="center" wrapText="1"/>
    </xf>
    <xf numFmtId="0" fontId="169" fillId="5" borderId="1" xfId="0" applyFont="1" applyFill="1" applyBorder="1" applyAlignment="1" applyProtection="1">
      <alignment horizontal="left" vertical="center" shrinkToFit="1"/>
    </xf>
    <xf numFmtId="0" fontId="40" fillId="18" borderId="6"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shrinkToFit="1"/>
    </xf>
    <xf numFmtId="0" fontId="98" fillId="5" borderId="61" xfId="0" applyFont="1" applyFill="1" applyBorder="1" applyAlignment="1" applyProtection="1">
      <alignment horizontal="left" vertical="center" shrinkToFit="1"/>
    </xf>
    <xf numFmtId="0" fontId="140" fillId="0" borderId="43" xfId="0" applyFont="1" applyFill="1" applyBorder="1" applyAlignment="1" applyProtection="1">
      <alignment horizontal="left" vertical="center" wrapText="1"/>
      <protection locked="0"/>
    </xf>
    <xf numFmtId="181" fontId="40" fillId="18" borderId="41" xfId="0" applyNumberFormat="1" applyFont="1" applyFill="1" applyBorder="1" applyAlignment="1" applyProtection="1">
      <alignment horizontal="center" vertical="center" wrapText="1"/>
    </xf>
    <xf numFmtId="0" fontId="40" fillId="18" borderId="1" xfId="0" applyFont="1" applyFill="1" applyBorder="1" applyAlignment="1" applyProtection="1">
      <alignment horizontal="center" vertical="center"/>
    </xf>
    <xf numFmtId="0" fontId="39" fillId="5" borderId="168"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37" fillId="5" borderId="169" xfId="0" applyFont="1" applyFill="1" applyBorder="1" applyAlignment="1" applyProtection="1">
      <alignment horizontal="left" vertical="center"/>
    </xf>
    <xf numFmtId="0" fontId="40" fillId="5" borderId="170" xfId="0" applyFont="1" applyFill="1" applyBorder="1" applyAlignment="1" applyProtection="1">
      <alignment horizontal="left" vertical="center"/>
    </xf>
    <xf numFmtId="0" fontId="40" fillId="8" borderId="170" xfId="0" applyFont="1" applyFill="1" applyBorder="1" applyProtection="1">
      <alignment vertical="center"/>
      <protection locked="0"/>
    </xf>
    <xf numFmtId="0" fontId="40" fillId="8" borderId="170" xfId="0" applyFont="1" applyFill="1" applyBorder="1" applyProtection="1">
      <alignment vertical="center"/>
    </xf>
    <xf numFmtId="0" fontId="40" fillId="0" borderId="170" xfId="0" applyFont="1" applyBorder="1" applyProtection="1">
      <alignment vertical="center"/>
    </xf>
    <xf numFmtId="0" fontId="172" fillId="5" borderId="171" xfId="0" applyFont="1" applyFill="1" applyBorder="1" applyAlignment="1" applyProtection="1">
      <alignment horizontal="left"/>
    </xf>
    <xf numFmtId="0" fontId="97" fillId="5" borderId="171" xfId="0" applyFont="1" applyFill="1" applyBorder="1" applyAlignment="1" applyProtection="1">
      <alignment horizontal="left"/>
    </xf>
    <xf numFmtId="0" fontId="172" fillId="5" borderId="171" xfId="0" applyFont="1" applyFill="1" applyBorder="1" applyAlignment="1" applyProtection="1">
      <alignment horizontal="right"/>
    </xf>
    <xf numFmtId="0" fontId="97" fillId="8" borderId="171" xfId="0" applyFont="1" applyFill="1" applyBorder="1" applyAlignment="1" applyProtection="1">
      <protection locked="0"/>
    </xf>
    <xf numFmtId="0" fontId="97" fillId="8" borderId="171" xfId="0" applyFont="1" applyFill="1" applyBorder="1" applyAlignment="1" applyProtection="1"/>
    <xf numFmtId="0" fontId="97" fillId="0" borderId="171" xfId="0" applyFont="1" applyFill="1" applyBorder="1" applyAlignment="1" applyProtection="1"/>
    <xf numFmtId="0" fontId="165" fillId="5" borderId="0" xfId="0" applyFont="1" applyFill="1" applyBorder="1" applyAlignment="1" applyProtection="1">
      <alignment horizontal="right" vertical="center"/>
    </xf>
    <xf numFmtId="181" fontId="45" fillId="6" borderId="2" xfId="0" applyNumberFormat="1" applyFont="1" applyFill="1" applyBorder="1" applyAlignment="1" applyProtection="1">
      <alignment horizontal="left" vertical="center" wrapText="1"/>
      <protection locked="0"/>
    </xf>
    <xf numFmtId="0" fontId="40" fillId="19" borderId="0" xfId="0" applyFont="1" applyFill="1" applyProtection="1">
      <alignment vertical="center"/>
    </xf>
    <xf numFmtId="0" fontId="219" fillId="19" borderId="0" xfId="0" applyFont="1" applyFill="1" applyAlignment="1" applyProtection="1">
      <alignment horizontal="center" vertical="center"/>
    </xf>
    <xf numFmtId="0" fontId="40" fillId="19" borderId="0" xfId="0" applyFont="1" applyFill="1" applyBorder="1" applyAlignment="1" applyProtection="1">
      <alignment horizontal="center" vertical="center"/>
    </xf>
    <xf numFmtId="0" fontId="40" fillId="19" borderId="0" xfId="0" applyFont="1" applyFill="1" applyBorder="1" applyAlignment="1" applyProtection="1">
      <alignment horizontal="left" vertical="center" wrapText="1"/>
    </xf>
    <xf numFmtId="0" fontId="40" fillId="19" borderId="0" xfId="0" applyFont="1" applyFill="1" applyAlignment="1" applyProtection="1">
      <alignment horizontal="left" vertical="center"/>
    </xf>
    <xf numFmtId="0" fontId="73" fillId="19" borderId="0" xfId="0" applyFont="1" applyFill="1" applyAlignment="1" applyProtection="1">
      <alignment horizontal="left" vertical="center"/>
    </xf>
    <xf numFmtId="0" fontId="172" fillId="19" borderId="171" xfId="0" applyFont="1" applyFill="1" applyBorder="1" applyAlignment="1" applyProtection="1">
      <alignment horizontal="right"/>
    </xf>
    <xf numFmtId="0" fontId="40" fillId="19" borderId="170" xfId="0" applyFont="1" applyFill="1" applyBorder="1" applyAlignment="1" applyProtection="1">
      <alignment horizontal="left" vertical="center"/>
    </xf>
    <xf numFmtId="0" fontId="37" fillId="19" borderId="0" xfId="0" applyFont="1" applyFill="1" applyAlignment="1" applyProtection="1">
      <alignment horizontal="left" vertical="center"/>
    </xf>
    <xf numFmtId="0" fontId="114" fillId="19" borderId="0" xfId="0" applyFont="1" applyFill="1" applyAlignment="1" applyProtection="1">
      <alignment horizontal="left" vertical="center"/>
    </xf>
    <xf numFmtId="0" fontId="165" fillId="19" borderId="0" xfId="0" applyFont="1" applyFill="1" applyBorder="1" applyAlignment="1" applyProtection="1">
      <alignment horizontal="right" vertical="center"/>
    </xf>
    <xf numFmtId="9" fontId="40" fillId="19" borderId="0" xfId="0" applyNumberFormat="1" applyFont="1" applyFill="1" applyAlignment="1" applyProtection="1">
      <alignment horizontal="left" vertical="center"/>
    </xf>
    <xf numFmtId="10" fontId="40" fillId="19" borderId="0" xfId="0" applyNumberFormat="1" applyFont="1" applyFill="1" applyAlignment="1" applyProtection="1">
      <alignment horizontal="left" vertical="center"/>
    </xf>
    <xf numFmtId="0" fontId="40" fillId="19" borderId="0" xfId="2" applyFont="1" applyFill="1" applyBorder="1" applyAlignment="1" applyProtection="1">
      <alignment horizontal="left" vertical="center" wrapText="1"/>
    </xf>
    <xf numFmtId="0" fontId="95" fillId="19" borderId="0" xfId="2" applyFont="1" applyFill="1" applyAlignment="1" applyProtection="1">
      <alignment vertical="center" wrapText="1"/>
    </xf>
    <xf numFmtId="0" fontId="95" fillId="19" borderId="0" xfId="0" applyFont="1" applyFill="1" applyProtection="1">
      <alignment vertical="center"/>
    </xf>
    <xf numFmtId="0" fontId="95" fillId="19" borderId="0" xfId="2" applyFont="1" applyFill="1" applyProtection="1"/>
    <xf numFmtId="0" fontId="95" fillId="19" borderId="0" xfId="0" applyFont="1" applyFill="1" applyBorder="1" applyProtection="1">
      <alignment vertical="center"/>
      <protection locked="0"/>
    </xf>
    <xf numFmtId="0" fontId="38" fillId="19" borderId="0" xfId="0" applyFont="1" applyFill="1" applyBorder="1" applyAlignment="1" applyProtection="1">
      <alignment horizontal="center" vertical="center" wrapText="1"/>
    </xf>
    <xf numFmtId="0" fontId="45" fillId="19" borderId="0" xfId="0" applyFont="1" applyFill="1" applyBorder="1" applyAlignment="1" applyProtection="1">
      <alignment horizontal="left" vertical="center" wrapText="1"/>
    </xf>
    <xf numFmtId="0" fontId="98" fillId="19" borderId="0" xfId="0" applyFont="1" applyFill="1" applyBorder="1" applyAlignment="1" applyProtection="1">
      <alignment horizontal="left" vertical="center" shrinkToFit="1"/>
    </xf>
    <xf numFmtId="0" fontId="98" fillId="19" borderId="0" xfId="0" applyFont="1" applyFill="1" applyBorder="1" applyAlignment="1" applyProtection="1">
      <alignment horizontal="left" vertical="center" wrapText="1"/>
    </xf>
    <xf numFmtId="0" fontId="40" fillId="19" borderId="0" xfId="0" applyFont="1" applyFill="1" applyBorder="1" applyAlignment="1" applyProtection="1">
      <alignment horizontal="left" vertical="center" shrinkToFit="1"/>
    </xf>
    <xf numFmtId="0" fontId="126" fillId="19" borderId="0" xfId="0" applyFont="1" applyFill="1" applyBorder="1" applyAlignment="1" applyProtection="1">
      <alignment horizontal="center" vertical="center" shrinkToFit="1"/>
    </xf>
    <xf numFmtId="0" fontId="98" fillId="19" borderId="0" xfId="0" applyFont="1" applyFill="1" applyBorder="1" applyAlignment="1" applyProtection="1">
      <alignment horizontal="left" vertical="center"/>
    </xf>
    <xf numFmtId="0" fontId="39" fillId="19" borderId="0" xfId="0" applyFont="1" applyFill="1" applyBorder="1" applyAlignment="1" applyProtection="1">
      <alignment horizontal="center" vertical="center"/>
    </xf>
    <xf numFmtId="182" fontId="40" fillId="19" borderId="0" xfId="0" applyNumberFormat="1" applyFont="1" applyFill="1" applyBorder="1" applyAlignment="1" applyProtection="1">
      <alignment horizontal="left" vertical="center" shrinkToFit="1"/>
    </xf>
    <xf numFmtId="182" fontId="40" fillId="19" borderId="0" xfId="0" applyNumberFormat="1" applyFont="1" applyFill="1" applyBorder="1" applyAlignment="1" applyProtection="1">
      <alignment horizontal="left" vertical="center" wrapText="1"/>
    </xf>
    <xf numFmtId="0" fontId="40" fillId="19" borderId="0" xfId="0" applyFont="1" applyFill="1" applyBorder="1" applyAlignment="1" applyProtection="1">
      <alignment horizontal="left" vertical="center"/>
    </xf>
    <xf numFmtId="0" fontId="40" fillId="19" borderId="0" xfId="0" applyFont="1" applyFill="1" applyBorder="1" applyProtection="1">
      <alignment vertical="center"/>
      <protection locked="0"/>
    </xf>
    <xf numFmtId="0" fontId="40" fillId="19" borderId="0" xfId="0" applyFont="1" applyFill="1" applyProtection="1">
      <alignment vertical="center"/>
      <protection locked="0"/>
    </xf>
    <xf numFmtId="0" fontId="40" fillId="19" borderId="0" xfId="0" applyFont="1" applyFill="1" applyBorder="1" applyAlignment="1" applyProtection="1">
      <alignment horizontal="right" vertical="center"/>
      <protection locked="0"/>
    </xf>
    <xf numFmtId="0" fontId="222" fillId="19" borderId="0" xfId="0" applyFont="1" applyFill="1" applyAlignment="1" applyProtection="1">
      <alignment horizontal="center" vertical="center"/>
    </xf>
    <xf numFmtId="0" fontId="222" fillId="19" borderId="0" xfId="0" applyFont="1" applyFill="1" applyBorder="1" applyAlignment="1" applyProtection="1">
      <alignment horizontal="left" vertical="center"/>
    </xf>
    <xf numFmtId="0" fontId="217" fillId="19" borderId="0" xfId="0" applyFont="1" applyFill="1" applyBorder="1" applyAlignment="1" applyProtection="1">
      <alignment horizontal="left" vertical="center"/>
    </xf>
    <xf numFmtId="0" fontId="95" fillId="19" borderId="0" xfId="2" applyFont="1" applyFill="1" applyAlignment="1" applyProtection="1">
      <alignment horizontal="left" vertical="center" wrapText="1"/>
    </xf>
    <xf numFmtId="0" fontId="95" fillId="19" borderId="0" xfId="0" applyFont="1" applyFill="1" applyAlignment="1" applyProtection="1">
      <alignment horizontal="left" vertical="center"/>
    </xf>
    <xf numFmtId="0" fontId="95" fillId="19" borderId="0" xfId="2" applyFont="1" applyFill="1" applyAlignment="1" applyProtection="1">
      <alignment horizontal="left"/>
    </xf>
    <xf numFmtId="0" fontId="95" fillId="19" borderId="0" xfId="0" applyFont="1" applyFill="1" applyBorder="1" applyAlignment="1" applyProtection="1">
      <alignment horizontal="left" vertical="center"/>
      <protection locked="0"/>
    </xf>
    <xf numFmtId="0" fontId="39" fillId="19" borderId="0" xfId="0" applyFont="1" applyFill="1" applyBorder="1" applyAlignment="1" applyProtection="1">
      <alignment horizontal="center" vertical="center" wrapText="1"/>
    </xf>
    <xf numFmtId="0" fontId="73" fillId="18" borderId="0" xfId="0" applyFont="1" applyFill="1" applyBorder="1" applyAlignment="1" applyProtection="1">
      <alignment horizontal="left" vertical="center" wrapText="1"/>
    </xf>
    <xf numFmtId="0" fontId="73" fillId="18" borderId="0" xfId="0" applyFont="1" applyFill="1" applyProtection="1">
      <alignment vertical="center"/>
    </xf>
    <xf numFmtId="0" fontId="40" fillId="0" borderId="0" xfId="0" applyFont="1" applyBorder="1" applyAlignment="1" applyProtection="1">
      <alignment vertical="center" wrapText="1"/>
    </xf>
    <xf numFmtId="0" fontId="40" fillId="0" borderId="41" xfId="0" applyFont="1" applyFill="1" applyBorder="1" applyAlignment="1" applyProtection="1">
      <alignment vertical="center" wrapText="1"/>
      <protection locked="0"/>
    </xf>
    <xf numFmtId="0" fontId="90" fillId="6" borderId="1" xfId="13" applyFont="1" applyFill="1" applyBorder="1" applyAlignment="1" applyProtection="1">
      <alignment horizontal="left"/>
      <protection locked="0"/>
    </xf>
    <xf numFmtId="10" fontId="47" fillId="18" borderId="2" xfId="1" applyNumberFormat="1" applyFont="1" applyFill="1" applyBorder="1" applyAlignment="1" applyProtection="1">
      <alignment horizontal="center" vertical="center"/>
    </xf>
    <xf numFmtId="9" fontId="47" fillId="18" borderId="2" xfId="1" applyNumberFormat="1" applyFont="1" applyFill="1" applyBorder="1" applyAlignment="1" applyProtection="1">
      <alignment horizontal="center" vertical="center"/>
    </xf>
    <xf numFmtId="0" fontId="47" fillId="18" borderId="1" xfId="0" applyFont="1" applyFill="1" applyBorder="1" applyAlignment="1" applyProtection="1">
      <alignment horizontal="left" vertical="center" wrapText="1"/>
    </xf>
    <xf numFmtId="0" fontId="40" fillId="20" borderId="54" xfId="0" applyFont="1" applyFill="1" applyBorder="1" applyAlignment="1" applyProtection="1">
      <alignment vertical="center" wrapText="1"/>
    </xf>
    <xf numFmtId="0" fontId="40" fillId="20" borderId="32" xfId="0" applyFont="1" applyFill="1" applyBorder="1" applyAlignment="1" applyProtection="1">
      <alignment vertical="center" wrapText="1"/>
    </xf>
    <xf numFmtId="0" fontId="40" fillId="20" borderId="1" xfId="0" applyFont="1" applyFill="1" applyBorder="1" applyAlignment="1" applyProtection="1">
      <alignment vertical="center"/>
    </xf>
    <xf numFmtId="0" fontId="40" fillId="20" borderId="1" xfId="0" applyFont="1" applyFill="1" applyBorder="1" applyAlignment="1" applyProtection="1">
      <alignment vertical="center" wrapText="1"/>
    </xf>
    <xf numFmtId="0" fontId="40" fillId="20" borderId="7" xfId="0" applyFont="1" applyFill="1" applyBorder="1" applyAlignment="1" applyProtection="1">
      <alignment vertical="center"/>
    </xf>
    <xf numFmtId="0" fontId="40" fillId="20" borderId="124" xfId="0" applyFont="1" applyFill="1" applyBorder="1" applyAlignment="1" applyProtection="1">
      <alignment vertical="center"/>
    </xf>
    <xf numFmtId="0" fontId="40" fillId="20" borderId="23" xfId="0" applyFont="1" applyFill="1" applyBorder="1" applyAlignment="1" applyProtection="1">
      <alignment vertical="center" wrapText="1"/>
    </xf>
    <xf numFmtId="0" fontId="40" fillId="20" borderId="42" xfId="0" applyFont="1" applyFill="1" applyBorder="1" applyAlignment="1" applyProtection="1">
      <alignment vertical="center" wrapText="1"/>
    </xf>
    <xf numFmtId="0" fontId="40" fillId="20" borderId="11" xfId="0" applyFont="1" applyFill="1" applyBorder="1" applyAlignment="1" applyProtection="1">
      <alignment vertical="center" wrapText="1"/>
    </xf>
    <xf numFmtId="0" fontId="40" fillId="20" borderId="61" xfId="0" applyFont="1" applyFill="1" applyBorder="1" applyAlignment="1" applyProtection="1">
      <alignment vertical="center" wrapText="1"/>
    </xf>
    <xf numFmtId="0" fontId="40" fillId="20" borderId="93" xfId="0" applyFont="1" applyFill="1" applyBorder="1" applyAlignment="1" applyProtection="1">
      <alignment vertical="center" wrapText="1"/>
    </xf>
    <xf numFmtId="0" fontId="38" fillId="0" borderId="172" xfId="0" applyFont="1" applyBorder="1" applyAlignment="1" applyProtection="1">
      <alignment vertical="center" wrapText="1"/>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49" fontId="40" fillId="0" borderId="0" xfId="0" applyNumberFormat="1" applyFont="1" applyAlignment="1" applyProtection="1">
      <alignment vertical="center" wrapText="1"/>
      <protection locked="0"/>
    </xf>
    <xf numFmtId="0" fontId="40" fillId="0" borderId="0" xfId="0" applyFont="1" applyBorder="1" applyAlignment="1" applyProtection="1">
      <alignment vertical="center" wrapText="1"/>
      <protection locked="0"/>
    </xf>
    <xf numFmtId="0" fontId="136" fillId="0" borderId="0" xfId="0" applyFont="1" applyBorder="1" applyAlignment="1" applyProtection="1">
      <alignment vertical="center"/>
      <protection locked="0"/>
    </xf>
    <xf numFmtId="0" fontId="162" fillId="0" borderId="172" xfId="0" applyFont="1" applyBorder="1" applyAlignment="1" applyProtection="1">
      <alignment horizontal="center" vertical="center"/>
      <protection locked="0"/>
    </xf>
    <xf numFmtId="0" fontId="136" fillId="0" borderId="172" xfId="0" applyFont="1" applyBorder="1" applyAlignment="1" applyProtection="1">
      <alignment vertical="center"/>
      <protection locked="0"/>
    </xf>
    <xf numFmtId="0" fontId="38" fillId="0" borderId="172" xfId="0" applyFont="1" applyBorder="1" applyAlignment="1" applyProtection="1">
      <alignment vertical="center" wrapText="1"/>
      <protection locked="0"/>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49" fontId="40" fillId="0" borderId="0" xfId="0" applyNumberFormat="1" applyFont="1" applyAlignment="1" applyProtection="1">
      <alignment vertical="center"/>
      <protection locked="0"/>
    </xf>
    <xf numFmtId="0" fontId="40" fillId="5" borderId="11" xfId="0" applyFont="1" applyFill="1" applyBorder="1" applyAlignment="1" applyProtection="1">
      <alignment vertical="center" wrapText="1"/>
    </xf>
    <xf numFmtId="0" fontId="37" fillId="5" borderId="1"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168" fillId="0" borderId="18" xfId="13" applyFont="1" applyFill="1" applyBorder="1" applyAlignment="1" applyProtection="1">
      <alignment horizontal="left" vertical="center" wrapText="1"/>
      <protection locked="0"/>
    </xf>
    <xf numFmtId="0" fontId="168" fillId="0" borderId="1" xfId="13" applyFont="1" applyFill="1" applyBorder="1" applyAlignment="1" applyProtection="1">
      <alignment horizontal="left" vertical="center" wrapText="1"/>
      <protection locked="0"/>
    </xf>
    <xf numFmtId="0" fontId="40" fillId="5" borderId="0" xfId="0" applyFont="1" applyFill="1" applyAlignment="1" applyProtection="1">
      <alignment vertical="center"/>
    </xf>
    <xf numFmtId="0" fontId="40" fillId="5" borderId="0" xfId="0" applyFont="1" applyFill="1" applyBorder="1" applyAlignment="1" applyProtection="1">
      <alignment vertical="center"/>
    </xf>
    <xf numFmtId="49" fontId="40" fillId="5" borderId="0" xfId="0" applyNumberFormat="1" applyFont="1" applyFill="1" applyAlignment="1" applyProtection="1">
      <alignment vertical="center" wrapText="1"/>
    </xf>
    <xf numFmtId="0" fontId="100" fillId="5" borderId="0" xfId="0" applyFont="1" applyFill="1" applyAlignment="1" applyProtection="1">
      <alignment horizontal="left" vertical="center" wrapText="1"/>
      <protection locked="0"/>
    </xf>
    <xf numFmtId="0" fontId="39" fillId="5" borderId="9" xfId="0" applyFont="1" applyFill="1" applyBorder="1" applyAlignment="1" applyProtection="1">
      <alignment horizontal="left" vertical="center" wrapText="1"/>
      <protection locked="0"/>
    </xf>
    <xf numFmtId="14" fontId="37" fillId="5" borderId="15" xfId="0" applyNumberFormat="1" applyFont="1" applyFill="1" applyBorder="1" applyAlignment="1" applyProtection="1">
      <alignment horizontal="left" vertical="center"/>
      <protection locked="0"/>
    </xf>
    <xf numFmtId="179" fontId="39" fillId="5" borderId="1" xfId="0" applyNumberFormat="1" applyFont="1" applyFill="1" applyBorder="1" applyAlignment="1" applyProtection="1">
      <alignment horizontal="left" vertical="center"/>
      <protection locked="0"/>
    </xf>
    <xf numFmtId="0" fontId="37" fillId="5" borderId="4" xfId="1" applyFont="1" applyFill="1" applyBorder="1" applyAlignment="1" applyProtection="1">
      <alignment horizontal="left" vertical="center" wrapText="1"/>
      <protection locked="0"/>
    </xf>
    <xf numFmtId="0" fontId="37" fillId="5" borderId="14" xfId="0" applyFont="1" applyFill="1" applyBorder="1" applyAlignment="1" applyProtection="1">
      <alignment horizontal="left" vertical="center"/>
      <protection locked="0"/>
    </xf>
    <xf numFmtId="180" fontId="44" fillId="5" borderId="7" xfId="1" applyNumberFormat="1"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wrapText="1"/>
      <protection locked="0"/>
    </xf>
    <xf numFmtId="179" fontId="37" fillId="5" borderId="7" xfId="0" applyNumberFormat="1" applyFont="1" applyFill="1" applyBorder="1" applyAlignment="1" applyProtection="1">
      <alignment horizontal="left" vertical="center" wrapText="1"/>
      <protection locked="0"/>
    </xf>
    <xf numFmtId="179" fontId="44" fillId="5" borderId="6" xfId="1" applyNumberFormat="1" applyFont="1" applyFill="1" applyBorder="1" applyAlignment="1" applyProtection="1">
      <alignment horizontal="left" vertical="center"/>
      <protection locked="0"/>
    </xf>
    <xf numFmtId="0" fontId="37" fillId="5" borderId="8" xfId="0" applyFont="1" applyFill="1" applyBorder="1" applyAlignment="1" applyProtection="1">
      <alignment horizontal="left" vertical="center" wrapText="1"/>
      <protection locked="0"/>
    </xf>
    <xf numFmtId="180" fontId="44" fillId="5" borderId="6" xfId="1" applyNumberFormat="1" applyFont="1" applyFill="1" applyBorder="1" applyAlignment="1" applyProtection="1">
      <alignment horizontal="left" vertical="center"/>
      <protection locked="0"/>
    </xf>
    <xf numFmtId="0" fontId="37" fillId="5" borderId="23" xfId="0" applyFont="1" applyFill="1" applyBorder="1" applyAlignment="1" applyProtection="1">
      <alignment horizontal="left" vertical="center" wrapText="1"/>
      <protection locked="0"/>
    </xf>
    <xf numFmtId="0" fontId="44" fillId="5" borderId="6" xfId="1" applyNumberFormat="1"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wrapText="1"/>
      <protection locked="0"/>
    </xf>
    <xf numFmtId="0" fontId="95" fillId="5" borderId="8" xfId="0" applyFont="1" applyFill="1" applyBorder="1" applyAlignment="1" applyProtection="1">
      <alignment horizontal="left" vertical="center" wrapText="1"/>
      <protection locked="0"/>
    </xf>
    <xf numFmtId="179" fontId="37" fillId="5" borderId="7" xfId="1" applyNumberFormat="1" applyFont="1" applyFill="1" applyBorder="1" applyAlignment="1" applyProtection="1">
      <alignment horizontal="left" vertical="center" wrapText="1"/>
      <protection locked="0"/>
    </xf>
    <xf numFmtId="0" fontId="37" fillId="5" borderId="6" xfId="1" applyNumberFormat="1"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wrapText="1"/>
      <protection locked="0"/>
    </xf>
    <xf numFmtId="176" fontId="44" fillId="5" borderId="4" xfId="1" applyNumberFormat="1"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protection locked="0"/>
    </xf>
    <xf numFmtId="176" fontId="44" fillId="5" borderId="7" xfId="1" applyNumberFormat="1" applyFont="1" applyFill="1" applyBorder="1" applyAlignment="1" applyProtection="1">
      <alignment horizontal="left" vertical="center" wrapText="1"/>
      <protection locked="0"/>
    </xf>
    <xf numFmtId="176" fontId="44" fillId="5" borderId="16" xfId="1" applyNumberFormat="1" applyFont="1" applyFill="1" applyBorder="1" applyAlignment="1" applyProtection="1">
      <alignment horizontal="left" vertical="center" wrapText="1"/>
      <protection locked="0"/>
    </xf>
    <xf numFmtId="176" fontId="44" fillId="5" borderId="8" xfId="1" applyNumberFormat="1" applyFont="1" applyFill="1" applyBorder="1" applyAlignment="1" applyProtection="1">
      <alignment horizontal="left" vertical="center" wrapText="1"/>
      <protection locked="0"/>
    </xf>
    <xf numFmtId="176" fontId="44" fillId="5" borderId="43" xfId="1" applyNumberFormat="1" applyFont="1" applyFill="1" applyBorder="1" applyAlignment="1" applyProtection="1">
      <alignment horizontal="left" vertical="center"/>
      <protection locked="0"/>
    </xf>
    <xf numFmtId="176" fontId="37" fillId="5" borderId="7" xfId="1" applyNumberFormat="1" applyFont="1" applyFill="1" applyBorder="1" applyAlignment="1" applyProtection="1">
      <alignment horizontal="left" vertical="center" wrapText="1"/>
      <protection locked="0"/>
    </xf>
    <xf numFmtId="176" fontId="44" fillId="5" borderId="31" xfId="1" applyNumberFormat="1" applyFont="1" applyFill="1" applyBorder="1" applyAlignment="1" applyProtection="1">
      <alignment horizontal="left" vertical="center"/>
      <protection locked="0"/>
    </xf>
    <xf numFmtId="176" fontId="44" fillId="5" borderId="73" xfId="1" applyNumberFormat="1" applyFont="1" applyFill="1" applyBorder="1" applyAlignment="1" applyProtection="1">
      <alignment horizontal="left" vertical="center"/>
      <protection locked="0"/>
    </xf>
    <xf numFmtId="179" fontId="39" fillId="5" borderId="9"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10" fontId="37" fillId="5" borderId="34" xfId="0" applyNumberFormat="1" applyFont="1" applyFill="1" applyBorder="1" applyAlignment="1" applyProtection="1">
      <alignment horizontal="left" vertical="center"/>
      <protection locked="0"/>
    </xf>
    <xf numFmtId="10" fontId="37" fillId="5" borderId="6" xfId="0" applyNumberFormat="1" applyFont="1" applyFill="1" applyBorder="1" applyAlignment="1" applyProtection="1">
      <alignment horizontal="left" vertical="center"/>
      <protection locked="0"/>
    </xf>
    <xf numFmtId="181" fontId="96" fillId="5" borderId="0" xfId="0" applyNumberFormat="1" applyFont="1" applyFill="1" applyAlignment="1" applyProtection="1">
      <alignment horizontal="left" vertical="center"/>
      <protection locked="0"/>
    </xf>
    <xf numFmtId="183" fontId="37" fillId="5" borderId="58" xfId="0" applyNumberFormat="1" applyFont="1" applyFill="1" applyBorder="1" applyAlignment="1" applyProtection="1">
      <alignment horizontal="left" vertical="center"/>
      <protection locked="0"/>
    </xf>
    <xf numFmtId="179" fontId="37" fillId="5" borderId="6" xfId="0" applyNumberFormat="1" applyFont="1" applyFill="1" applyBorder="1" applyAlignment="1" applyProtection="1">
      <alignment horizontal="left" vertical="center"/>
      <protection locked="0"/>
    </xf>
    <xf numFmtId="0" fontId="107" fillId="5" borderId="46"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37" fillId="5" borderId="26" xfId="0" applyFont="1" applyFill="1" applyBorder="1" applyAlignment="1" applyProtection="1">
      <alignment horizontal="left" vertical="center" wrapText="1"/>
      <protection locked="0"/>
    </xf>
    <xf numFmtId="0" fontId="37" fillId="5" borderId="22" xfId="0" applyFont="1" applyFill="1" applyBorder="1" applyAlignment="1" applyProtection="1">
      <alignment horizontal="left" vertical="center" wrapText="1"/>
      <protection locked="0"/>
    </xf>
    <xf numFmtId="10" fontId="37" fillId="5" borderId="59" xfId="0" applyNumberFormat="1" applyFont="1" applyFill="1" applyBorder="1" applyAlignment="1" applyProtection="1">
      <alignment horizontal="left" vertical="center"/>
      <protection locked="0"/>
    </xf>
    <xf numFmtId="10" fontId="37" fillId="5" borderId="43" xfId="0" applyNumberFormat="1" applyFont="1" applyFill="1" applyBorder="1" applyAlignment="1" applyProtection="1">
      <alignment horizontal="left" vertical="center"/>
      <protection locked="0"/>
    </xf>
    <xf numFmtId="179" fontId="37" fillId="5" borderId="58" xfId="0" applyNumberFormat="1" applyFont="1" applyFill="1" applyBorder="1" applyAlignment="1" applyProtection="1">
      <alignment horizontal="left" vertical="center"/>
      <protection locked="0"/>
    </xf>
    <xf numFmtId="178" fontId="37" fillId="5" borderId="59" xfId="0" applyNumberFormat="1" applyFont="1" applyFill="1" applyBorder="1" applyAlignment="1" applyProtection="1">
      <alignment horizontal="left" vertical="center"/>
      <protection locked="0"/>
    </xf>
    <xf numFmtId="14" fontId="37"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179" fontId="37" fillId="0" borderId="0" xfId="0" applyNumberFormat="1" applyFont="1" applyFill="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179" fontId="39" fillId="0"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116" fillId="8" borderId="0" xfId="0" applyFont="1" applyFill="1" applyProtection="1">
      <alignment vertical="center"/>
    </xf>
    <xf numFmtId="0" fontId="96" fillId="8" borderId="0" xfId="0" applyFont="1" applyFill="1" applyProtection="1">
      <alignment vertical="center"/>
    </xf>
    <xf numFmtId="0" fontId="114"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left" vertical="center"/>
      <protection locked="0"/>
    </xf>
    <xf numFmtId="0" fontId="40" fillId="5" borderId="170" xfId="0" applyFont="1" applyFill="1" applyBorder="1" applyAlignment="1" applyProtection="1">
      <alignment horizontal="left" vertical="center"/>
      <protection locked="0"/>
    </xf>
    <xf numFmtId="9" fontId="40" fillId="5" borderId="0" xfId="0" applyNumberFormat="1" applyFont="1" applyFill="1" applyAlignment="1" applyProtection="1">
      <alignment horizontal="left" vertical="center"/>
      <protection locked="0"/>
    </xf>
    <xf numFmtId="10" fontId="40"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0"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center" vertical="center" wrapText="1"/>
      <protection locked="0"/>
    </xf>
    <xf numFmtId="0" fontId="7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98" fillId="5" borderId="3" xfId="0" applyFont="1" applyFill="1" applyBorder="1" applyProtection="1">
      <alignment vertical="center"/>
    </xf>
    <xf numFmtId="0" fontId="98" fillId="5" borderId="51"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9" fillId="5" borderId="1" xfId="0" applyFont="1" applyFill="1" applyBorder="1" applyProtection="1">
      <alignment vertical="center"/>
    </xf>
    <xf numFmtId="0" fontId="40" fillId="0" borderId="1"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0" fontId="212" fillId="0" borderId="0" xfId="0" applyFont="1" applyFill="1" applyBorder="1" applyAlignment="1" applyProtection="1">
      <alignment horizontal="left" vertical="center"/>
      <protection locked="0"/>
    </xf>
    <xf numFmtId="181" fontId="37"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181"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vertical="center" wrapText="1"/>
      <protection locked="0"/>
    </xf>
    <xf numFmtId="181" fontId="66" fillId="0" borderId="0"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wrapText="1"/>
      <protection locked="0"/>
    </xf>
    <xf numFmtId="181" fontId="66" fillId="0" borderId="0" xfId="0" applyNumberFormat="1" applyFont="1" applyFill="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9" fontId="44" fillId="0" borderId="0" xfId="0" applyNumberFormat="1" applyFont="1" applyFill="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89" fontId="66" fillId="0" borderId="0" xfId="0" applyNumberFormat="1" applyFont="1" applyFill="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189" fontId="55" fillId="0" borderId="0" xfId="0" applyNumberFormat="1" applyFont="1" applyFill="1" applyBorder="1" applyAlignment="1" applyProtection="1">
      <alignment horizontal="left" vertical="center"/>
      <protection locked="0"/>
    </xf>
    <xf numFmtId="181" fontId="55" fillId="0" borderId="0" xfId="0" applyNumberFormat="1" applyFont="1" applyFill="1" applyBorder="1" applyAlignment="1" applyProtection="1">
      <alignment horizontal="left" vertical="center"/>
      <protection locked="0"/>
    </xf>
    <xf numFmtId="0" fontId="37" fillId="0" borderId="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5" fillId="5" borderId="35" xfId="0" applyFont="1" applyFill="1" applyBorder="1" applyAlignment="1" applyProtection="1">
      <alignment horizontal="left" vertical="center"/>
    </xf>
    <xf numFmtId="0" fontId="55" fillId="0" borderId="0" xfId="0" applyFont="1" applyFill="1" applyBorder="1" applyAlignment="1" applyProtection="1">
      <alignment vertical="center"/>
      <protection locked="0"/>
    </xf>
    <xf numFmtId="181"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protection locked="0"/>
    </xf>
    <xf numFmtId="189" fontId="55" fillId="0" borderId="0" xfId="0" applyNumberFormat="1" applyFont="1" applyFill="1" applyBorder="1" applyAlignment="1" applyProtection="1">
      <alignment horizontal="center" vertical="center"/>
      <protection locked="0"/>
    </xf>
    <xf numFmtId="181" fontId="37"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181"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protection locked="0"/>
    </xf>
    <xf numFmtId="0" fontId="37" fillId="0" borderId="25" xfId="0" applyFont="1" applyFill="1" applyBorder="1" applyAlignment="1" applyProtection="1">
      <alignment horizontal="center" vertical="center"/>
      <protection locked="0"/>
    </xf>
    <xf numFmtId="181"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25" xfId="0" applyFont="1" applyFill="1" applyBorder="1" applyAlignment="1" applyProtection="1">
      <alignment horizontal="center" vertical="center"/>
      <protection locked="0"/>
    </xf>
    <xf numFmtId="181" fontId="42"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66" fillId="0" borderId="0"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vertical="center" wrapText="1"/>
      <protection locked="0"/>
    </xf>
    <xf numFmtId="181" fontId="66" fillId="0" borderId="0" xfId="0" applyNumberFormat="1" applyFont="1" applyFill="1" applyAlignment="1" applyProtection="1">
      <alignment horizontal="center" vertical="center"/>
      <protection locked="0"/>
    </xf>
    <xf numFmtId="14" fontId="44" fillId="0" borderId="0" xfId="0" applyNumberFormat="1" applyFont="1" applyFill="1" applyAlignment="1" applyProtection="1">
      <alignment horizontal="center" vertical="center"/>
      <protection locked="0"/>
    </xf>
    <xf numFmtId="9" fontId="44" fillId="0" borderId="0" xfId="0" applyNumberFormat="1"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0" fontId="44" fillId="0" borderId="0" xfId="0" applyFont="1" applyFill="1" applyBorder="1" applyAlignment="1" applyProtection="1">
      <protection locked="0"/>
    </xf>
    <xf numFmtId="0" fontId="37" fillId="0" borderId="25" xfId="0" applyFont="1" applyFill="1" applyBorder="1" applyAlignment="1" applyProtection="1">
      <alignment horizontal="left" vertical="center"/>
      <protection locked="0"/>
    </xf>
    <xf numFmtId="0" fontId="65"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6" fillId="0" borderId="0" xfId="0" applyFont="1" applyFill="1" applyAlignment="1" applyProtection="1">
      <alignment horizontal="left"/>
      <protection locked="0"/>
    </xf>
    <xf numFmtId="0" fontId="46" fillId="0" borderId="0" xfId="0" applyFont="1" applyFill="1" applyAlignment="1" applyProtection="1">
      <protection locked="0"/>
    </xf>
    <xf numFmtId="0" fontId="46" fillId="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44" fillId="5" borderId="22" xfId="6" applyFont="1" applyFill="1" applyBorder="1" applyAlignment="1" applyProtection="1">
      <alignment horizontal="left" vertical="center" wrapText="1"/>
      <protection locked="0"/>
    </xf>
    <xf numFmtId="0" fontId="44" fillId="5" borderId="0" xfId="6" applyFont="1" applyFill="1" applyBorder="1" applyAlignment="1" applyProtection="1">
      <alignment horizontal="left" vertical="center" wrapText="1"/>
      <protection locked="0"/>
    </xf>
    <xf numFmtId="10" fontId="46" fillId="5" borderId="58" xfId="6" applyNumberFormat="1"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118" fillId="0" borderId="0" xfId="5" applyFont="1" applyAlignment="1">
      <alignment horizontal="left" vertical="center"/>
    </xf>
    <xf numFmtId="0" fontId="152" fillId="0" borderId="0" xfId="5" applyFont="1" applyAlignment="1">
      <alignment horizontal="left" vertical="center"/>
    </xf>
    <xf numFmtId="0" fontId="152" fillId="0" borderId="0" xfId="5" applyFont="1" applyFill="1" applyAlignment="1">
      <alignment horizontal="left" vertical="center"/>
    </xf>
    <xf numFmtId="14" fontId="152" fillId="0" borderId="0" xfId="5" applyNumberFormat="1" applyFont="1" applyAlignment="1">
      <alignment horizontal="left" vertical="center"/>
    </xf>
    <xf numFmtId="0" fontId="121" fillId="0" borderId="0" xfId="5" applyFont="1" applyAlignment="1">
      <alignment horizontal="left" vertical="center"/>
    </xf>
    <xf numFmtId="0" fontId="122" fillId="0" borderId="0" xfId="5" applyFont="1" applyAlignment="1">
      <alignment horizontal="left" vertical="center"/>
    </xf>
    <xf numFmtId="14" fontId="122" fillId="0" borderId="0" xfId="5" applyNumberFormat="1" applyFont="1" applyAlignment="1">
      <alignment horizontal="left" vertical="center"/>
    </xf>
    <xf numFmtId="0" fontId="246" fillId="0" borderId="0" xfId="5" applyFont="1" applyAlignment="1">
      <alignment horizontal="left" vertical="center"/>
    </xf>
    <xf numFmtId="0" fontId="119" fillId="6" borderId="18" xfId="5" applyFont="1" applyFill="1" applyBorder="1" applyAlignment="1">
      <alignment horizontal="left" vertical="center"/>
    </xf>
    <xf numFmtId="0" fontId="120" fillId="0" borderId="1" xfId="5" applyFont="1" applyBorder="1" applyAlignment="1">
      <alignment horizontal="left" vertical="center"/>
    </xf>
    <xf numFmtId="0" fontId="120" fillId="0" borderId="2" xfId="5" applyFont="1" applyBorder="1" applyAlignment="1">
      <alignment horizontal="left" vertical="center"/>
    </xf>
    <xf numFmtId="192" fontId="120" fillId="0" borderId="1" xfId="5" applyNumberFormat="1" applyFont="1" applyFill="1" applyBorder="1" applyAlignment="1">
      <alignment horizontal="left" vertical="center"/>
    </xf>
    <xf numFmtId="184" fontId="120" fillId="0" borderId="1" xfId="5" applyNumberFormat="1" applyFont="1" applyFill="1" applyBorder="1" applyAlignment="1">
      <alignment horizontal="left" vertical="center"/>
    </xf>
    <xf numFmtId="0" fontId="247" fillId="0" borderId="1" xfId="5" applyFont="1" applyFill="1" applyBorder="1" applyAlignment="1">
      <alignment horizontal="left" vertical="center"/>
    </xf>
    <xf numFmtId="192" fontId="120" fillId="0" borderId="2" xfId="5" applyNumberFormat="1" applyFont="1" applyFill="1" applyBorder="1" applyAlignment="1">
      <alignment horizontal="left" vertical="center"/>
    </xf>
    <xf numFmtId="0" fontId="247" fillId="0" borderId="0" xfId="5" applyFont="1" applyFill="1" applyAlignment="1">
      <alignment horizontal="left" vertical="center"/>
    </xf>
    <xf numFmtId="0" fontId="119" fillId="0" borderId="1" xfId="5" applyFont="1" applyFill="1" applyBorder="1" applyAlignment="1">
      <alignment horizontal="left" vertical="center"/>
    </xf>
    <xf numFmtId="0" fontId="122" fillId="0" borderId="1" xfId="5" applyFont="1" applyBorder="1" applyAlignment="1">
      <alignment horizontal="left" vertical="center"/>
    </xf>
    <xf numFmtId="184" fontId="120" fillId="0" borderId="1" xfId="0" applyNumberFormat="1" applyFont="1" applyFill="1" applyBorder="1" applyAlignment="1">
      <alignment horizontal="left" vertical="center"/>
    </xf>
    <xf numFmtId="14" fontId="122" fillId="0" borderId="1" xfId="5" applyNumberFormat="1" applyFont="1" applyBorder="1" applyAlignment="1">
      <alignment horizontal="left" vertical="center"/>
    </xf>
    <xf numFmtId="0" fontId="79" fillId="0" borderId="1" xfId="5" applyFont="1" applyBorder="1" applyAlignment="1">
      <alignment horizontal="left" vertical="center"/>
    </xf>
    <xf numFmtId="184" fontId="79" fillId="0" borderId="1" xfId="0" applyNumberFormat="1" applyFont="1" applyFill="1" applyBorder="1" applyAlignment="1">
      <alignment horizontal="left" vertical="center"/>
    </xf>
    <xf numFmtId="192" fontId="247" fillId="0" borderId="2" xfId="5" applyNumberFormat="1" applyFont="1" applyFill="1" applyBorder="1" applyAlignment="1">
      <alignment horizontal="left" vertical="center"/>
    </xf>
    <xf numFmtId="0" fontId="119" fillId="6" borderId="174" xfId="5" applyFont="1" applyFill="1" applyBorder="1" applyAlignment="1">
      <alignment horizontal="left" vertical="center"/>
    </xf>
    <xf numFmtId="0" fontId="120" fillId="0" borderId="173" xfId="5" applyFont="1" applyFill="1" applyBorder="1" applyAlignment="1">
      <alignment horizontal="left" vertical="center"/>
    </xf>
    <xf numFmtId="184" fontId="120" fillId="0" borderId="2" xfId="5" applyNumberFormat="1" applyFont="1" applyFill="1" applyBorder="1" applyAlignment="1">
      <alignment horizontal="left" vertical="center"/>
    </xf>
    <xf numFmtId="14" fontId="122" fillId="0" borderId="2" xfId="5" applyNumberFormat="1" applyFont="1" applyBorder="1" applyAlignment="1">
      <alignment horizontal="left" vertical="center"/>
    </xf>
    <xf numFmtId="0" fontId="122" fillId="0" borderId="173" xfId="5" applyFont="1" applyBorder="1" applyAlignment="1">
      <alignment horizontal="left" vertical="center"/>
    </xf>
    <xf numFmtId="14" fontId="152" fillId="0" borderId="175" xfId="5" applyNumberFormat="1" applyFont="1" applyBorder="1" applyAlignment="1">
      <alignment horizontal="left" vertical="center"/>
    </xf>
    <xf numFmtId="0" fontId="152" fillId="0" borderId="0" xfId="5" applyFont="1" applyBorder="1" applyAlignment="1">
      <alignment horizontal="left" vertical="center"/>
    </xf>
    <xf numFmtId="0" fontId="248" fillId="0" borderId="0" xfId="5" applyFont="1" applyBorder="1" applyAlignment="1">
      <alignment horizontal="left" vertical="center"/>
    </xf>
    <xf numFmtId="181" fontId="37" fillId="0" borderId="58" xfId="0" applyNumberFormat="1" applyFont="1" applyFill="1" applyBorder="1" applyAlignment="1" applyProtection="1">
      <alignment horizontal="left" vertical="center"/>
      <protection locked="0"/>
    </xf>
    <xf numFmtId="0" fontId="132" fillId="0" borderId="0" xfId="0" applyFont="1" applyFill="1" applyAlignment="1" applyProtection="1">
      <alignment horizontal="left" vertical="center"/>
      <protection locked="0"/>
    </xf>
    <xf numFmtId="0" fontId="132" fillId="5" borderId="15" xfId="0"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183" fontId="37" fillId="0" borderId="43" xfId="0" applyNumberFormat="1" applyFont="1" applyFill="1" applyBorder="1" applyAlignment="1" applyProtection="1">
      <alignment horizontal="left" vertical="center"/>
      <protection locked="0"/>
    </xf>
    <xf numFmtId="0" fontId="45" fillId="5" borderId="55" xfId="0" applyFont="1" applyFill="1" applyBorder="1" applyAlignment="1" applyProtection="1">
      <alignment horizontal="left" vertical="center" wrapText="1"/>
    </xf>
    <xf numFmtId="0" fontId="45" fillId="5" borderId="14" xfId="0" applyFont="1" applyFill="1" applyBorder="1" applyAlignment="1" applyProtection="1">
      <alignment horizontal="left" vertical="center" wrapText="1"/>
    </xf>
    <xf numFmtId="0" fontId="45" fillId="5" borderId="81"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0" fillId="5" borderId="66" xfId="0" applyFont="1" applyFill="1" applyBorder="1" applyAlignment="1" applyProtection="1">
      <alignment horizontal="left" vertical="center"/>
    </xf>
    <xf numFmtId="0" fontId="40" fillId="8" borderId="0" xfId="0" applyFont="1" applyFill="1" applyAlignment="1" applyProtection="1">
      <alignment horizontal="left" vertical="center"/>
      <protection locked="0"/>
    </xf>
    <xf numFmtId="0" fontId="45" fillId="5" borderId="22" xfId="0" applyFont="1" applyFill="1" applyBorder="1" applyAlignment="1" applyProtection="1">
      <alignment horizontal="left" vertical="center" wrapText="1"/>
    </xf>
    <xf numFmtId="0" fontId="40" fillId="5" borderId="11" xfId="0" applyFont="1" applyFill="1" applyBorder="1" applyAlignment="1" applyProtection="1">
      <alignment horizontal="left" vertical="center" wrapText="1"/>
    </xf>
    <xf numFmtId="49" fontId="236" fillId="0" borderId="31" xfId="0" applyNumberFormat="1" applyFont="1" applyFill="1" applyBorder="1" applyAlignment="1" applyProtection="1">
      <alignment horizontal="left" vertical="center" wrapText="1"/>
      <protection locked="0"/>
    </xf>
    <xf numFmtId="49" fontId="40" fillId="5" borderId="0" xfId="0" applyNumberFormat="1" applyFont="1" applyFill="1" applyBorder="1" applyAlignment="1" applyProtection="1">
      <alignment horizontal="left" vertical="center" wrapText="1"/>
      <protection locked="0"/>
    </xf>
    <xf numFmtId="0" fontId="45" fillId="5" borderId="26"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236" fillId="0" borderId="34" xfId="0" applyNumberFormat="1" applyFont="1" applyFill="1" applyBorder="1" applyAlignment="1" applyProtection="1">
      <alignment horizontal="left" vertical="center" wrapText="1"/>
      <protection locked="0"/>
    </xf>
    <xf numFmtId="49" fontId="236" fillId="0" borderId="6" xfId="0" applyNumberFormat="1" applyFont="1" applyFill="1" applyBorder="1" applyAlignment="1" applyProtection="1">
      <alignment horizontal="left" vertical="center" wrapText="1"/>
      <protection locked="0"/>
    </xf>
    <xf numFmtId="49" fontId="40" fillId="5" borderId="26" xfId="0" applyNumberFormat="1" applyFont="1" applyFill="1" applyBorder="1" applyAlignment="1" applyProtection="1">
      <alignment horizontal="left" vertical="center" wrapText="1"/>
    </xf>
    <xf numFmtId="0" fontId="236" fillId="0" borderId="6" xfId="0" applyFont="1" applyBorder="1" applyAlignment="1" applyProtection="1">
      <alignment horizontal="left" vertical="center" wrapText="1"/>
      <protection locked="0"/>
    </xf>
    <xf numFmtId="49" fontId="40" fillId="5" borderId="42" xfId="0" applyNumberFormat="1" applyFont="1" applyFill="1" applyBorder="1" applyAlignment="1" applyProtection="1">
      <alignment horizontal="left" vertical="center" wrapText="1"/>
    </xf>
    <xf numFmtId="0" fontId="40" fillId="5" borderId="56" xfId="0" applyFont="1" applyFill="1" applyBorder="1" applyAlignment="1" applyProtection="1">
      <alignment horizontal="left" vertical="center" wrapText="1"/>
    </xf>
    <xf numFmtId="0" fontId="236" fillId="0" borderId="4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236" fillId="0" borderId="43" xfId="0" applyFont="1" applyBorder="1" applyAlignment="1" applyProtection="1">
      <alignment horizontal="left" vertical="center"/>
      <protection locked="0"/>
    </xf>
    <xf numFmtId="0" fontId="40" fillId="8" borderId="0" xfId="0" applyNumberFormat="1" applyFont="1" applyFill="1" applyBorder="1" applyAlignment="1" applyProtection="1">
      <alignment horizontal="left" vertical="center" wrapText="1"/>
      <protection locked="0"/>
    </xf>
    <xf numFmtId="49" fontId="40" fillId="8" borderId="0" xfId="0" applyNumberFormat="1" applyFont="1" applyFill="1" applyBorder="1" applyAlignment="1" applyProtection="1">
      <alignment horizontal="left" vertical="center" wrapText="1"/>
      <protection locked="0"/>
    </xf>
    <xf numFmtId="0" fontId="45" fillId="5" borderId="0" xfId="0"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45" fillId="5" borderId="5" xfId="0"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5" fillId="5" borderId="10" xfId="0" applyFont="1" applyFill="1" applyBorder="1" applyAlignment="1" applyProtection="1">
      <alignment horizontal="left" vertical="center" wrapText="1"/>
    </xf>
    <xf numFmtId="0" fontId="40" fillId="5" borderId="4" xfId="0" applyFont="1" applyFill="1" applyBorder="1" applyAlignment="1" applyProtection="1">
      <alignment horizontal="left" vertical="center" wrapText="1"/>
    </xf>
    <xf numFmtId="49" fontId="40" fillId="5" borderId="59" xfId="0" applyNumberFormat="1" applyFont="1" applyFill="1" applyBorder="1" applyAlignment="1" applyProtection="1">
      <alignment horizontal="left" vertical="center" wrapText="1"/>
    </xf>
    <xf numFmtId="49" fontId="45" fillId="5" borderId="10" xfId="0" applyNumberFormat="1" applyFont="1" applyFill="1" applyBorder="1" applyAlignment="1" applyProtection="1">
      <alignment horizontal="left" vertical="center" wrapText="1"/>
    </xf>
    <xf numFmtId="0" fontId="40" fillId="5" borderId="31" xfId="0" applyNumberFormat="1" applyFont="1" applyFill="1" applyBorder="1" applyAlignment="1" applyProtection="1">
      <alignment horizontal="left" vertical="center" wrapText="1"/>
    </xf>
    <xf numFmtId="0" fontId="45" fillId="5" borderId="77" xfId="0" applyFont="1" applyFill="1" applyBorder="1" applyAlignment="1" applyProtection="1">
      <alignment horizontal="left" vertical="center" wrapText="1"/>
    </xf>
    <xf numFmtId="49" fontId="40" fillId="5" borderId="6" xfId="0" applyNumberFormat="1" applyFont="1" applyFill="1" applyBorder="1" applyAlignment="1" applyProtection="1">
      <alignment horizontal="left" vertical="center" wrapText="1"/>
    </xf>
    <xf numFmtId="49" fontId="45" fillId="5" borderId="77" xfId="0" applyNumberFormat="1" applyFont="1" applyFill="1" applyBorder="1" applyAlignment="1" applyProtection="1">
      <alignment horizontal="left" vertical="center" wrapText="1"/>
    </xf>
    <xf numFmtId="0" fontId="40" fillId="5" borderId="6" xfId="0" applyNumberFormat="1" applyFont="1" applyFill="1" applyBorder="1" applyAlignment="1" applyProtection="1">
      <alignment horizontal="left" vertical="center" wrapText="1"/>
    </xf>
    <xf numFmtId="0" fontId="236" fillId="0" borderId="6" xfId="0" applyNumberFormat="1" applyFont="1" applyFill="1" applyBorder="1" applyAlignment="1" applyProtection="1">
      <alignment horizontal="left" vertical="center" wrapText="1"/>
      <protection locked="0"/>
    </xf>
    <xf numFmtId="0" fontId="40" fillId="6" borderId="6" xfId="0" applyNumberFormat="1" applyFont="1" applyFill="1" applyBorder="1" applyAlignment="1" applyProtection="1">
      <alignment horizontal="left" vertical="center" wrapText="1"/>
      <protection locked="0"/>
    </xf>
    <xf numFmtId="0" fontId="40" fillId="0" borderId="6" xfId="0" applyNumberFormat="1" applyFont="1" applyFill="1" applyBorder="1" applyAlignment="1" applyProtection="1">
      <alignment horizontal="left" vertical="center" wrapText="1"/>
      <protection locked="0"/>
    </xf>
    <xf numFmtId="49" fontId="45" fillId="5" borderId="78"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protection locked="0"/>
    </xf>
    <xf numFmtId="0" fontId="45" fillId="5" borderId="78" xfId="0" applyFont="1" applyFill="1" applyBorder="1" applyAlignment="1" applyProtection="1">
      <alignment horizontal="left" vertical="center" wrapText="1"/>
    </xf>
    <xf numFmtId="0" fontId="40" fillId="5" borderId="43" xfId="0" applyNumberFormat="1" applyFont="1" applyFill="1" applyBorder="1" applyAlignment="1" applyProtection="1">
      <alignment horizontal="left" vertical="center" wrapText="1"/>
    </xf>
    <xf numFmtId="0" fontId="40" fillId="5" borderId="0" xfId="0" applyFont="1" applyFill="1" applyAlignment="1" applyProtection="1">
      <alignment horizontal="left" vertical="center" wrapText="1"/>
      <protection locked="0"/>
    </xf>
    <xf numFmtId="0" fontId="40" fillId="5" borderId="0" xfId="0" applyNumberFormat="1" applyFont="1" applyFill="1" applyAlignment="1" applyProtection="1">
      <alignment horizontal="left" vertical="center" wrapText="1"/>
      <protection locked="0"/>
    </xf>
    <xf numFmtId="0" fontId="95" fillId="5" borderId="43" xfId="0" applyNumberFormat="1"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257" fillId="0" borderId="32"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91" fillId="0" borderId="0" xfId="0" applyFont="1">
      <alignment vertical="center"/>
    </xf>
    <xf numFmtId="0" fontId="192" fillId="0" borderId="18" xfId="0" applyFont="1" applyFill="1" applyBorder="1" applyAlignment="1" applyProtection="1">
      <alignment horizontal="left" vertical="center" wrapText="1"/>
    </xf>
    <xf numFmtId="0" fontId="192" fillId="0" borderId="49" xfId="0" applyFont="1" applyFill="1" applyBorder="1" applyAlignment="1" applyProtection="1">
      <alignment horizontal="left" vertical="center" wrapText="1"/>
    </xf>
    <xf numFmtId="0" fontId="192" fillId="0" borderId="17" xfId="0" applyFont="1" applyFill="1" applyBorder="1" applyAlignment="1" applyProtection="1">
      <alignment horizontal="left" vertical="center" wrapText="1"/>
    </xf>
    <xf numFmtId="0" fontId="118" fillId="0" borderId="1" xfId="0" applyFont="1" applyBorder="1" applyProtection="1">
      <alignment vertical="center"/>
    </xf>
    <xf numFmtId="0" fontId="118" fillId="0" borderId="1" xfId="0" applyFont="1" applyBorder="1" applyAlignment="1" applyProtection="1">
      <alignment vertical="center" wrapText="1"/>
    </xf>
    <xf numFmtId="0" fontId="118" fillId="0" borderId="18" xfId="0" applyFont="1" applyBorder="1" applyProtection="1">
      <alignment vertical="center"/>
    </xf>
    <xf numFmtId="0" fontId="118" fillId="0" borderId="75" xfId="0" applyFont="1" applyBorder="1" applyProtection="1">
      <alignment vertical="center"/>
    </xf>
    <xf numFmtId="0" fontId="118" fillId="0" borderId="0" xfId="0" applyFont="1" applyBorder="1" applyAlignment="1" applyProtection="1">
      <alignment horizontal="center" vertical="center"/>
    </xf>
    <xf numFmtId="0" fontId="118" fillId="0" borderId="32" xfId="0" applyFont="1" applyBorder="1" applyAlignment="1" applyProtection="1">
      <alignment horizontal="center" vertical="center"/>
    </xf>
    <xf numFmtId="0" fontId="118" fillId="0" borderId="1" xfId="0" applyFont="1" applyBorder="1" applyAlignment="1" applyProtection="1">
      <alignment horizontal="center" vertical="center"/>
    </xf>
    <xf numFmtId="0" fontId="118" fillId="0" borderId="163" xfId="0" applyFont="1" applyBorder="1" applyAlignment="1" applyProtection="1">
      <alignment horizontal="left" vertical="center" wrapText="1"/>
    </xf>
    <xf numFmtId="0" fontId="118" fillId="0" borderId="164" xfId="0" applyFont="1" applyBorder="1" applyAlignment="1" applyProtection="1">
      <alignment horizontal="left" vertical="center" wrapText="1"/>
    </xf>
    <xf numFmtId="0" fontId="118" fillId="0" borderId="161" xfId="0" applyFont="1" applyBorder="1" applyAlignment="1" applyProtection="1">
      <alignment horizontal="left" vertical="center" wrapText="1"/>
    </xf>
    <xf numFmtId="0" fontId="118" fillId="0" borderId="162" xfId="0" applyFont="1" applyBorder="1" applyAlignment="1" applyProtection="1">
      <alignment horizontal="left" vertical="center" wrapText="1"/>
    </xf>
    <xf numFmtId="0" fontId="118" fillId="0" borderId="17" xfId="0" applyFont="1" applyBorder="1" applyProtection="1">
      <alignment vertical="center"/>
    </xf>
    <xf numFmtId="0" fontId="192" fillId="0" borderId="1" xfId="0" applyFont="1" applyFill="1" applyBorder="1" applyAlignment="1" applyProtection="1">
      <alignment horizontal="left" vertical="center" wrapText="1"/>
    </xf>
    <xf numFmtId="0" fontId="192" fillId="0" borderId="75" xfId="0" applyFont="1" applyFill="1" applyBorder="1" applyAlignment="1" applyProtection="1">
      <alignment horizontal="left" vertical="center" wrapText="1"/>
    </xf>
    <xf numFmtId="0" fontId="127" fillId="0" borderId="0" xfId="0" applyFont="1" applyAlignment="1" applyProtection="1">
      <alignment horizontal="left" vertical="center" wrapText="1"/>
    </xf>
    <xf numFmtId="0" fontId="181" fillId="0" borderId="0" xfId="0" applyFont="1" applyAlignment="1" applyProtection="1">
      <alignment horizontal="center" vertical="center"/>
    </xf>
    <xf numFmtId="0" fontId="192" fillId="0" borderId="114" xfId="0" applyFont="1" applyFill="1" applyBorder="1" applyAlignment="1" applyProtection="1">
      <alignment horizontal="center" vertical="center" wrapText="1"/>
    </xf>
    <xf numFmtId="0" fontId="192" fillId="0" borderId="115" xfId="0" applyFont="1" applyFill="1" applyBorder="1" applyAlignment="1" applyProtection="1">
      <alignment horizontal="center" vertical="center" wrapText="1"/>
    </xf>
    <xf numFmtId="0" fontId="192" fillId="0" borderId="1"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54" fillId="0" borderId="1" xfId="0" applyFont="1" applyFill="1" applyBorder="1" applyAlignment="1" applyProtection="1">
      <alignment horizontal="center" vertical="center" wrapText="1"/>
    </xf>
    <xf numFmtId="182" fontId="54" fillId="0"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54" fillId="0" borderId="75" xfId="0" applyFont="1" applyFill="1" applyBorder="1" applyAlignment="1" applyProtection="1">
      <alignment horizontal="center" vertical="center" wrapText="1"/>
    </xf>
    <xf numFmtId="182" fontId="54" fillId="0" borderId="75"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54" fillId="0" borderId="32" xfId="0" applyFont="1" applyFill="1" applyBorder="1" applyAlignment="1" applyProtection="1">
      <alignment horizontal="center" vertical="center" wrapText="1"/>
    </xf>
    <xf numFmtId="182" fontId="54" fillId="0" borderId="2" xfId="0" applyNumberFormat="1" applyFont="1" applyFill="1" applyBorder="1" applyAlignment="1" applyProtection="1">
      <alignment horizontal="center" vertical="center" wrapText="1"/>
    </xf>
    <xf numFmtId="182" fontId="54" fillId="0" borderId="51" xfId="0" applyNumberFormat="1" applyFont="1" applyFill="1" applyBorder="1" applyAlignment="1" applyProtection="1">
      <alignment horizontal="center" vertical="center" wrapText="1"/>
    </xf>
    <xf numFmtId="182" fontId="54" fillId="0" borderId="3" xfId="0" applyNumberFormat="1" applyFont="1" applyFill="1" applyBorder="1" applyAlignment="1" applyProtection="1">
      <alignment horizontal="center" vertical="center" wrapText="1"/>
    </xf>
    <xf numFmtId="0" fontId="184" fillId="0" borderId="0" xfId="0" applyFont="1" applyBorder="1" applyAlignment="1">
      <alignment horizontal="justify" vertical="center" wrapText="1"/>
    </xf>
    <xf numFmtId="0" fontId="184" fillId="0" borderId="0" xfId="0" applyFont="1" applyBorder="1" applyAlignment="1">
      <alignment horizontal="left" vertical="center"/>
    </xf>
    <xf numFmtId="0" fontId="126" fillId="0" borderId="0" xfId="0" applyFont="1" applyBorder="1" applyAlignment="1">
      <alignment horizontal="left" vertical="center" wrapText="1"/>
    </xf>
    <xf numFmtId="0" fontId="129"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37" fillId="0" borderId="2"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2"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0" borderId="1" xfId="0" applyFont="1" applyBorder="1" applyAlignment="1" applyProtection="1">
      <alignment horizontal="left" vertical="center"/>
    </xf>
    <xf numFmtId="0" fontId="95" fillId="6" borderId="18" xfId="0" applyFont="1" applyFill="1" applyBorder="1" applyAlignment="1" applyProtection="1">
      <alignment horizontal="left" vertical="center"/>
    </xf>
    <xf numFmtId="0" fontId="95" fillId="6" borderId="49" xfId="0" applyFont="1" applyFill="1" applyBorder="1" applyAlignment="1" applyProtection="1">
      <alignment horizontal="left" vertical="center"/>
    </xf>
    <xf numFmtId="0" fontId="95" fillId="6" borderId="17" xfId="0" applyFont="1" applyFill="1" applyBorder="1" applyAlignment="1" applyProtection="1">
      <alignment horizontal="left" vertical="center"/>
    </xf>
    <xf numFmtId="0" fontId="119" fillId="6" borderId="1" xfId="5" applyFont="1" applyFill="1" applyBorder="1" applyAlignment="1">
      <alignment horizontal="left" vertical="center"/>
    </xf>
    <xf numFmtId="0" fontId="120" fillId="0" borderId="1" xfId="5" applyFont="1" applyBorder="1" applyAlignment="1">
      <alignment horizontal="left" vertical="center"/>
    </xf>
    <xf numFmtId="0" fontId="120" fillId="0" borderId="173" xfId="5" applyFont="1" applyBorder="1" applyAlignment="1">
      <alignment horizontal="left" vertical="center"/>
    </xf>
    <xf numFmtId="0" fontId="95" fillId="5" borderId="0" xfId="0" applyFont="1" applyFill="1" applyBorder="1" applyAlignment="1" applyProtection="1">
      <alignment horizontal="center" vertical="center" wrapText="1"/>
    </xf>
    <xf numFmtId="0" fontId="40" fillId="5" borderId="0" xfId="0" applyFont="1" applyFill="1" applyBorder="1" applyAlignment="1" applyProtection="1">
      <alignment vertical="center" wrapText="1"/>
    </xf>
    <xf numFmtId="0" fontId="40" fillId="5" borderId="63" xfId="0" applyFont="1" applyFill="1" applyBorder="1" applyAlignment="1" applyProtection="1">
      <alignment vertical="center" wrapText="1"/>
    </xf>
    <xf numFmtId="0" fontId="40" fillId="5" borderId="24" xfId="0" applyFont="1" applyFill="1" applyBorder="1" applyAlignment="1" applyProtection="1">
      <alignment vertical="center" wrapText="1"/>
    </xf>
    <xf numFmtId="0" fontId="40" fillId="5" borderId="52" xfId="0" applyFont="1" applyFill="1" applyBorder="1" applyAlignment="1" applyProtection="1">
      <alignment vertical="center" wrapText="1"/>
    </xf>
    <xf numFmtId="0" fontId="40" fillId="5" borderId="27" xfId="0" applyFont="1" applyFill="1" applyBorder="1" applyAlignment="1" applyProtection="1">
      <alignment vertical="center" wrapText="1"/>
    </xf>
    <xf numFmtId="0" fontId="40" fillId="5" borderId="4"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5" borderId="52" xfId="0" applyFont="1" applyFill="1" applyBorder="1" applyAlignment="1" applyProtection="1">
      <alignment vertical="top" wrapText="1"/>
    </xf>
    <xf numFmtId="0" fontId="40" fillId="5" borderId="39" xfId="0" applyFont="1" applyFill="1" applyBorder="1" applyAlignment="1" applyProtection="1">
      <alignment vertical="top" wrapText="1"/>
    </xf>
    <xf numFmtId="0" fontId="40" fillId="5" borderId="63" xfId="0" applyFont="1" applyFill="1" applyBorder="1" applyAlignment="1" applyProtection="1">
      <alignment vertical="top" wrapText="1"/>
    </xf>
    <xf numFmtId="0" fontId="136" fillId="5" borderId="172" xfId="0" applyFont="1" applyFill="1" applyBorder="1" applyAlignment="1" applyProtection="1">
      <alignment horizontal="center" vertical="center" wrapText="1"/>
    </xf>
    <xf numFmtId="0" fontId="40" fillId="5" borderId="26"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73" fillId="5" borderId="22"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1" xfId="0" applyFont="1" applyFill="1" applyBorder="1" applyAlignment="1" applyProtection="1">
      <alignment vertical="center" wrapText="1"/>
    </xf>
    <xf numFmtId="0" fontId="40" fillId="5" borderId="46" xfId="0" applyFont="1" applyFill="1" applyBorder="1" applyAlignment="1" applyProtection="1">
      <alignment vertical="center" wrapText="1"/>
    </xf>
    <xf numFmtId="0" fontId="40" fillId="5" borderId="28" xfId="0" applyFont="1" applyFill="1" applyBorder="1" applyAlignment="1" applyProtection="1">
      <alignment vertical="center" wrapText="1"/>
    </xf>
    <xf numFmtId="0" fontId="40" fillId="5" borderId="19" xfId="0" applyFont="1" applyFill="1" applyBorder="1" applyAlignment="1" applyProtection="1">
      <alignment vertical="center" wrapText="1"/>
    </xf>
    <xf numFmtId="0" fontId="40" fillId="5" borderId="3" xfId="0" applyFont="1" applyFill="1" applyBorder="1" applyAlignment="1" applyProtection="1">
      <alignment vertical="center" wrapText="1"/>
    </xf>
    <xf numFmtId="0" fontId="40" fillId="5" borderId="20" xfId="0" applyFont="1" applyFill="1" applyBorder="1" applyAlignment="1" applyProtection="1">
      <alignment vertical="center" wrapText="1"/>
    </xf>
    <xf numFmtId="0" fontId="40" fillId="5" borderId="56" xfId="0" applyFont="1" applyFill="1" applyBorder="1" applyAlignment="1" applyProtection="1">
      <alignment vertical="center" wrapText="1"/>
    </xf>
    <xf numFmtId="0" fontId="40" fillId="0" borderId="64" xfId="0" applyFont="1" applyFill="1" applyBorder="1" applyAlignment="1" applyProtection="1">
      <alignment vertical="center" wrapText="1"/>
      <protection locked="0"/>
    </xf>
    <xf numFmtId="0" fontId="40" fillId="0" borderId="68" xfId="0" applyFont="1" applyFill="1" applyBorder="1" applyAlignment="1" applyProtection="1">
      <alignment vertical="center" wrapText="1"/>
      <protection locked="0"/>
    </xf>
    <xf numFmtId="0" fontId="40" fillId="0" borderId="2" xfId="0" applyFont="1" applyFill="1" applyBorder="1" applyAlignment="1" applyProtection="1">
      <alignment vertical="center" wrapText="1"/>
      <protection locked="0"/>
    </xf>
    <xf numFmtId="0" fontId="40" fillId="0" borderId="41" xfId="0" applyFont="1" applyFill="1" applyBorder="1" applyAlignment="1" applyProtection="1">
      <alignment vertical="center" wrapText="1"/>
      <protection locked="0"/>
    </xf>
    <xf numFmtId="0" fontId="40" fillId="0" borderId="35" xfId="0" applyFont="1" applyFill="1" applyBorder="1" applyAlignment="1" applyProtection="1">
      <alignment vertical="center" wrapText="1"/>
      <protection locked="0"/>
    </xf>
    <xf numFmtId="0" fontId="40" fillId="0" borderId="80" xfId="0" applyFont="1" applyFill="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38" xfId="0" applyFont="1" applyFill="1" applyBorder="1" applyAlignment="1" applyProtection="1">
      <alignment vertical="center"/>
    </xf>
    <xf numFmtId="0" fontId="40" fillId="5" borderId="46" xfId="0" applyFont="1" applyFill="1" applyBorder="1" applyAlignment="1" applyProtection="1">
      <alignment vertical="center"/>
    </xf>
    <xf numFmtId="0" fontId="40"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wrapText="1"/>
    </xf>
    <xf numFmtId="179" fontId="39" fillId="5" borderId="22" xfId="0" applyNumberFormat="1" applyFont="1" applyFill="1" applyBorder="1" applyAlignment="1" applyProtection="1">
      <alignment horizontal="left" vertical="center" wrapText="1"/>
      <protection locked="0"/>
    </xf>
    <xf numFmtId="179" fontId="39" fillId="5" borderId="26" xfId="0" applyNumberFormat="1" applyFont="1" applyFill="1" applyBorder="1" applyAlignment="1" applyProtection="1">
      <alignment horizontal="left" vertical="center" wrapText="1"/>
      <protection locked="0"/>
    </xf>
    <xf numFmtId="0" fontId="36" fillId="5" borderId="117" xfId="0" applyFont="1" applyFill="1" applyBorder="1" applyAlignment="1" applyProtection="1">
      <alignment horizontal="left" vertical="center"/>
    </xf>
    <xf numFmtId="0" fontId="36" fillId="5" borderId="112" xfId="0" applyFont="1" applyFill="1" applyBorder="1" applyAlignment="1" applyProtection="1">
      <alignment horizontal="left" vertical="center"/>
    </xf>
    <xf numFmtId="0" fontId="46" fillId="5" borderId="58" xfId="0" applyFont="1" applyFill="1" applyBorder="1" applyAlignment="1" applyProtection="1">
      <alignment horizontal="left" vertical="center"/>
    </xf>
    <xf numFmtId="0" fontId="46" fillId="5" borderId="5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98" fillId="5" borderId="40" xfId="0" applyFont="1" applyFill="1" applyBorder="1" applyAlignment="1" applyProtection="1">
      <alignment horizontal="left" vertical="center" wrapText="1"/>
    </xf>
    <xf numFmtId="0" fontId="98" fillId="5" borderId="40" xfId="0" applyFont="1" applyFill="1" applyBorder="1" applyAlignment="1" applyProtection="1">
      <alignment horizontal="left" vertical="center"/>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0" fontId="45" fillId="5" borderId="41" xfId="0" applyFont="1" applyFill="1" applyBorder="1" applyAlignment="1" applyProtection="1">
      <alignment horizontal="left" vertical="center" wrapText="1"/>
    </xf>
    <xf numFmtId="0" fontId="45" fillId="5" borderId="19" xfId="0" applyFont="1" applyFill="1" applyBorder="1" applyAlignment="1" applyProtection="1">
      <alignment horizontal="left" vertical="center" wrapText="1"/>
    </xf>
    <xf numFmtId="0" fontId="45" fillId="5" borderId="3" xfId="0" applyFont="1" applyFill="1" applyBorder="1" applyAlignment="1" applyProtection="1">
      <alignment horizontal="left" vertical="center" wrapText="1"/>
    </xf>
    <xf numFmtId="0" fontId="45" fillId="5" borderId="52" xfId="0" applyFont="1" applyFill="1" applyBorder="1" applyAlignment="1" applyProtection="1">
      <alignment horizontal="left" vertical="center" wrapText="1"/>
    </xf>
    <xf numFmtId="0" fontId="45" fillId="5" borderId="27" xfId="0"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70" xfId="0" applyFont="1" applyFill="1" applyBorder="1" applyAlignment="1" applyProtection="1">
      <alignment horizontal="left" vertical="center" wrapText="1"/>
    </xf>
    <xf numFmtId="0" fontId="45" fillId="5" borderId="5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wrapText="1"/>
    </xf>
    <xf numFmtId="182" fontId="40" fillId="5" borderId="51" xfId="0" applyNumberFormat="1" applyFont="1" applyFill="1" applyBorder="1" applyAlignment="1" applyProtection="1">
      <alignment horizontal="left" vertical="center" wrapText="1"/>
    </xf>
    <xf numFmtId="182" fontId="40" fillId="5" borderId="41" xfId="0" applyNumberFormat="1"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shrinkToFit="1"/>
    </xf>
    <xf numFmtId="0" fontId="40" fillId="5" borderId="3" xfId="0" applyFont="1" applyFill="1" applyBorder="1" applyAlignment="1" applyProtection="1">
      <alignment horizontal="left" vertical="center" shrinkToFit="1"/>
    </xf>
    <xf numFmtId="0" fontId="45" fillId="5" borderId="118" xfId="0"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shrinkToFit="1"/>
      <protection locked="0"/>
    </xf>
    <xf numFmtId="0" fontId="45"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18" xfId="0" applyFont="1" applyFill="1" applyBorder="1" applyAlignment="1" applyProtection="1">
      <alignment horizontal="left" vertical="center" wrapText="1"/>
    </xf>
    <xf numFmtId="0" fontId="40" fillId="5" borderId="17"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shrinkToFit="1"/>
    </xf>
    <xf numFmtId="182" fontId="40" fillId="5" borderId="41" xfId="0" applyNumberFormat="1" applyFont="1" applyFill="1" applyBorder="1" applyAlignment="1" applyProtection="1">
      <alignment horizontal="left" vertical="center" shrinkToFit="1"/>
    </xf>
    <xf numFmtId="182" fontId="40" fillId="5" borderId="72" xfId="0" applyNumberFormat="1" applyFont="1" applyFill="1" applyBorder="1" applyAlignment="1" applyProtection="1">
      <alignment horizontal="left" vertical="center" wrapText="1"/>
    </xf>
    <xf numFmtId="182" fontId="40" fillId="5" borderId="40" xfId="0" applyNumberFormat="1" applyFont="1" applyFill="1" applyBorder="1" applyAlignment="1" applyProtection="1">
      <alignment horizontal="left" vertical="center" wrapText="1"/>
    </xf>
    <xf numFmtId="182" fontId="40" fillId="5" borderId="30"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5" fillId="5" borderId="46" xfId="0" applyFont="1" applyFill="1" applyBorder="1" applyAlignment="1" applyProtection="1">
      <alignment horizontal="left" vertical="center" wrapText="1"/>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37" fillId="0" borderId="18"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39" fillId="5" borderId="42"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5" fillId="5" borderId="35" xfId="0" applyFont="1" applyFill="1" applyBorder="1" applyAlignment="1" applyProtection="1">
      <alignment horizontal="left" vertical="center" wrapText="1"/>
    </xf>
    <xf numFmtId="0" fontId="45" fillId="5" borderId="36" xfId="0" applyFont="1" applyFill="1" applyBorder="1" applyAlignment="1" applyProtection="1">
      <alignment horizontal="left" vertical="center" wrapText="1"/>
    </xf>
    <xf numFmtId="0" fontId="45" fillId="5" borderId="40" xfId="0" applyFont="1" applyFill="1" applyBorder="1" applyAlignment="1" applyProtection="1">
      <alignment horizontal="center" vertical="center"/>
    </xf>
    <xf numFmtId="0" fontId="140" fillId="5" borderId="60" xfId="0" applyFont="1" applyFill="1" applyBorder="1" applyAlignment="1" applyProtection="1">
      <alignment horizontal="left" vertical="center" wrapText="1"/>
    </xf>
    <xf numFmtId="0" fontId="140" fillId="5" borderId="0" xfId="0" applyFont="1" applyFill="1" applyAlignment="1" applyProtection="1">
      <alignment horizontal="left" vertical="center" wrapText="1"/>
    </xf>
    <xf numFmtId="0" fontId="219" fillId="5" borderId="0" xfId="0" applyFont="1" applyFill="1" applyAlignment="1" applyProtection="1">
      <alignment horizontal="center" vertical="center"/>
    </xf>
    <xf numFmtId="0" fontId="40" fillId="5" borderId="41" xfId="0" applyFont="1" applyFill="1" applyBorder="1" applyAlignment="1" applyProtection="1">
      <alignment horizontal="left" vertical="center" wrapText="1"/>
    </xf>
    <xf numFmtId="0" fontId="37" fillId="0" borderId="1" xfId="0" applyFont="1" applyBorder="1" applyAlignment="1" applyProtection="1">
      <alignment horizontal="left" vertical="center"/>
      <protection locked="0"/>
    </xf>
    <xf numFmtId="0" fontId="40" fillId="5" borderId="63" xfId="0" applyFont="1" applyFill="1" applyBorder="1" applyAlignment="1" applyProtection="1">
      <alignment horizontal="center" vertical="center"/>
    </xf>
    <xf numFmtId="0" fontId="40" fillId="5" borderId="65" xfId="0" applyFont="1" applyFill="1" applyBorder="1" applyAlignment="1" applyProtection="1">
      <alignment horizontal="center" vertical="center"/>
    </xf>
    <xf numFmtId="0" fontId="37" fillId="0" borderId="49" xfId="0" applyFont="1" applyBorder="1" applyAlignment="1" applyProtection="1">
      <alignment horizontal="left" vertical="center"/>
      <protection locked="0"/>
    </xf>
    <xf numFmtId="0" fontId="47"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47" fillId="5" borderId="39"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left" vertical="center" wrapText="1"/>
    </xf>
    <xf numFmtId="0" fontId="126" fillId="5" borderId="0" xfId="0" applyFont="1" applyFill="1" applyBorder="1" applyAlignment="1" applyProtection="1">
      <alignment horizontal="center" vertical="center" shrinkToFit="1"/>
    </xf>
    <xf numFmtId="0" fontId="39" fillId="5" borderId="46" xfId="0" applyFont="1" applyFill="1" applyBorder="1" applyAlignment="1" applyProtection="1">
      <alignment horizontal="center" vertical="center"/>
    </xf>
    <xf numFmtId="0" fontId="39" fillId="5" borderId="47" xfId="0" applyFont="1" applyFill="1" applyBorder="1" applyAlignment="1" applyProtection="1">
      <alignment horizontal="center" vertical="center"/>
    </xf>
    <xf numFmtId="0" fontId="105" fillId="8" borderId="18" xfId="0" applyFont="1" applyFill="1" applyBorder="1" applyAlignment="1" applyProtection="1">
      <alignment horizontal="left" vertical="center" wrapText="1"/>
    </xf>
    <xf numFmtId="0" fontId="105" fillId="8" borderId="17" xfId="0" applyFont="1" applyFill="1" applyBorder="1" applyAlignment="1" applyProtection="1">
      <alignment horizontal="left" vertical="center" wrapText="1"/>
    </xf>
    <xf numFmtId="0" fontId="105" fillId="8" borderId="1" xfId="0" applyFont="1" applyFill="1" applyBorder="1" applyAlignment="1" applyProtection="1">
      <alignment horizontal="left" vertical="center" wrapText="1"/>
    </xf>
    <xf numFmtId="182" fontId="40" fillId="5" borderId="3" xfId="0" applyNumberFormat="1" applyFont="1" applyFill="1" applyBorder="1" applyAlignment="1" applyProtection="1">
      <alignment horizontal="left" vertical="center" shrinkToFit="1"/>
    </xf>
    <xf numFmtId="0" fontId="40" fillId="5" borderId="19" xfId="0" applyFont="1" applyFill="1" applyBorder="1" applyAlignment="1" applyProtection="1">
      <alignment horizontal="left" vertical="center" wrapText="1"/>
    </xf>
    <xf numFmtId="0" fontId="98" fillId="5" borderId="7" xfId="0"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98" fillId="5" borderId="6" xfId="0" applyFont="1" applyFill="1" applyBorder="1" applyAlignment="1" applyProtection="1">
      <alignment horizontal="left" vertical="center" shrinkToFit="1"/>
    </xf>
    <xf numFmtId="0" fontId="98" fillId="5" borderId="1" xfId="0" applyFont="1" applyFill="1" applyBorder="1" applyAlignment="1" applyProtection="1">
      <alignment horizontal="left" vertical="center" wrapText="1"/>
    </xf>
    <xf numFmtId="0" fontId="98" fillId="5" borderId="6" xfId="0" applyFont="1" applyFill="1" applyBorder="1" applyAlignment="1" applyProtection="1">
      <alignment horizontal="left" vertical="center" wrapText="1"/>
    </xf>
    <xf numFmtId="0" fontId="45" fillId="0" borderId="7" xfId="0" applyFont="1" applyFill="1" applyBorder="1" applyAlignment="1" applyProtection="1">
      <alignment horizontal="left" vertical="center" shrinkToFit="1"/>
      <protection locked="0"/>
    </xf>
    <xf numFmtId="0" fontId="45" fillId="0" borderId="1" xfId="0" applyFont="1" applyFill="1" applyBorder="1" applyAlignment="1" applyProtection="1">
      <alignment horizontal="left" vertical="center" shrinkToFit="1"/>
      <protection locked="0"/>
    </xf>
    <xf numFmtId="0" fontId="39" fillId="5" borderId="46" xfId="0"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39" fillId="5" borderId="38" xfId="0" applyFont="1" applyFill="1" applyBorder="1" applyAlignment="1" applyProtection="1">
      <alignment horizontal="center" vertical="center" wrapText="1"/>
    </xf>
    <xf numFmtId="0" fontId="193" fillId="8" borderId="2" xfId="0" applyFont="1" applyFill="1" applyBorder="1" applyAlignment="1" applyProtection="1">
      <alignment horizontal="left" vertical="center"/>
    </xf>
    <xf numFmtId="0" fontId="193" fillId="8" borderId="51" xfId="0" applyFont="1" applyFill="1" applyBorder="1" applyAlignment="1" applyProtection="1">
      <alignment horizontal="left" vertical="center"/>
    </xf>
    <xf numFmtId="0" fontId="243" fillId="5" borderId="1"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wrapText="1"/>
    </xf>
    <xf numFmtId="0" fontId="40" fillId="6" borderId="2"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wrapText="1"/>
      <protection locked="0"/>
    </xf>
    <xf numFmtId="0" fontId="38" fillId="5" borderId="4"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101" fillId="5" borderId="119" xfId="0" applyFont="1" applyFill="1" applyBorder="1" applyAlignment="1" applyProtection="1">
      <alignment vertical="center" wrapText="1"/>
    </xf>
    <xf numFmtId="0" fontId="101" fillId="5" borderId="120" xfId="0" applyFont="1" applyFill="1" applyBorder="1" applyAlignment="1" applyProtection="1">
      <alignment vertical="center" wrapText="1"/>
    </xf>
    <xf numFmtId="10" fontId="73" fillId="5" borderId="1" xfId="0" applyNumberFormat="1" applyFont="1" applyFill="1" applyBorder="1" applyAlignment="1" applyProtection="1">
      <alignment horizontal="left" vertical="center" wrapText="1"/>
    </xf>
    <xf numFmtId="0" fontId="193" fillId="8" borderId="3" xfId="0" applyFont="1" applyFill="1" applyBorder="1" applyAlignment="1" applyProtection="1">
      <alignment horizontal="left" vertical="center"/>
    </xf>
    <xf numFmtId="0" fontId="40" fillId="5" borderId="58" xfId="0" applyFont="1" applyFill="1" applyBorder="1" applyAlignment="1" applyProtection="1">
      <alignment horizontal="left" vertical="center"/>
    </xf>
    <xf numFmtId="0" fontId="40" fillId="5" borderId="50" xfId="0" applyFont="1" applyFill="1" applyBorder="1" applyAlignment="1" applyProtection="1">
      <alignment horizontal="left" vertical="center"/>
    </xf>
    <xf numFmtId="0" fontId="40" fillId="5" borderId="34" xfId="0" applyFont="1" applyFill="1" applyBorder="1" applyAlignment="1" applyProtection="1">
      <alignment horizontal="left" vertical="center"/>
    </xf>
    <xf numFmtId="0" fontId="45" fillId="5" borderId="80" xfId="0"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113" fillId="8" borderId="1" xfId="0" applyFont="1" applyFill="1" applyBorder="1" applyAlignment="1" applyProtection="1">
      <alignment horizontal="center" vertical="center" wrapText="1"/>
    </xf>
    <xf numFmtId="0" fontId="113" fillId="8" borderId="1" xfId="0" applyFont="1" applyFill="1" applyBorder="1" applyAlignment="1" applyProtection="1">
      <alignment horizontal="left" vertical="center" wrapText="1"/>
    </xf>
    <xf numFmtId="0" fontId="241" fillId="8" borderId="1" xfId="0" applyFont="1" applyFill="1" applyBorder="1" applyAlignment="1" applyProtection="1">
      <alignment horizontal="left" vertical="center" wrapText="1"/>
    </xf>
    <xf numFmtId="192" fontId="241" fillId="8" borderId="1" xfId="0" applyNumberFormat="1" applyFont="1" applyFill="1" applyBorder="1" applyAlignment="1" applyProtection="1">
      <alignment horizontal="left" vertical="center" wrapText="1"/>
    </xf>
    <xf numFmtId="0" fontId="45" fillId="5" borderId="63"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98" fillId="5" borderId="23" xfId="0" applyFont="1" applyFill="1" applyBorder="1" applyAlignment="1" applyProtection="1">
      <alignment horizontal="left" vertical="center" wrapText="1"/>
    </xf>
    <xf numFmtId="0" fontId="222" fillId="5" borderId="121"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39" fillId="5" borderId="63"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98" fillId="0" borderId="7" xfId="0" applyFont="1" applyFill="1" applyBorder="1" applyAlignment="1" applyProtection="1">
      <alignment horizontal="left" vertical="center" wrapText="1"/>
      <protection locked="0"/>
    </xf>
    <xf numFmtId="0" fontId="45" fillId="0" borderId="19"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left" vertical="center" wrapText="1"/>
      <protection locked="0"/>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0" fontId="98" fillId="8" borderId="17" xfId="0"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xf>
    <xf numFmtId="0" fontId="40" fillId="8" borderId="2" xfId="0" applyFont="1" applyFill="1" applyBorder="1" applyAlignment="1" applyProtection="1">
      <alignment horizontal="left" vertical="center"/>
    </xf>
    <xf numFmtId="0" fontId="40" fillId="8" borderId="51" xfId="0" applyFont="1" applyFill="1" applyBorder="1" applyAlignment="1" applyProtection="1">
      <alignment horizontal="left" vertical="center"/>
    </xf>
    <xf numFmtId="0" fontId="99" fillId="8" borderId="1" xfId="0" applyFont="1" applyFill="1" applyBorder="1" applyAlignment="1" applyProtection="1">
      <alignment horizontal="left" vertical="center" wrapText="1"/>
    </xf>
    <xf numFmtId="0" fontId="131" fillId="8" borderId="1" xfId="0" applyFont="1" applyFill="1" applyBorder="1" applyAlignment="1" applyProtection="1">
      <alignment horizontal="left" vertical="center" wrapText="1"/>
    </xf>
    <xf numFmtId="0" fontId="40" fillId="8" borderId="3" xfId="0" applyFont="1" applyFill="1" applyBorder="1" applyAlignment="1" applyProtection="1">
      <alignment horizontal="left" vertical="center"/>
    </xf>
    <xf numFmtId="0" fontId="222" fillId="5" borderId="0" xfId="0" applyFont="1" applyFill="1" applyAlignment="1" applyProtection="1">
      <alignment horizontal="center" vertical="center"/>
    </xf>
    <xf numFmtId="0" fontId="169" fillId="5" borderId="1" xfId="0" applyFont="1" applyFill="1" applyBorder="1" applyAlignment="1" applyProtection="1">
      <alignment horizontal="left" vertical="center" wrapText="1"/>
    </xf>
    <xf numFmtId="0" fontId="99" fillId="8" borderId="1" xfId="0" applyFont="1" applyFill="1" applyBorder="1" applyAlignment="1" applyProtection="1">
      <alignment horizontal="center" vertical="center" wrapText="1"/>
    </xf>
    <xf numFmtId="0" fontId="131" fillId="0" borderId="1" xfId="0" applyFont="1" applyFill="1" applyBorder="1" applyAlignment="1" applyProtection="1">
      <alignment horizontal="left" vertical="center" wrapText="1"/>
    </xf>
    <xf numFmtId="192" fontId="131" fillId="8" borderId="1" xfId="0" applyNumberFormat="1" applyFont="1" applyFill="1" applyBorder="1" applyAlignment="1" applyProtection="1">
      <alignment horizontal="left" vertical="center" wrapText="1"/>
    </xf>
    <xf numFmtId="0" fontId="114" fillId="5" borderId="14" xfId="0" applyFont="1" applyFill="1" applyBorder="1" applyAlignment="1" applyProtection="1">
      <alignment horizontal="left" vertical="center" wrapText="1"/>
    </xf>
    <xf numFmtId="0" fontId="114" fillId="5" borderId="81" xfId="0" applyFont="1" applyFill="1" applyBorder="1" applyAlignment="1" applyProtection="1">
      <alignment horizontal="left" vertical="center" wrapText="1"/>
    </xf>
    <xf numFmtId="0" fontId="144" fillId="11" borderId="2" xfId="0" applyFont="1" applyFill="1" applyBorder="1" applyAlignment="1">
      <alignment horizontal="left" vertical="center"/>
    </xf>
    <xf numFmtId="0" fontId="144" fillId="11" borderId="51" xfId="0" applyFont="1" applyFill="1" applyBorder="1" applyAlignment="1">
      <alignment horizontal="left" vertical="center"/>
    </xf>
    <xf numFmtId="0" fontId="144" fillId="11" borderId="3" xfId="0" applyFont="1" applyFill="1" applyBorder="1" applyAlignment="1">
      <alignment horizontal="left" vertical="center"/>
    </xf>
    <xf numFmtId="0" fontId="133"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3"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3" fillId="0" borderId="1" xfId="0" applyFont="1" applyFill="1" applyBorder="1" applyAlignment="1">
      <alignment horizontal="center" vertical="center"/>
    </xf>
    <xf numFmtId="0" fontId="133" fillId="5" borderId="1" xfId="0" applyFont="1" applyFill="1" applyBorder="1" applyAlignment="1">
      <alignment horizontal="left" vertical="center" wrapText="1"/>
    </xf>
    <xf numFmtId="0" fontId="144" fillId="5" borderId="52" xfId="0" applyFont="1" applyFill="1" applyBorder="1" applyAlignment="1">
      <alignment vertical="center"/>
    </xf>
    <xf numFmtId="0" fontId="144" fillId="5" borderId="36" xfId="0" applyFont="1" applyFill="1" applyBorder="1" applyAlignment="1">
      <alignment vertical="center"/>
    </xf>
    <xf numFmtId="0" fontId="144" fillId="5" borderId="27" xfId="0" applyFont="1" applyFill="1" applyBorder="1" applyAlignment="1">
      <alignment vertical="center"/>
    </xf>
    <xf numFmtId="0" fontId="144" fillId="5" borderId="29" xfId="0" applyFont="1" applyFill="1" applyBorder="1" applyAlignment="1">
      <alignment vertical="center"/>
    </xf>
    <xf numFmtId="0" fontId="144" fillId="5" borderId="40" xfId="0" applyFont="1" applyFill="1" applyBorder="1" applyAlignment="1">
      <alignment vertical="center"/>
    </xf>
    <xf numFmtId="0" fontId="144" fillId="5" borderId="70" xfId="0" applyFont="1" applyFill="1" applyBorder="1" applyAlignment="1">
      <alignment vertical="center"/>
    </xf>
    <xf numFmtId="0" fontId="142" fillId="5" borderId="19" xfId="0" applyFont="1" applyFill="1" applyBorder="1" applyAlignment="1">
      <alignment horizontal="left" vertical="center"/>
    </xf>
    <xf numFmtId="0" fontId="142" fillId="5" borderId="51" xfId="0" applyFont="1" applyFill="1" applyBorder="1" applyAlignment="1">
      <alignment horizontal="left" vertical="center"/>
    </xf>
    <xf numFmtId="0" fontId="142" fillId="5" borderId="3" xfId="0" applyFont="1" applyFill="1" applyBorder="1" applyAlignment="1">
      <alignment horizontal="left" vertical="center"/>
    </xf>
    <xf numFmtId="0" fontId="86" fillId="5" borderId="1" xfId="0" applyFont="1" applyFill="1" applyBorder="1" applyAlignment="1">
      <alignment horizontal="center" vertical="center"/>
    </xf>
    <xf numFmtId="0" fontId="86" fillId="5" borderId="6" xfId="0" applyFont="1" applyFill="1" applyBorder="1" applyAlignment="1">
      <alignment horizontal="center" vertical="center"/>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72" xfId="0" applyFont="1" applyFill="1" applyBorder="1" applyAlignment="1" applyProtection="1">
      <alignment horizontal="center" vertical="center"/>
      <protection locked="0"/>
    </xf>
    <xf numFmtId="0" fontId="40" fillId="5" borderId="40"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3" fillId="18" borderId="1"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26"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wrapText="1"/>
    </xf>
    <xf numFmtId="0" fontId="44" fillId="5" borderId="49"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textRotation="255" wrapText="1"/>
    </xf>
    <xf numFmtId="0" fontId="44" fillId="5" borderId="26" xfId="0" applyFont="1" applyFill="1" applyBorder="1" applyAlignment="1" applyProtection="1">
      <alignment horizontal="left" vertical="center" textRotation="255" wrapText="1"/>
    </xf>
    <xf numFmtId="0" fontId="44" fillId="5" borderId="23"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textRotation="255" wrapText="1"/>
    </xf>
    <xf numFmtId="0" fontId="44" fillId="5" borderId="17" xfId="0" applyFont="1" applyFill="1" applyBorder="1" applyAlignment="1" applyProtection="1">
      <alignment horizontal="left" vertical="center" textRotation="255" wrapText="1"/>
    </xf>
    <xf numFmtId="0" fontId="173" fillId="0" borderId="16" xfId="0" applyFont="1" applyFill="1" applyBorder="1" applyAlignment="1" applyProtection="1">
      <alignment horizontal="left" vertical="center" wrapText="1"/>
      <protection locked="0"/>
    </xf>
    <xf numFmtId="0" fontId="173" fillId="0" borderId="58" xfId="0" applyFont="1" applyFill="1" applyBorder="1" applyAlignment="1" applyProtection="1">
      <alignment horizontal="left" vertical="center" wrapText="1"/>
      <protection locked="0"/>
    </xf>
    <xf numFmtId="0" fontId="218" fillId="0" borderId="7" xfId="0" applyFont="1" applyFill="1" applyBorder="1" applyAlignment="1" applyProtection="1">
      <alignment horizontal="left" vertical="center" wrapText="1"/>
      <protection locked="0"/>
    </xf>
    <xf numFmtId="0" fontId="173" fillId="0" borderId="6"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44" fillId="5" borderId="35" xfId="0" applyFont="1" applyFill="1" applyBorder="1" applyAlignment="1" applyProtection="1">
      <alignment horizontal="left" vertical="center"/>
    </xf>
    <xf numFmtId="0" fontId="44" fillId="5" borderId="27" xfId="0" applyFont="1" applyFill="1" applyBorder="1" applyAlignment="1" applyProtection="1">
      <alignment horizontal="left" vertical="center"/>
    </xf>
    <xf numFmtId="0" fontId="44" fillId="5" borderId="60"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44" fillId="5" borderId="64" xfId="0" applyFont="1" applyFill="1" applyBorder="1" applyAlignment="1" applyProtection="1">
      <alignment horizontal="left" vertical="center"/>
    </xf>
    <xf numFmtId="0" fontId="44" fillId="5" borderId="24"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7"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8"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60" xfId="0" applyFont="1" applyFill="1" applyBorder="1" applyAlignment="1" applyProtection="1">
      <alignment horizontal="left" vertical="center" wrapText="1"/>
    </xf>
    <xf numFmtId="0" fontId="44" fillId="5" borderId="25"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218" fillId="0" borderId="3" xfId="0" applyFont="1" applyFill="1" applyBorder="1" applyAlignment="1" applyProtection="1">
      <alignment horizontal="left" vertical="center" wrapText="1"/>
      <protection locked="0"/>
    </xf>
    <xf numFmtId="0" fontId="173" fillId="0" borderId="2" xfId="0" applyFont="1" applyFill="1" applyBorder="1" applyAlignment="1" applyProtection="1">
      <alignment horizontal="left" vertical="center" wrapText="1"/>
      <protection locked="0"/>
    </xf>
    <xf numFmtId="0" fontId="173" fillId="0" borderId="7" xfId="0" applyFont="1" applyFill="1" applyBorder="1" applyAlignment="1" applyProtection="1">
      <alignment horizontal="left" vertical="center" wrapText="1"/>
      <protection locked="0"/>
    </xf>
    <xf numFmtId="0" fontId="173" fillId="0" borderId="27" xfId="0" applyFont="1" applyFill="1" applyBorder="1" applyAlignment="1" applyProtection="1">
      <alignment horizontal="left" vertical="center" wrapText="1"/>
      <protection locked="0"/>
    </xf>
    <xf numFmtId="0" fontId="173" fillId="0" borderId="35" xfId="0" applyFont="1" applyFill="1" applyBorder="1" applyAlignment="1" applyProtection="1">
      <alignment horizontal="left" vertical="center" wrapText="1"/>
      <protection locked="0"/>
    </xf>
    <xf numFmtId="0" fontId="173" fillId="0" borderId="3"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textRotation="255" wrapText="1"/>
    </xf>
    <xf numFmtId="0" fontId="44" fillId="5" borderId="1" xfId="0"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44" fillId="5" borderId="2"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3" fillId="18" borderId="1" xfId="0" applyNumberFormat="1" applyFont="1" applyFill="1" applyBorder="1" applyAlignment="1" applyProtection="1">
      <alignment horizontal="center" vertical="center"/>
    </xf>
    <xf numFmtId="0" fontId="44" fillId="5" borderId="18" xfId="0" applyFont="1" applyFill="1" applyBorder="1" applyAlignment="1" applyProtection="1">
      <alignment horizontal="center" vertical="center" textRotation="255" wrapText="1"/>
    </xf>
    <xf numFmtId="0" fontId="44" fillId="5" borderId="49" xfId="0" applyFont="1" applyFill="1" applyBorder="1" applyAlignment="1" applyProtection="1">
      <alignment horizontal="center" vertical="center" textRotation="255" wrapText="1"/>
    </xf>
    <xf numFmtId="0" fontId="44" fillId="5" borderId="17" xfId="0" applyFont="1" applyFill="1" applyBorder="1" applyAlignment="1" applyProtection="1">
      <alignment horizontal="center" vertical="center" textRotation="255" wrapText="1"/>
    </xf>
    <xf numFmtId="0" fontId="37" fillId="5" borderId="2" xfId="0" applyFont="1" applyFill="1" applyBorder="1" applyAlignment="1" applyProtection="1">
      <alignment horizontal="center" vertical="center"/>
    </xf>
    <xf numFmtId="0" fontId="37" fillId="5" borderId="3" xfId="0" applyFont="1" applyFill="1" applyBorder="1" applyAlignment="1" applyProtection="1">
      <alignment horizontal="center" vertical="center"/>
    </xf>
    <xf numFmtId="0" fontId="44" fillId="5" borderId="35" xfId="0" applyFont="1" applyFill="1" applyBorder="1" applyAlignment="1" applyProtection="1">
      <alignment horizontal="center" vertical="center"/>
    </xf>
    <xf numFmtId="0" fontId="44" fillId="5" borderId="27"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0" fontId="44" fillId="5" borderId="64" xfId="0" applyFont="1" applyFill="1" applyBorder="1" applyAlignment="1" applyProtection="1">
      <alignment horizontal="center" vertical="center"/>
    </xf>
    <xf numFmtId="0" fontId="44" fillId="5" borderId="24" xfId="0" applyFont="1" applyFill="1" applyBorder="1" applyAlignment="1" applyProtection="1">
      <alignment horizontal="center" vertical="center"/>
    </xf>
    <xf numFmtId="0" fontId="37" fillId="5" borderId="51" xfId="0" applyFont="1" applyFill="1" applyBorder="1" applyAlignment="1" applyProtection="1">
      <alignment horizontal="center" vertical="center"/>
    </xf>
    <xf numFmtId="0" fontId="44" fillId="5" borderId="18"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44" fillId="5" borderId="18" xfId="0"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7" xfId="0" applyFont="1" applyFill="1" applyBorder="1" applyAlignment="1" applyProtection="1">
      <alignment horizontal="center" vertical="center"/>
    </xf>
    <xf numFmtId="0" fontId="44" fillId="5" borderId="4" xfId="0" applyFont="1" applyFill="1" applyBorder="1" applyAlignment="1" applyProtection="1">
      <alignment horizontal="center" vertical="center" wrapText="1"/>
    </xf>
    <xf numFmtId="0" fontId="44" fillId="5" borderId="31" xfId="0" applyFont="1" applyFill="1" applyBorder="1" applyAlignment="1" applyProtection="1">
      <alignment horizontal="center" vertical="center" wrapText="1"/>
    </xf>
    <xf numFmtId="0" fontId="44" fillId="5" borderId="28"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60"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6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4" fillId="5" borderId="1" xfId="0" applyFont="1" applyFill="1" applyBorder="1" applyAlignment="1" applyProtection="1">
      <alignment horizontal="center" vertical="center"/>
    </xf>
    <xf numFmtId="0" fontId="173" fillId="0" borderId="3" xfId="0" applyFont="1" applyFill="1" applyBorder="1" applyAlignment="1" applyProtection="1">
      <alignment horizontal="center" vertical="center" wrapText="1"/>
      <protection locked="0"/>
    </xf>
    <xf numFmtId="0" fontId="173" fillId="0" borderId="2" xfId="0" applyFont="1" applyFill="1" applyBorder="1" applyAlignment="1" applyProtection="1">
      <alignment horizontal="center" vertical="center" wrapText="1"/>
      <protection locked="0"/>
    </xf>
    <xf numFmtId="0" fontId="173" fillId="0" borderId="7" xfId="0" applyFont="1" applyFill="1" applyBorder="1" applyAlignment="1" applyProtection="1">
      <alignment horizontal="center" vertical="center" wrapText="1"/>
      <protection locked="0"/>
    </xf>
    <xf numFmtId="0" fontId="173" fillId="0" borderId="6" xfId="0" applyFont="1" applyFill="1" applyBorder="1" applyAlignment="1" applyProtection="1">
      <alignment horizontal="center" vertical="center" wrapText="1"/>
      <protection locked="0"/>
    </xf>
    <xf numFmtId="0" fontId="173" fillId="0" borderId="16" xfId="0" applyFont="1" applyFill="1" applyBorder="1" applyAlignment="1" applyProtection="1">
      <alignment horizontal="center" vertical="center" wrapText="1"/>
      <protection locked="0"/>
    </xf>
    <xf numFmtId="0" fontId="173" fillId="0" borderId="58" xfId="0" applyFont="1" applyFill="1" applyBorder="1" applyAlignment="1" applyProtection="1">
      <alignment horizontal="center" vertical="center" wrapText="1"/>
      <protection locked="0"/>
    </xf>
    <xf numFmtId="0" fontId="173" fillId="0" borderId="27" xfId="0" applyFont="1" applyFill="1" applyBorder="1" applyAlignment="1" applyProtection="1">
      <alignment horizontal="center" vertical="center" wrapText="1"/>
      <protection locked="0"/>
    </xf>
    <xf numFmtId="0" fontId="173" fillId="0" borderId="35" xfId="0" applyFont="1" applyFill="1" applyBorder="1" applyAlignment="1" applyProtection="1">
      <alignment horizontal="center" vertical="center" wrapText="1"/>
      <protection locked="0"/>
    </xf>
    <xf numFmtId="186" fontId="44" fillId="5"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6" fillId="5" borderId="51" xfId="6" applyFont="1" applyFill="1" applyBorder="1" applyAlignment="1" applyProtection="1">
      <alignment horizontal="left" vertical="center" wrapText="1"/>
      <protection locked="0"/>
    </xf>
    <xf numFmtId="0" fontId="46" fillId="5" borderId="3" xfId="6" applyFont="1" applyFill="1" applyBorder="1" applyAlignment="1" applyProtection="1">
      <alignment horizontal="left" vertical="center" wrapText="1"/>
      <protection locked="0"/>
    </xf>
    <xf numFmtId="0" fontId="50" fillId="5" borderId="2" xfId="0" applyFont="1" applyFill="1" applyBorder="1" applyAlignment="1" applyProtection="1">
      <alignment horizontal="left" vertical="center" wrapText="1"/>
    </xf>
    <xf numFmtId="0" fontId="50" fillId="5" borderId="51"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50" fillId="5" borderId="27" xfId="0"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95" fillId="5" borderId="39" xfId="0" applyFont="1" applyFill="1" applyBorder="1" applyAlignment="1" applyProtection="1">
      <alignment horizontal="left" vertical="center" wrapText="1"/>
    </xf>
    <xf numFmtId="0" fontId="95" fillId="5" borderId="42"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wrapText="1"/>
    </xf>
    <xf numFmtId="0" fontId="46" fillId="5" borderId="39" xfId="0"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0" borderId="0" xfId="0" applyFont="1" applyAlignment="1" applyProtection="1">
      <alignment horizontal="left" vertical="center"/>
    </xf>
    <xf numFmtId="0" fontId="98" fillId="5" borderId="1" xfId="0" applyFont="1" applyFill="1" applyBorder="1" applyAlignment="1" applyProtection="1">
      <alignment horizontal="left" vertical="center"/>
    </xf>
    <xf numFmtId="0" fontId="98" fillId="5" borderId="18" xfId="0" applyFont="1" applyFill="1" applyBorder="1" applyAlignment="1" applyProtection="1">
      <alignment horizontal="left" vertical="center"/>
    </xf>
    <xf numFmtId="0" fontId="98" fillId="5" borderId="49" xfId="0" applyFont="1" applyFill="1" applyBorder="1" applyAlignment="1" applyProtection="1">
      <alignment horizontal="left" vertical="center"/>
    </xf>
    <xf numFmtId="0" fontId="98" fillId="5" borderId="17" xfId="0" applyFont="1" applyFill="1" applyBorder="1" applyAlignment="1" applyProtection="1">
      <alignment horizontal="left" vertical="center"/>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235" fillId="5" borderId="18" xfId="0" applyFont="1" applyFill="1" applyBorder="1" applyAlignment="1" applyProtection="1">
      <alignment horizontal="left" vertical="center" wrapText="1"/>
    </xf>
    <xf numFmtId="0" fontId="235" fillId="5" borderId="49" xfId="0" applyFont="1" applyFill="1" applyBorder="1" applyAlignment="1" applyProtection="1">
      <alignment horizontal="left" vertical="center" wrapText="1"/>
    </xf>
    <xf numFmtId="0" fontId="235" fillId="5" borderId="1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21" xfId="0" applyFont="1" applyFill="1" applyBorder="1" applyAlignment="1" applyProtection="1">
      <alignment horizontal="left" vertical="center" wrapText="1"/>
    </xf>
    <xf numFmtId="0" fontId="128" fillId="5" borderId="0" xfId="0" applyFont="1" applyFill="1" applyAlignment="1" applyProtection="1">
      <alignment horizontal="center" vertical="center"/>
    </xf>
    <xf numFmtId="0" fontId="110" fillId="5" borderId="0" xfId="0" applyFont="1" applyFill="1" applyBorder="1" applyAlignment="1" applyProtection="1">
      <alignment horizontal="left" vertical="center"/>
    </xf>
    <xf numFmtId="0" fontId="109" fillId="5" borderId="4"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44" fillId="0" borderId="0" xfId="7" applyFont="1" applyAlignment="1">
      <alignment horizontal="left" vertical="center"/>
    </xf>
    <xf numFmtId="0" fontId="99" fillId="0" borderId="0" xfId="7" applyFont="1" applyAlignment="1">
      <alignment horizontal="left" vertical="center"/>
    </xf>
    <xf numFmtId="0" fontId="147" fillId="12" borderId="139"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5" xfId="7" applyFont="1" applyFill="1" applyBorder="1" applyAlignment="1" applyProtection="1">
      <alignment horizontal="left" vertical="center" wrapText="1"/>
    </xf>
    <xf numFmtId="0" fontId="145" fillId="0" borderId="0" xfId="7" applyFont="1" applyAlignment="1">
      <alignment horizontal="left" vertical="center"/>
    </xf>
    <xf numFmtId="0" fontId="147" fillId="12" borderId="130" xfId="7" applyFont="1" applyFill="1" applyBorder="1" applyAlignment="1" applyProtection="1">
      <alignment horizontal="left" vertical="center" wrapText="1"/>
    </xf>
    <xf numFmtId="0" fontId="98" fillId="12" borderId="139" xfId="7" applyFont="1" applyFill="1" applyBorder="1" applyAlignment="1" applyProtection="1">
      <alignment horizontal="left" vertical="center" wrapText="1"/>
    </xf>
    <xf numFmtId="0" fontId="98" fillId="12" borderId="133" xfId="7" applyFont="1" applyFill="1" applyBorder="1" applyAlignment="1" applyProtection="1">
      <alignment horizontal="left" vertical="center" wrapText="1"/>
    </xf>
    <xf numFmtId="0" fontId="98" fillId="12" borderId="135" xfId="7" applyFont="1" applyFill="1" applyBorder="1" applyAlignment="1" applyProtection="1">
      <alignment horizontal="left" vertical="center" wrapText="1"/>
    </xf>
    <xf numFmtId="0" fontId="147"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56115</xdr:colOff>
      <xdr:row>22</xdr:row>
      <xdr:rowOff>123338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85715" cy="3895238"/>
        </a:xfrm>
        <a:prstGeom prst="rect">
          <a:avLst/>
        </a:prstGeom>
      </xdr:spPr>
    </xdr:pic>
    <xdr:clientData/>
  </xdr:twoCellAnchor>
  <xdr:twoCellAnchor editAs="oneCell">
    <xdr:from>
      <xdr:col>0</xdr:col>
      <xdr:colOff>0</xdr:colOff>
      <xdr:row>23</xdr:row>
      <xdr:rowOff>0</xdr:rowOff>
    </xdr:from>
    <xdr:to>
      <xdr:col>11</xdr:col>
      <xdr:colOff>522867</xdr:colOff>
      <xdr:row>33</xdr:row>
      <xdr:rowOff>114072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43350"/>
          <a:ext cx="8066667" cy="1828572"/>
        </a:xfrm>
        <a:prstGeom prst="rect">
          <a:avLst/>
        </a:prstGeom>
      </xdr:spPr>
    </xdr:pic>
    <xdr:clientData/>
  </xdr:twoCellAnchor>
  <xdr:twoCellAnchor editAs="oneCell">
    <xdr:from>
      <xdr:col>0</xdr:col>
      <xdr:colOff>9525</xdr:colOff>
      <xdr:row>33</xdr:row>
      <xdr:rowOff>38100</xdr:rowOff>
    </xdr:from>
    <xdr:to>
      <xdr:col>11</xdr:col>
      <xdr:colOff>532392</xdr:colOff>
      <xdr:row>43</xdr:row>
      <xdr:rowOff>133124</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 y="5695950"/>
          <a:ext cx="8066667" cy="18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估价对象为北京市房地产，为XX所有。根据《不动产权证书》[]，估价对象建筑面积为90平方米，（分摊）出让国有建设用地使用权面积为平方米。估价对象用途为。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2021年2月8日</v>
      </c>
    </row>
    <row r="10" spans="1:2">
      <c r="A10" s="1210" t="s">
        <v>1103</v>
      </c>
      <c r="B10" s="1197" t="str">
        <f>'预评函-1'!A13</f>
        <v>本次估价的“房地产价值”是指在正常市场情况下，在价值时点2021年2月8日，估价对象规划用途为，假定未设立法定优先受偿款下的房地产市场价值。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90</v>
      </c>
    </row>
    <row r="19" spans="1:2">
      <c r="A19" s="1210" t="s">
        <v>1112</v>
      </c>
      <c r="B19" s="1197">
        <f ca="1">'预评函-2（1）'!D7</f>
        <v>3516660</v>
      </c>
    </row>
    <row r="20" spans="1:2">
      <c r="A20" s="1210" t="s">
        <v>1150</v>
      </c>
      <c r="B20" s="1197" t="str">
        <f>'预评函-2（1）'!C7</f>
        <v>总价（元）</v>
      </c>
    </row>
    <row r="21" spans="1:2">
      <c r="A21" s="1210" t="s">
        <v>1113</v>
      </c>
      <c r="B21" s="1197">
        <f ca="1">'预评函-2（1）'!D9</f>
        <v>39074</v>
      </c>
    </row>
    <row r="22" spans="1:2">
      <c r="A22" s="1210" t="s">
        <v>1114</v>
      </c>
      <c r="B22" s="1197" t="str">
        <f ca="1">'预评函-2（1）'!D8</f>
        <v>叁佰伍拾壹万陆仟陆佰陆拾元整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3516660</v>
      </c>
    </row>
    <row r="30" spans="1:2">
      <c r="A30" s="1210" t="s">
        <v>1120</v>
      </c>
      <c r="B30" s="1197" t="str">
        <f ca="1">'预评函-2（1）'!D16</f>
        <v>叁佰伍拾壹万陆仟陆佰陆拾元整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2795760</v>
      </c>
    </row>
    <row r="38" spans="1:2">
      <c r="A38" s="1210" t="s">
        <v>1128</v>
      </c>
      <c r="B38" s="1197">
        <f ca="1">'预评函-2（2）'!E4</f>
        <v>31064</v>
      </c>
    </row>
    <row r="39" spans="1:2">
      <c r="A39" s="1210" t="s">
        <v>1129</v>
      </c>
      <c r="B39" s="1197" t="str">
        <f ca="1">'预评函-2（2）'!D5</f>
        <v>贰佰柒拾玖万伍仟柒佰陆拾元整</v>
      </c>
    </row>
    <row r="40" spans="1:2">
      <c r="A40" s="1210" t="s">
        <v>1130</v>
      </c>
      <c r="B40" s="1197">
        <f ca="1">'预评函-2（2）'!F4</f>
        <v>720900</v>
      </c>
    </row>
    <row r="41" spans="1:2">
      <c r="A41" s="1210" t="s">
        <v>1131</v>
      </c>
      <c r="B41" s="1197">
        <f ca="1">'预评函-2（2）'!G4</f>
        <v>8010</v>
      </c>
    </row>
    <row r="42" spans="1:2" s="1207" customFormat="1" ht="15.75" thickBot="1">
      <c r="A42" s="1211" t="s">
        <v>1132</v>
      </c>
      <c r="B42" s="1199" t="str">
        <f ca="1">'预评函-2（2）'!F5</f>
        <v>柒拾贰万零玖佰元整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39074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c r="C2" s="2893" t="s">
        <v>1530</v>
      </c>
      <c r="D2" s="2594">
        <v>44235</v>
      </c>
      <c r="E2" s="824"/>
      <c r="F2" s="824"/>
      <c r="G2" s="1192"/>
      <c r="H2" s="2905"/>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2729</v>
      </c>
      <c r="C4" s="2894" t="s">
        <v>1533</v>
      </c>
      <c r="D4" s="1429" t="s">
        <v>2897</v>
      </c>
      <c r="E4" s="824"/>
      <c r="F4" s="824"/>
      <c r="G4" s="1192"/>
    </row>
    <row r="5" spans="1:17">
      <c r="A5" s="1430" t="s">
        <v>1534</v>
      </c>
      <c r="B5" s="1431" t="s">
        <v>2730</v>
      </c>
      <c r="C5" s="2895" t="s">
        <v>1535</v>
      </c>
      <c r="D5" s="1433" t="s">
        <v>2898</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2899</v>
      </c>
      <c r="C6" s="2600" t="s">
        <v>2731</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2900</v>
      </c>
      <c r="C7" s="1525" t="str">
        <f>IF(B7="自然人","姓名","名称")</f>
        <v>姓名</v>
      </c>
      <c r="D7" s="1438" t="s">
        <v>2730</v>
      </c>
      <c r="E7" s="825"/>
      <c r="F7" s="825"/>
      <c r="G7" s="1193"/>
    </row>
    <row r="8" spans="1:17" ht="13.5" thickTop="1">
      <c r="A8" s="3226" t="s">
        <v>1540</v>
      </c>
      <c r="B8" s="1439" t="s">
        <v>1541</v>
      </c>
      <c r="C8" s="3238"/>
      <c r="D8" s="3239"/>
      <c r="E8" s="2603" t="s">
        <v>1542</v>
      </c>
      <c r="F8" s="2604" t="s">
        <v>1543</v>
      </c>
      <c r="G8" s="2605" t="str">
        <f>C6</f>
        <v>XX</v>
      </c>
    </row>
    <row r="9" spans="1:17">
      <c r="A9" s="3226"/>
      <c r="B9" s="259" t="s">
        <v>1544</v>
      </c>
      <c r="C9" s="1431"/>
      <c r="D9" s="1440"/>
      <c r="E9" s="2899" t="s">
        <v>1545</v>
      </c>
      <c r="F9" s="2606" t="s">
        <v>485</v>
      </c>
      <c r="G9" s="2607"/>
    </row>
    <row r="10" spans="1:17" ht="13.5" thickBot="1">
      <c r="A10" s="3226"/>
      <c r="B10" s="259" t="s">
        <v>1546</v>
      </c>
      <c r="C10" s="3240"/>
      <c r="D10" s="3241"/>
      <c r="E10" s="2900" t="s">
        <v>1547</v>
      </c>
      <c r="F10" s="2608" t="s">
        <v>2905</v>
      </c>
      <c r="G10" s="2609"/>
    </row>
    <row r="11" spans="1:17" ht="13.5" thickBot="1">
      <c r="A11" s="3226"/>
      <c r="B11" s="1442" t="s">
        <v>1548</v>
      </c>
      <c r="C11" s="3242"/>
      <c r="D11" s="3243"/>
      <c r="E11" s="811"/>
      <c r="F11" s="811"/>
      <c r="G11" s="830"/>
    </row>
    <row r="12" spans="1:17" ht="24.75" thickBot="1">
      <c r="A12" s="3229" t="s">
        <v>2838</v>
      </c>
      <c r="B12" s="2901" t="s">
        <v>1549</v>
      </c>
      <c r="C12" s="808">
        <v>90</v>
      </c>
      <c r="D12" s="1443" t="s">
        <v>1550</v>
      </c>
      <c r="E12" s="1444" t="s">
        <v>1551</v>
      </c>
      <c r="F12" s="1445" t="s">
        <v>1552</v>
      </c>
      <c r="G12" s="830"/>
    </row>
    <row r="13" spans="1:17" ht="21" customHeight="1" thickBot="1">
      <c r="A13" s="3230"/>
      <c r="B13" s="2902" t="s">
        <v>1553</v>
      </c>
      <c r="C13" s="809"/>
      <c r="D13" s="1446" t="s">
        <v>1554</v>
      </c>
      <c r="E13" s="1447" t="s">
        <v>1551</v>
      </c>
      <c r="F13" s="811"/>
      <c r="G13" s="830"/>
      <c r="I13" s="3215"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2839</v>
      </c>
      <c r="C14" s="2611"/>
      <c r="D14" s="811"/>
      <c r="E14" s="811"/>
      <c r="F14" s="811"/>
      <c r="G14" s="830"/>
      <c r="I14" s="3215"/>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2</v>
      </c>
      <c r="D15" s="825"/>
      <c r="E15" s="825"/>
      <c r="F15" s="825"/>
      <c r="G15" s="1193"/>
      <c r="I15" s="3215"/>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2728</v>
      </c>
      <c r="D16" s="1441" t="s">
        <v>1559</v>
      </c>
      <c r="E16" s="2614" t="s">
        <v>2728</v>
      </c>
      <c r="F16" s="1449" t="str">
        <f>IF(AND(C16="是",E16="否"),"是否提供他项权证或相关说明","")</f>
        <v/>
      </c>
      <c r="G16" s="2614" t="s">
        <v>2728</v>
      </c>
      <c r="J16" s="2905"/>
    </row>
    <row r="17" spans="1:66" ht="13.5" customHeight="1">
      <c r="A17" s="1455" t="s">
        <v>1560</v>
      </c>
      <c r="B17" s="3244" t="s">
        <v>1561</v>
      </c>
      <c r="C17" s="3245"/>
      <c r="D17" s="3246" t="s">
        <v>1562</v>
      </c>
      <c r="E17" s="3247"/>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25" t="s">
        <v>2837</v>
      </c>
      <c r="B24" s="3225"/>
      <c r="C24" s="3225"/>
      <c r="D24" s="3225"/>
      <c r="E24" s="3225"/>
      <c r="F24" s="3225"/>
      <c r="G24" s="3225"/>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32" t="s">
        <v>1578</v>
      </c>
      <c r="D28" s="3233"/>
      <c r="E28" s="801"/>
      <c r="F28" s="803" t="s">
        <v>1578</v>
      </c>
      <c r="G28" s="801"/>
      <c r="K28" s="2906"/>
    </row>
    <row r="29" spans="1:66">
      <c r="A29" s="804" t="s">
        <v>1579</v>
      </c>
      <c r="B29" s="798"/>
      <c r="C29" s="3234" t="s">
        <v>1580</v>
      </c>
      <c r="D29" s="3235"/>
      <c r="E29" s="798"/>
      <c r="F29" s="804" t="s">
        <v>1580</v>
      </c>
      <c r="G29" s="798"/>
      <c r="K29" s="2906"/>
    </row>
    <row r="30" spans="1:66">
      <c r="A30" s="804" t="s">
        <v>1581</v>
      </c>
      <c r="B30" s="798"/>
      <c r="C30" s="3234" t="s">
        <v>1581</v>
      </c>
      <c r="D30" s="3235"/>
      <c r="E30" s="798"/>
      <c r="F30" s="804" t="s">
        <v>1582</v>
      </c>
      <c r="G30" s="798"/>
      <c r="K30" s="2906"/>
    </row>
    <row r="31" spans="1:66">
      <c r="A31" s="804" t="s">
        <v>1583</v>
      </c>
      <c r="B31" s="798"/>
      <c r="C31" s="3222" t="s">
        <v>1584</v>
      </c>
      <c r="D31" s="811"/>
      <c r="E31" s="2629" t="str">
        <f>E32&amp;" "&amp;E33&amp;" "&amp;E34&amp;" "&amp;E35</f>
        <v xml:space="preserve">   </v>
      </c>
      <c r="F31" s="804" t="s">
        <v>1585</v>
      </c>
      <c r="G31" s="798"/>
    </row>
    <row r="32" spans="1:66">
      <c r="A32" s="804" t="s">
        <v>1586</v>
      </c>
      <c r="B32" s="798"/>
      <c r="C32" s="3223"/>
      <c r="D32" s="259" t="s">
        <v>1587</v>
      </c>
      <c r="E32" s="798"/>
      <c r="F32" s="804" t="s">
        <v>1588</v>
      </c>
      <c r="G32" s="798"/>
    </row>
    <row r="33" spans="1:7" ht="24.75" thickBot="1">
      <c r="A33" s="805" t="s">
        <v>1589</v>
      </c>
      <c r="B33" s="802"/>
      <c r="C33" s="3223"/>
      <c r="D33" s="259" t="s">
        <v>1590</v>
      </c>
      <c r="E33" s="798"/>
      <c r="F33" s="804" t="s">
        <v>1591</v>
      </c>
      <c r="G33" s="798"/>
    </row>
    <row r="34" spans="1:7">
      <c r="A34" s="803" t="s">
        <v>1592</v>
      </c>
      <c r="B34" s="801"/>
      <c r="C34" s="3223"/>
      <c r="D34" s="259" t="s">
        <v>1593</v>
      </c>
      <c r="E34" s="798"/>
      <c r="F34" s="804" t="s">
        <v>1594</v>
      </c>
      <c r="G34" s="798"/>
    </row>
    <row r="35" spans="1:7" ht="13.5" thickBot="1">
      <c r="A35" s="804" t="s">
        <v>1595</v>
      </c>
      <c r="B35" s="798"/>
      <c r="C35" s="3224"/>
      <c r="D35" s="259" t="s">
        <v>1596</v>
      </c>
      <c r="E35" s="798"/>
      <c r="F35" s="805" t="s">
        <v>1597</v>
      </c>
      <c r="G35" s="2630"/>
    </row>
    <row r="36" spans="1:7">
      <c r="A36" s="804" t="s">
        <v>1549</v>
      </c>
      <c r="B36" s="798"/>
      <c r="C36" s="3234" t="s">
        <v>1598</v>
      </c>
      <c r="D36" s="3235"/>
      <c r="E36" s="798"/>
      <c r="F36" s="2631" t="s">
        <v>1599</v>
      </c>
      <c r="G36" s="801"/>
    </row>
    <row r="37" spans="1:7" ht="13.5" thickBot="1">
      <c r="A37" s="804" t="s">
        <v>1600</v>
      </c>
      <c r="B37" s="798"/>
      <c r="C37" s="3236" t="s">
        <v>1601</v>
      </c>
      <c r="D37" s="3237"/>
      <c r="E37" s="802"/>
      <c r="F37" s="1463" t="s">
        <v>1602</v>
      </c>
      <c r="G37" s="798"/>
    </row>
    <row r="38" spans="1:7" ht="13.5" thickBot="1">
      <c r="A38" s="804" t="s">
        <v>1603</v>
      </c>
      <c r="B38" s="798"/>
      <c r="C38" s="3220" t="s">
        <v>1604</v>
      </c>
      <c r="D38" s="1443" t="s">
        <v>1588</v>
      </c>
      <c r="E38" s="801"/>
      <c r="F38" s="805" t="s">
        <v>1605</v>
      </c>
      <c r="G38" s="802"/>
    </row>
    <row r="39" spans="1:7">
      <c r="A39" s="804" t="s">
        <v>1606</v>
      </c>
      <c r="B39" s="798"/>
      <c r="C39" s="3227"/>
      <c r="D39" s="259" t="s">
        <v>1595</v>
      </c>
      <c r="E39" s="798"/>
      <c r="F39" s="803" t="s">
        <v>1607</v>
      </c>
      <c r="G39" s="801"/>
    </row>
    <row r="40" spans="1:7">
      <c r="A40" s="804" t="s">
        <v>1608</v>
      </c>
      <c r="B40" s="798"/>
      <c r="C40" s="3227" t="s">
        <v>1609</v>
      </c>
      <c r="D40" s="259" t="s">
        <v>1549</v>
      </c>
      <c r="E40" s="798"/>
      <c r="F40" s="804" t="s">
        <v>1610</v>
      </c>
      <c r="G40" s="798"/>
    </row>
    <row r="41" spans="1:7" ht="24.75" customHeight="1" thickBot="1">
      <c r="A41" s="805" t="s">
        <v>1611</v>
      </c>
      <c r="B41" s="802"/>
      <c r="C41" s="3228"/>
      <c r="D41" s="1446" t="s">
        <v>1553</v>
      </c>
      <c r="E41" s="802"/>
      <c r="F41" s="805" t="s">
        <v>1612</v>
      </c>
      <c r="G41" s="802"/>
    </row>
    <row r="42" spans="1:7">
      <c r="A42" s="806" t="s">
        <v>1613</v>
      </c>
      <c r="B42" s="2632"/>
      <c r="C42" s="3216" t="s">
        <v>1613</v>
      </c>
      <c r="D42" s="3217"/>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18" t="s">
        <v>1616</v>
      </c>
      <c r="D49" s="3219"/>
      <c r="E49" s="820"/>
      <c r="F49" s="805" t="s">
        <v>1617</v>
      </c>
      <c r="G49" s="802"/>
    </row>
    <row r="50" spans="1:66">
      <c r="A50" s="804" t="s">
        <v>1618</v>
      </c>
      <c r="B50" s="819"/>
      <c r="C50" s="3220" t="s">
        <v>1619</v>
      </c>
      <c r="D50" s="3221"/>
      <c r="E50" s="2634"/>
      <c r="F50" s="837"/>
      <c r="G50" s="838"/>
    </row>
    <row r="51" spans="1:66" ht="13.5" thickBot="1">
      <c r="A51" s="804" t="s">
        <v>1620</v>
      </c>
      <c r="B51" s="819"/>
      <c r="C51" s="3228" t="s">
        <v>1621</v>
      </c>
      <c r="D51" s="3231"/>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875" defaultRowHeight="12.75"/>
  <cols>
    <col min="1" max="1" width="20.875" style="2691" customWidth="1"/>
    <col min="2" max="2" width="16.875" style="2636" customWidth="1"/>
    <col min="3" max="3" width="18.1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875" style="2677" customWidth="1"/>
    <col min="33" max="33" width="6.5" style="2677" customWidth="1"/>
    <col min="34" max="36" width="7.125" style="2677" customWidth="1"/>
    <col min="37" max="41" width="8" style="2677" customWidth="1"/>
    <col min="42" max="16384" width="13.875" style="2636"/>
  </cols>
  <sheetData>
    <row r="1" spans="1:41" ht="19.5" thickBot="1">
      <c r="A1" s="2924" t="s">
        <v>1623</v>
      </c>
      <c r="B1" s="947"/>
      <c r="D1" s="2635"/>
      <c r="E1" s="2635"/>
    </row>
    <row r="2" spans="1:41" s="2639" customFormat="1" ht="15.75" thickBot="1">
      <c r="A2" s="2925" t="s">
        <v>1624</v>
      </c>
      <c r="B2" s="2926">
        <f>项目基本情况!D2</f>
        <v>44235</v>
      </c>
      <c r="C2" s="1685"/>
      <c r="D2" s="3250"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2901</v>
      </c>
      <c r="C3" s="1685"/>
      <c r="D3" s="3251"/>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2902</v>
      </c>
      <c r="C4" s="1685"/>
      <c r="D4" s="3251"/>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90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2903</v>
      </c>
      <c r="C10" s="1685"/>
      <c r="D10" s="2925" t="s">
        <v>1634</v>
      </c>
      <c r="E10" s="2929" t="s">
        <v>1635</v>
      </c>
      <c r="F10" s="3094"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66</v>
      </c>
      <c r="C13" s="2969"/>
      <c r="D13" s="2935" t="s">
        <v>1642</v>
      </c>
      <c r="E13" s="2655">
        <f>成本法!C9</f>
        <v>14400</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0.98799999999999999</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2849</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0.05</v>
      </c>
      <c r="C16" s="2565" t="s">
        <v>2850</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2847</v>
      </c>
      <c r="B17" s="3092">
        <v>7.0000000000000007E-2</v>
      </c>
      <c r="C17" s="2565" t="s">
        <v>2851</v>
      </c>
      <c r="D17" s="2928" t="s">
        <v>1651</v>
      </c>
      <c r="E17" s="2659">
        <f>2310</f>
        <v>2310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6.5000000000000002E-2</v>
      </c>
      <c r="C18" s="1685"/>
      <c r="D18" s="2941" t="str">
        <f>IF(B26=0,"建安总额","在建建安")</f>
        <v>建安总额</v>
      </c>
      <c r="E18" s="2942">
        <f>ROUND(B5*E17*IF(B26=0,1,E20),0)</f>
        <v>207900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0.04</v>
      </c>
      <c r="F21" s="2675"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0.1</v>
      </c>
      <c r="F22" s="2675"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2856</v>
      </c>
      <c r="I25" s="2970"/>
    </row>
    <row r="26" spans="1:41" ht="15" thickBot="1">
      <c r="A26" s="2948" t="s">
        <v>1662</v>
      </c>
      <c r="B26" s="2952">
        <f>B22-B23</f>
        <v>0</v>
      </c>
      <c r="D26" s="2932" t="s">
        <v>1665</v>
      </c>
      <c r="E26" s="2667">
        <v>0.02</v>
      </c>
      <c r="F26" s="2675" t="s">
        <v>2856</v>
      </c>
      <c r="G26" s="2971"/>
      <c r="H26" s="2971"/>
      <c r="I26" s="1685"/>
      <c r="J26" s="1685"/>
      <c r="K26" s="1685"/>
      <c r="L26" s="1685"/>
      <c r="M26" s="1685"/>
      <c r="N26" s="1685"/>
    </row>
    <row r="27" spans="1:41" ht="15.75" thickBot="1">
      <c r="A27" s="2953" t="s">
        <v>1664</v>
      </c>
      <c r="B27" s="2669">
        <v>2019</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0.25</v>
      </c>
      <c r="G28" s="2971"/>
      <c r="H28" s="2971"/>
      <c r="K28" s="1685"/>
      <c r="N28" s="1685"/>
    </row>
    <row r="29" spans="1:41" ht="14.25">
      <c r="A29" s="2955" t="s">
        <v>1668</v>
      </c>
      <c r="B29" s="2670" t="s">
        <v>2917</v>
      </c>
      <c r="D29" s="2937" t="s">
        <v>1670</v>
      </c>
      <c r="E29" s="2956">
        <f>E30+E31</f>
        <v>5.6000000000000001E-2</v>
      </c>
      <c r="F29" s="1310"/>
      <c r="G29" s="2971"/>
      <c r="H29" s="2971"/>
      <c r="K29" s="1685"/>
      <c r="N29" s="1685"/>
    </row>
    <row r="30" spans="1:41" ht="14.25">
      <c r="A30" s="2932" t="str">
        <f>IF(B29="租赁期内按合同租金","合同租金","市场租金")</f>
        <v>市场租金</v>
      </c>
      <c r="B30" s="2672">
        <v>1.8</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0.03</v>
      </c>
      <c r="D32" s="2939" t="s">
        <v>1676</v>
      </c>
      <c r="E32" s="2674">
        <v>7.0000000000000007E-2</v>
      </c>
      <c r="F32" s="2675" t="s">
        <v>2742</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66</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f>项目基本情况!C12</f>
        <v>90</v>
      </c>
      <c r="D42" s="2685" t="s">
        <v>1697</v>
      </c>
      <c r="E42" s="2672"/>
      <c r="F42" s="1311">
        <v>30</v>
      </c>
      <c r="G42" s="2971"/>
      <c r="H42" s="2971"/>
      <c r="I42" s="1685"/>
      <c r="J42" s="1685"/>
      <c r="K42" s="1685"/>
      <c r="L42" s="1685"/>
      <c r="M42" s="1685"/>
      <c r="N42" s="1685"/>
    </row>
    <row r="43" spans="1:14" ht="14.25">
      <c r="A43" s="2932" t="s">
        <v>1696</v>
      </c>
      <c r="B43" s="2684">
        <v>365</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2854</v>
      </c>
      <c r="D45" s="2685" t="s">
        <v>1703</v>
      </c>
      <c r="E45" s="2672"/>
      <c r="F45" s="1311">
        <v>12</v>
      </c>
      <c r="G45" s="2677"/>
      <c r="H45" s="2677"/>
      <c r="M45" s="1685"/>
      <c r="N45" s="1685"/>
    </row>
    <row r="46" spans="1:14" ht="14.25">
      <c r="A46" s="2932" t="s">
        <v>1702</v>
      </c>
      <c r="B46" s="2687">
        <v>1.5E-3</v>
      </c>
      <c r="C46" s="2565" t="s">
        <v>2852</v>
      </c>
      <c r="D46" s="2685" t="s">
        <v>1457</v>
      </c>
      <c r="E46" s="2672"/>
      <c r="F46" s="1311">
        <v>3</v>
      </c>
      <c r="G46" s="2677"/>
      <c r="H46" s="2677"/>
      <c r="M46" s="1685"/>
      <c r="N46" s="1685"/>
    </row>
    <row r="47" spans="1:14" ht="15" thickBot="1">
      <c r="A47" s="2935" t="s">
        <v>1704</v>
      </c>
      <c r="B47" s="2688">
        <v>0.01</v>
      </c>
      <c r="C47" s="2565" t="s">
        <v>2853</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8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875" style="2711" customWidth="1"/>
    <col min="10" max="10" width="2.625" style="2710" customWidth="1"/>
    <col min="11" max="11" width="11.875" style="2710" customWidth="1"/>
    <col min="12" max="12" width="16.875" style="2711" customWidth="1"/>
    <col min="13" max="13" width="2.625" style="2710" customWidth="1"/>
    <col min="14" max="14" width="11.875" style="2710" customWidth="1"/>
    <col min="15" max="15" width="16.875" style="2711" customWidth="1"/>
    <col min="16" max="16" width="2.625" style="2710" customWidth="1"/>
    <col min="17" max="17" width="11.875" style="2710" customWidth="1"/>
    <col min="18" max="18" width="16.875" style="2712" customWidth="1"/>
    <col min="19" max="29" width="9" style="2700"/>
    <col min="30" max="16384" width="9" style="2639"/>
  </cols>
  <sheetData>
    <row r="1" spans="1:29" s="2698" customFormat="1" ht="19.5" thickBot="1">
      <c r="A1" s="3252" t="s">
        <v>1710</v>
      </c>
      <c r="B1" s="3253"/>
      <c r="C1" s="3253"/>
      <c r="D1" s="3253"/>
      <c r="E1" s="3253"/>
      <c r="F1" s="3253"/>
      <c r="G1" s="3253"/>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2859</v>
      </c>
      <c r="D2" s="3104"/>
      <c r="E2" s="3101"/>
      <c r="F2" s="3105"/>
      <c r="G2" s="3103" t="s">
        <v>2860</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2861</v>
      </c>
      <c r="B3" s="3108" t="s">
        <v>2862</v>
      </c>
      <c r="C3" s="3109" t="s">
        <v>2863</v>
      </c>
      <c r="D3" s="3110"/>
      <c r="E3" s="3111" t="s">
        <v>2861</v>
      </c>
      <c r="F3" s="3112" t="s">
        <v>2864</v>
      </c>
      <c r="G3" s="3113" t="s">
        <v>2865</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1"/>
      <c r="B4" s="3095" t="s">
        <v>2866</v>
      </c>
      <c r="C4" s="3114" t="s">
        <v>2867</v>
      </c>
      <c r="D4" s="3110"/>
      <c r="E4" s="3115"/>
      <c r="F4" s="3097" t="s">
        <v>2868</v>
      </c>
      <c r="G4" s="3116" t="s">
        <v>2869</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1"/>
      <c r="B5" s="3095" t="s">
        <v>2870</v>
      </c>
      <c r="C5" s="3114" t="s">
        <v>2871</v>
      </c>
      <c r="D5" s="3110"/>
      <c r="E5" s="3115"/>
      <c r="F5" s="3095" t="s">
        <v>2872</v>
      </c>
      <c r="G5" s="3116" t="s">
        <v>2873</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36">
      <c r="A6" s="3111"/>
      <c r="B6" s="3095" t="s">
        <v>2874</v>
      </c>
      <c r="C6" s="3116" t="s">
        <v>2869</v>
      </c>
      <c r="D6" s="3110"/>
      <c r="E6" s="3115"/>
      <c r="F6" s="3095" t="s">
        <v>2875</v>
      </c>
      <c r="G6" s="3116" t="s">
        <v>2876</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1"/>
      <c r="B7" s="3095" t="s">
        <v>2872</v>
      </c>
      <c r="C7" s="3116" t="s">
        <v>2873</v>
      </c>
      <c r="D7" s="2984"/>
      <c r="E7" s="3117"/>
      <c r="F7" s="3118" t="s">
        <v>2877</v>
      </c>
      <c r="G7" s="3119" t="s">
        <v>2878</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1"/>
      <c r="B8" s="3095" t="s">
        <v>2875</v>
      </c>
      <c r="C8" s="3116" t="s">
        <v>2876</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1"/>
      <c r="B9" s="3095" t="s">
        <v>2879</v>
      </c>
      <c r="C9" s="3114" t="s">
        <v>2880</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20"/>
      <c r="B10" s="3099" t="s">
        <v>2881</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2.75">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6"/>
      <c r="B14" s="3126"/>
      <c r="C14" s="3127" t="s">
        <v>2882</v>
      </c>
      <c r="D14" s="3110"/>
      <c r="E14" s="3128"/>
      <c r="F14" s="3128"/>
      <c r="G14" s="3103" t="s">
        <v>2883</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6" customFormat="1" ht="38.25">
      <c r="A15" s="3132" t="s">
        <v>2884</v>
      </c>
      <c r="B15" s="3133" t="s">
        <v>2862</v>
      </c>
      <c r="C15" s="3134" t="str">
        <f>C3</f>
        <v>估价对象周边居住用地比例、居住小区规模和社区发展完善程度，综合评价居住社区成熟度一般</v>
      </c>
      <c r="D15" s="3110"/>
      <c r="E15" s="3135" t="s">
        <v>2885</v>
      </c>
      <c r="F15" s="3133" t="s">
        <v>2886</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6" customFormat="1" ht="25.5">
      <c r="A16" s="3137"/>
      <c r="B16" s="2576" t="s">
        <v>2866</v>
      </c>
      <c r="C16" s="3138" t="str">
        <f>C4</f>
        <v>估价对象位于XX商圈，周边商业氛围成熟，人流量大，商业繁华度好</v>
      </c>
      <c r="D16" s="3110"/>
      <c r="E16" s="3139"/>
      <c r="F16" s="3096" t="s">
        <v>2868</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6" customFormat="1" ht="25.5">
      <c r="A17" s="3137"/>
      <c r="B17" s="2576" t="s">
        <v>2870</v>
      </c>
      <c r="C17" s="3138" t="str">
        <f>C5</f>
        <v>估价对象位于XX商圈，周边办公楼项目较多，入驻率高，办公集聚程度较好</v>
      </c>
      <c r="D17" s="2984"/>
      <c r="E17" s="3139"/>
      <c r="F17" s="3096" t="s">
        <v>2887</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6" customFormat="1" ht="38.25">
      <c r="A18" s="3137"/>
      <c r="B18" s="3096" t="s">
        <v>2874</v>
      </c>
      <c r="C18" s="3140" t="str">
        <f>C6</f>
        <v>估价对象周边道路状况、公共交通通达情况、停车便捷程度，综合评价交通便捷度较好</v>
      </c>
      <c r="D18" s="2984"/>
      <c r="E18" s="3139"/>
      <c r="F18" s="3096" t="s">
        <v>2877</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6" customFormat="1" ht="12.75">
      <c r="A19" s="3137"/>
      <c r="B19" s="3096" t="s">
        <v>2888</v>
      </c>
      <c r="C19" s="3141"/>
      <c r="D19" s="3110"/>
      <c r="E19" s="3139"/>
      <c r="F19" s="3095" t="s">
        <v>2872</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6" customFormat="1" ht="25.5">
      <c r="A20" s="3137"/>
      <c r="B20" s="3096" t="s">
        <v>2889</v>
      </c>
      <c r="C20" s="3138" t="str">
        <f>C9</f>
        <v>区域自然环境：；人文环境；综合评价环境状况一般</v>
      </c>
      <c r="D20" s="2984"/>
      <c r="E20" s="3139"/>
      <c r="F20" s="3095" t="s">
        <v>2875</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6" customFormat="1" ht="25.5">
      <c r="A21" s="3137"/>
      <c r="B21" s="3095" t="s">
        <v>2872</v>
      </c>
      <c r="C21" s="3140" t="str">
        <f>C7</f>
        <v>估价对象所在区域公共配套设施齐备情况</v>
      </c>
      <c r="D21" s="3110"/>
      <c r="E21" s="3139"/>
      <c r="F21" s="3096" t="s">
        <v>2890</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6" customFormat="1" ht="12.75">
      <c r="A22" s="3137"/>
      <c r="B22" s="3095" t="s">
        <v>2875</v>
      </c>
      <c r="C22" s="3140" t="str">
        <f>C8</f>
        <v>估价对象所在区域基础设施水平</v>
      </c>
      <c r="D22" s="3110"/>
      <c r="E22" s="3139"/>
      <c r="F22" s="3096" t="s">
        <v>2881</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3.5" thickBot="1">
      <c r="A23" s="3137"/>
      <c r="B23" s="3096" t="s">
        <v>2890</v>
      </c>
      <c r="C23" s="3142"/>
      <c r="D23" s="3129"/>
      <c r="E23" s="3144"/>
      <c r="F23" s="3098" t="s">
        <v>2891</v>
      </c>
      <c r="G23" s="3145"/>
      <c r="H23" s="3129"/>
      <c r="I23" s="3130"/>
      <c r="J23" s="3129"/>
      <c r="K23" s="3129"/>
      <c r="L23" s="3130"/>
      <c r="M23" s="3129"/>
      <c r="N23" s="3129"/>
      <c r="O23" s="3130"/>
      <c r="P23" s="3129"/>
      <c r="Q23" s="3129"/>
      <c r="R23" s="3131"/>
    </row>
    <row r="24" spans="1:29" s="3106" customFormat="1" ht="13.5" thickBot="1">
      <c r="A24" s="3146"/>
      <c r="B24" s="3098" t="s">
        <v>2892</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26" sqref="C26"/>
    </sheetView>
  </sheetViews>
  <sheetFormatPr defaultColWidth="14.625" defaultRowHeight="13.5"/>
  <cols>
    <col min="1" max="1" width="24.375" style="2585" customWidth="1"/>
    <col min="2" max="16384" width="14.625" style="2585"/>
  </cols>
  <sheetData>
    <row r="1" spans="1:9" ht="16.5">
      <c r="A1" s="2583" t="s">
        <v>1212</v>
      </c>
      <c r="B1" s="2583">
        <f>SUM(B14:B23)</f>
        <v>90</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44235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351.666</v>
      </c>
      <c r="C5" s="2583">
        <f ca="1">ROUND(B5*10000/$B$1,0)</f>
        <v>39074</v>
      </c>
      <c r="D5" s="2583" t="e">
        <f ca="1">ROUND(B5*10000/$B$2,0)</f>
        <v>#DIV/0!</v>
      </c>
      <c r="E5" s="1634"/>
      <c r="F5" s="2584"/>
      <c r="G5" s="2584"/>
    </row>
    <row r="6" spans="1:9" ht="16.5">
      <c r="A6" s="2583" t="s">
        <v>1220</v>
      </c>
      <c r="B6" s="2583">
        <f ca="1">SUM(G14:G23)</f>
        <v>351.666</v>
      </c>
      <c r="C6" s="2583">
        <f t="shared" ref="C6:C8" ca="1" si="0">ROUND(B6*10000/$B$1,0)</f>
        <v>39074</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2944</v>
      </c>
      <c r="B14" s="2919">
        <f>项目基本情况!C12</f>
        <v>90</v>
      </c>
      <c r="C14" s="2919">
        <f>项目基本情况!C13</f>
        <v>0</v>
      </c>
      <c r="D14" s="2919">
        <f ca="1">IF('数据-取费表'!B3="万元",IF(A14="估价对象1（结果表）",结果表!H121,'结果表 (1修多)'!H125),IF(A14="估价对象1（结果表）",结果表!H121,'结果表 (1修多)'!H125)/10000)</f>
        <v>351.666</v>
      </c>
      <c r="E14" s="2919">
        <f ca="1">ROUND(D14*10000/B14,0)</f>
        <v>39074</v>
      </c>
      <c r="F14" s="2919" t="e">
        <f ca="1">ROUND(D14*10000/C14,0)</f>
        <v>#DIV/0!</v>
      </c>
      <c r="G14" s="2919">
        <f ca="1">IF('数据-取费表'!B3="万元",IF(A14="估价对象1（结果表）",结果表!D125,'结果表 (1修多)'!D129),IF(A14="估价对象1（结果表）",结果表!D125,'结果表 (1修多)'!D129)/10000)</f>
        <v>351.666</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8" sqref="C8"/>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2076067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23067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1168055</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基准地价修正!C29*项目基本情况!C12</f>
        <v>1119510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34145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14400</v>
      </c>
      <c r="D8" s="1170"/>
      <c r="E8" s="115"/>
      <c r="F8" s="1169"/>
      <c r="G8" s="1518" t="s">
        <v>2915</v>
      </c>
    </row>
    <row r="9" spans="1:123" s="91" customFormat="1" ht="13.5" customHeight="1">
      <c r="A9" s="993" t="s">
        <v>945</v>
      </c>
      <c r="B9" s="97" t="s">
        <v>1936</v>
      </c>
      <c r="C9" s="1171">
        <f>ROUND(D9*E9,0)</f>
        <v>14400</v>
      </c>
      <c r="D9" s="1172">
        <f>IF('数据-取费表'!B10="住宅",IF(B1="仅计算典型户型",'数据-取费表'!E5,'数据-取费表'!B5),0)</f>
        <v>90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90</v>
      </c>
      <c r="E19" s="111">
        <f>'数据-取费表'!E15</f>
        <v>200</v>
      </c>
      <c r="F19" s="112"/>
      <c r="G19" s="1518" t="s">
        <v>2916</v>
      </c>
    </row>
    <row r="20" spans="1:123" s="91" customFormat="1" ht="13.5" customHeight="1">
      <c r="A20" s="120" t="s">
        <v>1949</v>
      </c>
      <c r="B20" s="89" t="s">
        <v>1950</v>
      </c>
      <c r="C20" s="99">
        <f ca="1">ROUND((C5+C19)*F20,0)</f>
        <v>23361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114711</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113601</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1110</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297854</v>
      </c>
      <c r="D27" s="101">
        <f>C29</f>
        <v>5.0000000000000001E-3</v>
      </c>
      <c r="E27" s="102" t="s">
        <v>1954</v>
      </c>
      <c r="F27" s="112">
        <f>'数据-取费表'!E28</f>
        <v>0.25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297854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1742132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258125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207900</v>
      </c>
      <c r="D34" s="1167"/>
      <c r="E34" s="115"/>
      <c r="F34" s="1178" t="str">
        <f>IF('数据-取费表'!B26=0,"",'数据-取费表'!E20)</f>
        <v/>
      </c>
      <c r="G34" s="95"/>
    </row>
    <row r="35" spans="1:123" ht="13.5" customHeight="1">
      <c r="A35" s="92" t="s">
        <v>1932</v>
      </c>
      <c r="B35" s="93" t="s">
        <v>1981</v>
      </c>
      <c r="C35" s="115">
        <f>ROUND(C34*F35,0)</f>
        <v>8316</v>
      </c>
      <c r="D35" s="115"/>
      <c r="E35" s="115"/>
      <c r="F35" s="1179">
        <f>'数据-取费表'!E21</f>
        <v>0.04</v>
      </c>
      <c r="G35" s="95" t="s">
        <v>1982</v>
      </c>
    </row>
    <row r="36" spans="1:123" ht="24">
      <c r="A36" s="92" t="s">
        <v>1934</v>
      </c>
      <c r="B36" s="93" t="s">
        <v>1983</v>
      </c>
      <c r="C36" s="115">
        <f>ROUND(IF('数据-取费表'!B10="住宅",C34*F36,0),0)</f>
        <v>20790</v>
      </c>
      <c r="D36" s="115"/>
      <c r="E36" s="115"/>
      <c r="F36" s="1179">
        <f>'数据-取费表'!E22</f>
        <v>0.1</v>
      </c>
      <c r="G36" s="123" t="s">
        <v>1984</v>
      </c>
    </row>
    <row r="37" spans="1:123" s="122" customFormat="1" ht="13.5" customHeight="1">
      <c r="A37" s="92" t="s">
        <v>1965</v>
      </c>
      <c r="B37" s="93" t="s">
        <v>1985</v>
      </c>
      <c r="C37" s="115">
        <f>ROUND(E37*D37,0)</f>
        <v>18000</v>
      </c>
      <c r="D37" s="1167">
        <f>IF(B1="仅计算典型户型",'数据-取费表'!E5,'数据-取费表'!B5)</f>
        <v>90</v>
      </c>
      <c r="E37" s="115">
        <f>'数据-取费表'!E23</f>
        <v>200</v>
      </c>
      <c r="F37" s="1179"/>
      <c r="G37" s="124" t="s">
        <v>1986</v>
      </c>
    </row>
    <row r="38" spans="1:123" ht="13.5" customHeight="1">
      <c r="A38" s="92" t="s">
        <v>1987</v>
      </c>
      <c r="B38" s="93" t="s">
        <v>1988</v>
      </c>
      <c r="C38" s="115">
        <f>ROUND(C34*F38,0)</f>
        <v>3119</v>
      </c>
      <c r="D38" s="115"/>
      <c r="E38" s="115"/>
      <c r="F38" s="1179">
        <f>'数据-取费表'!E24</f>
        <v>1.4999999999999999E-2</v>
      </c>
      <c r="G38" s="95" t="s">
        <v>1982</v>
      </c>
    </row>
    <row r="39" spans="1:123" s="91" customFormat="1" ht="13.5" customHeight="1">
      <c r="A39" s="120" t="s">
        <v>1947</v>
      </c>
      <c r="B39" s="89" t="s">
        <v>1950</v>
      </c>
      <c r="C39" s="99">
        <f>ROUND(C33*F20,0)</f>
        <v>5163</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12506</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12261</v>
      </c>
      <c r="D42" s="104"/>
      <c r="E42" s="104"/>
      <c r="F42" s="105"/>
      <c r="G42" s="3254" t="s">
        <v>1992</v>
      </c>
    </row>
    <row r="43" spans="1:123" ht="13.5" customHeight="1">
      <c r="A43" s="92" t="s">
        <v>1932</v>
      </c>
      <c r="B43" s="93" t="s">
        <v>1961</v>
      </c>
      <c r="C43" s="104">
        <f ca="1">ROUND(IF('数据-取费表'!B24&lt;=1,C39*F22*'数据-取费表'!B23/2,C39*(POWER((1+F22),'数据-取费表'!B23/2)-1)),0)</f>
        <v>245</v>
      </c>
      <c r="D43" s="104"/>
      <c r="E43" s="104"/>
      <c r="F43" s="105"/>
      <c r="G43" s="3255"/>
    </row>
    <row r="44" spans="1:123" ht="13.5" customHeight="1">
      <c r="A44" s="92" t="s">
        <v>1934</v>
      </c>
      <c r="B44" s="93" t="s">
        <v>1963</v>
      </c>
      <c r="C44" s="104">
        <f ca="1">ROUND(IF('数据-取费表'!B24&lt;=1,C40*F22*'数据-取费表'!B23/2,C40*(POWER((1+F22),'数据-取费表'!B23/2)-1)),4)</f>
        <v>1E-3</v>
      </c>
      <c r="D44" s="104"/>
      <c r="E44" s="104"/>
      <c r="F44" s="105"/>
      <c r="G44" s="3256"/>
    </row>
    <row r="45" spans="1:123" s="91" customFormat="1" ht="13.5" customHeight="1">
      <c r="A45" s="120" t="s">
        <v>1956</v>
      </c>
      <c r="B45" s="110" t="s">
        <v>1968</v>
      </c>
      <c r="C45" s="111">
        <f>C46</f>
        <v>65822</v>
      </c>
      <c r="D45" s="101">
        <f>C47</f>
        <v>5.0000000000000001E-3</v>
      </c>
      <c r="E45" s="102" t="s">
        <v>1990</v>
      </c>
      <c r="F45" s="2891">
        <f>F27</f>
        <v>0.25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65822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371039</v>
      </c>
      <c r="D49" s="99"/>
      <c r="E49" s="99"/>
      <c r="F49" s="126"/>
      <c r="G49" s="100" t="s">
        <v>2000</v>
      </c>
    </row>
    <row r="50" spans="1:123" s="122" customFormat="1" ht="24">
      <c r="A50" s="994" t="s">
        <v>2001</v>
      </c>
      <c r="B50" s="89" t="s">
        <v>2002</v>
      </c>
      <c r="C50" s="99"/>
      <c r="D50" s="99"/>
      <c r="E50" s="99"/>
      <c r="F50" s="126">
        <f>IF('数据-取费表'!B26=0,'数据-取费表'!E20,1)</f>
        <v>0.9</v>
      </c>
      <c r="G50" s="113" t="s">
        <v>2003</v>
      </c>
    </row>
    <row r="51" spans="1:123" ht="16.5" customHeight="1">
      <c r="A51" s="994" t="s">
        <v>2004</v>
      </c>
      <c r="B51" s="89" t="s">
        <v>2005</v>
      </c>
      <c r="C51" s="99">
        <f ca="1">ROUND(C49*F50,0)</f>
        <v>333935</v>
      </c>
      <c r="D51" s="99"/>
      <c r="E51" s="99"/>
      <c r="F51" s="126"/>
      <c r="G51" s="100" t="s">
        <v>2006</v>
      </c>
    </row>
    <row r="52" spans="1:123" s="88" customFormat="1" ht="16.5" thickBot="1">
      <c r="A52" s="127" t="s">
        <v>2007</v>
      </c>
      <c r="B52" s="128"/>
      <c r="C52" s="129">
        <f ca="1">C31+C51</f>
        <v>2076067</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0.161</v>
      </c>
    </row>
    <row r="57" spans="1:123">
      <c r="B57" s="135" t="s">
        <v>2010</v>
      </c>
      <c r="C57" s="137">
        <f ca="1">1-C56</f>
        <v>0.83899999999999997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4" sqref="C4"/>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2" t="str">
        <f>项目基本情况!B1</f>
        <v>北京市房地产市场价值预评估</v>
      </c>
      <c r="B2" s="3312"/>
      <c r="C2" s="3312"/>
      <c r="D2" s="3312"/>
      <c r="E2" s="3312"/>
      <c r="F2" s="3312"/>
      <c r="G2" s="3312"/>
      <c r="H2" s="3312"/>
      <c r="I2" s="3312"/>
      <c r="J2" s="2846"/>
    </row>
    <row r="3" spans="1:15" ht="12.75">
      <c r="A3" s="3315" t="s">
        <v>1718</v>
      </c>
      <c r="B3" s="3316"/>
      <c r="C3" s="3316"/>
      <c r="D3" s="3316"/>
      <c r="E3" s="3316"/>
      <c r="F3" s="3316"/>
      <c r="G3" s="3316"/>
      <c r="H3" s="3316"/>
      <c r="I3" s="3316"/>
      <c r="J3" s="2847"/>
    </row>
    <row r="4" spans="1:15" ht="14.25">
      <c r="A4" s="2715" t="s">
        <v>1719</v>
      </c>
      <c r="B4" s="2715" t="s">
        <v>1720</v>
      </c>
      <c r="C4" s="2716" t="s">
        <v>2943</v>
      </c>
      <c r="D4" s="2716" t="s">
        <v>2943</v>
      </c>
      <c r="E4" s="3261" t="s">
        <v>1721</v>
      </c>
      <c r="F4" s="3299"/>
      <c r="G4" s="3299"/>
      <c r="H4" s="3299"/>
      <c r="I4" s="3300"/>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92" t="s">
        <v>1722</v>
      </c>
      <c r="B5" s="3292">
        <v>25</v>
      </c>
      <c r="C5" s="3301">
        <v>5</v>
      </c>
      <c r="D5" s="3314">
        <f>10-C5</f>
        <v>5</v>
      </c>
      <c r="E5" s="12" t="s">
        <v>1723</v>
      </c>
      <c r="F5" s="2089"/>
      <c r="G5" s="2089"/>
      <c r="H5" s="2089"/>
      <c r="I5" s="2084"/>
      <c r="J5" s="2848"/>
    </row>
    <row r="6" spans="1:15" ht="12.75">
      <c r="A6" s="3292"/>
      <c r="B6" s="3292"/>
      <c r="C6" s="3317"/>
      <c r="D6" s="3314"/>
      <c r="E6" s="12" t="s">
        <v>1724</v>
      </c>
      <c r="F6" s="2089"/>
      <c r="G6" s="2089"/>
      <c r="H6" s="2089"/>
      <c r="I6" s="2084"/>
      <c r="J6" s="2848"/>
    </row>
    <row r="7" spans="1:15" ht="12.75">
      <c r="A7" s="3292"/>
      <c r="B7" s="3292"/>
      <c r="C7" s="3302"/>
      <c r="D7" s="3314"/>
      <c r="E7" s="12" t="s">
        <v>1725</v>
      </c>
      <c r="F7" s="2089"/>
      <c r="G7" s="2089"/>
      <c r="H7" s="2089"/>
      <c r="I7" s="2084"/>
      <c r="J7" s="2848"/>
    </row>
    <row r="8" spans="1:15" ht="12.75">
      <c r="A8" s="3292" t="s">
        <v>1726</v>
      </c>
      <c r="B8" s="3292">
        <v>15</v>
      </c>
      <c r="C8" s="3301"/>
      <c r="D8" s="3314"/>
      <c r="E8" s="12" t="s">
        <v>1727</v>
      </c>
      <c r="F8" s="2089"/>
      <c r="G8" s="2089"/>
      <c r="H8" s="2089"/>
      <c r="I8" s="2084"/>
      <c r="J8" s="2848"/>
    </row>
    <row r="9" spans="1:15" ht="12.75">
      <c r="A9" s="3292"/>
      <c r="B9" s="3292"/>
      <c r="C9" s="3302"/>
      <c r="D9" s="3314"/>
      <c r="E9" s="12" t="s">
        <v>1728</v>
      </c>
      <c r="F9" s="2089"/>
      <c r="G9" s="2089"/>
      <c r="H9" s="2089"/>
      <c r="I9" s="2084"/>
      <c r="J9" s="2848"/>
    </row>
    <row r="10" spans="1:15" ht="12.75">
      <c r="A10" s="3292" t="s">
        <v>1729</v>
      </c>
      <c r="B10" s="3292">
        <v>15</v>
      </c>
      <c r="C10" s="3301"/>
      <c r="D10" s="3314"/>
      <c r="E10" s="12" t="s">
        <v>1730</v>
      </c>
      <c r="F10" s="2089"/>
      <c r="G10" s="2089"/>
      <c r="H10" s="2089"/>
      <c r="I10" s="2084"/>
      <c r="J10" s="2848"/>
    </row>
    <row r="11" spans="1:15" ht="12.75">
      <c r="A11" s="3292"/>
      <c r="B11" s="3292"/>
      <c r="C11" s="3302"/>
      <c r="D11" s="3314"/>
      <c r="E11" s="12" t="s">
        <v>1731</v>
      </c>
      <c r="F11" s="2089"/>
      <c r="G11" s="2089"/>
      <c r="H11" s="2089"/>
      <c r="I11" s="2084"/>
      <c r="J11" s="2848"/>
    </row>
    <row r="12" spans="1:15" ht="12.75">
      <c r="A12" s="3292" t="s">
        <v>1732</v>
      </c>
      <c r="B12" s="3292">
        <v>15</v>
      </c>
      <c r="C12" s="3301"/>
      <c r="D12" s="3314"/>
      <c r="E12" s="12" t="s">
        <v>1733</v>
      </c>
      <c r="F12" s="2089"/>
      <c r="G12" s="2089"/>
      <c r="H12" s="2089"/>
      <c r="I12" s="2084"/>
      <c r="J12" s="2848"/>
    </row>
    <row r="13" spans="1:15" ht="12.75">
      <c r="A13" s="3292"/>
      <c r="B13" s="3292"/>
      <c r="C13" s="3302"/>
      <c r="D13" s="3314"/>
      <c r="E13" s="12" t="s">
        <v>1734</v>
      </c>
      <c r="F13" s="2089"/>
      <c r="G13" s="2089"/>
      <c r="H13" s="2089"/>
      <c r="I13" s="2084"/>
      <c r="J13" s="2848"/>
    </row>
    <row r="14" spans="1:15" ht="12.75">
      <c r="A14" s="3292" t="s">
        <v>1735</v>
      </c>
      <c r="B14" s="3292">
        <v>30</v>
      </c>
      <c r="C14" s="3301"/>
      <c r="D14" s="3314"/>
      <c r="E14" s="12" t="s">
        <v>1736</v>
      </c>
      <c r="F14" s="2089"/>
      <c r="G14" s="2089"/>
      <c r="H14" s="2089"/>
      <c r="I14" s="2084"/>
      <c r="J14" s="2848"/>
    </row>
    <row r="15" spans="1:15" ht="12.75">
      <c r="A15" s="3292"/>
      <c r="B15" s="3292"/>
      <c r="C15" s="3317"/>
      <c r="D15" s="3314"/>
      <c r="E15" s="12" t="s">
        <v>1737</v>
      </c>
      <c r="F15" s="2089"/>
      <c r="G15" s="2089"/>
      <c r="H15" s="2089"/>
      <c r="I15" s="2084"/>
      <c r="J15" s="2848"/>
    </row>
    <row r="16" spans="1:15" ht="12.75">
      <c r="A16" s="3292"/>
      <c r="B16" s="3292"/>
      <c r="C16" s="3302"/>
      <c r="D16" s="3314"/>
      <c r="E16" s="12" t="s">
        <v>1738</v>
      </c>
      <c r="F16" s="2089"/>
      <c r="G16" s="2089"/>
      <c r="H16" s="2089"/>
      <c r="I16" s="2084"/>
      <c r="J16" s="2848"/>
    </row>
    <row r="17" spans="1:36" ht="15">
      <c r="A17" s="2717" t="s">
        <v>1739</v>
      </c>
      <c r="B17" s="2094"/>
      <c r="C17" s="2718">
        <f>SUM(C5:C16)</f>
        <v>5</v>
      </c>
      <c r="D17" s="2718">
        <f>SUM(D5:D16)</f>
        <v>5</v>
      </c>
      <c r="E17" s="2565"/>
      <c r="F17" s="2565"/>
      <c r="G17" s="2565"/>
      <c r="H17" s="2565"/>
      <c r="I17" s="2565"/>
      <c r="J17" s="2849"/>
    </row>
    <row r="18" spans="1:36" ht="30" customHeight="1" thickBot="1">
      <c r="A18" s="2719" t="s">
        <v>1740</v>
      </c>
      <c r="B18" s="2720"/>
      <c r="C18" s="2721">
        <f>ROUND(C17/SUM(C17:D17),2)</f>
        <v>0.5</v>
      </c>
      <c r="D18" s="2721">
        <f>1-C18</f>
        <v>0.5</v>
      </c>
      <c r="E18" s="3310" t="s">
        <v>2827</v>
      </c>
      <c r="F18" s="3311"/>
      <c r="G18" s="3311"/>
      <c r="H18" s="3311"/>
      <c r="I18" s="3311"/>
      <c r="J18" s="2849"/>
    </row>
    <row r="19" spans="1:36" ht="15">
      <c r="A19" s="2722" t="s">
        <v>1741</v>
      </c>
      <c r="B19" s="2723" t="s">
        <v>1742</v>
      </c>
      <c r="C19" s="2724">
        <f ca="1">SUMIF(INDIRECT("'"&amp;C4&amp;"'"&amp;"!A:A"),结果表!B19,INDIRECT("'"&amp;C4&amp;"'"&amp;"!B:B"))</f>
        <v>3516660</v>
      </c>
      <c r="D19" s="2725">
        <f ca="1">SUMIF(INDIRECT("'"&amp;D4&amp;"'"&amp;"!A:A"),结果表!B19,INDIRECT("'"&amp;D4&amp;"'"&amp;"!B:B"))</f>
        <v>3516660</v>
      </c>
      <c r="E19" s="2722" t="s">
        <v>1743</v>
      </c>
      <c r="F19" s="2723" t="s">
        <v>1742</v>
      </c>
      <c r="G19" s="2726">
        <f ca="1">ROUND(C19*$C$18+D19*$D$18,0)</f>
        <v>3516660</v>
      </c>
      <c r="H19" s="2727" t="str">
        <f>'数据-取费表'!B3</f>
        <v>元</v>
      </c>
      <c r="I19" s="2775"/>
      <c r="J19" s="2850"/>
    </row>
    <row r="20" spans="1:36" ht="15">
      <c r="A20" s="2728"/>
      <c r="B20" s="1694" t="s">
        <v>1744</v>
      </c>
      <c r="C20" s="1919">
        <f ca="1">SUMIF(INDIRECT("'"&amp;C4&amp;"'"&amp;"!A:A"),结果表!B20,INDIRECT("'"&amp;C4&amp;"'"&amp;"!B:B"))</f>
        <v>39074</v>
      </c>
      <c r="D20" s="1922">
        <f ca="1">SUMIF(INDIRECT("'"&amp;D4&amp;"'"&amp;"!A:A"),结果表!B20,INDIRECT("'"&amp;D4&amp;"'"&amp;"!B:B"))</f>
        <v>39074</v>
      </c>
      <c r="E20" s="2728"/>
      <c r="F20" s="1694" t="s">
        <v>1744</v>
      </c>
      <c r="G20" s="2093">
        <f ca="1">ROUND(C20*$C$18+D20*$D$18,0)</f>
        <v>39074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03" t="s">
        <v>1747</v>
      </c>
      <c r="B24" s="2723" t="s">
        <v>1742</v>
      </c>
      <c r="C24" s="2726">
        <f>D30</f>
        <v>0</v>
      </c>
      <c r="D24" s="2678"/>
      <c r="E24" s="947"/>
      <c r="F24" s="947"/>
      <c r="G24" s="947"/>
      <c r="H24" s="947"/>
      <c r="I24" s="947"/>
      <c r="J24" s="2849"/>
    </row>
    <row r="25" spans="1:36" ht="21.75" customHeight="1">
      <c r="A25" s="3320"/>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2831</v>
      </c>
      <c r="F30" s="2565"/>
      <c r="G30" s="2565"/>
      <c r="H30" s="2565"/>
      <c r="I30" s="2565"/>
      <c r="J30" s="2849"/>
    </row>
    <row r="31" spans="1:36" s="2842" customFormat="1" ht="26.45"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39074</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31064</v>
      </c>
      <c r="D34" s="2752">
        <f ca="1">IF(D33="自定义",ROUND(C34/C32,3),1-D35)</f>
        <v>0.79500000000000004</v>
      </c>
      <c r="E34" s="1435" t="s">
        <v>1757</v>
      </c>
      <c r="F34" s="2753">
        <v>2000</v>
      </c>
      <c r="G34" s="947"/>
      <c r="H34" s="947"/>
      <c r="I34" s="947"/>
      <c r="J34" s="2849"/>
    </row>
    <row r="35" spans="1:17" ht="15.75" thickBot="1">
      <c r="A35" s="1467"/>
      <c r="B35" s="2754" t="s">
        <v>1758</v>
      </c>
      <c r="C35" s="2755">
        <f ca="1">IF(D33="自定义",F35,ROUND(C32*D35,0))</f>
        <v>8010</v>
      </c>
      <c r="D35" s="2756">
        <f ca="1">IF(D33="自定义",ROUND(C35/C32,3),IF(D33="成本法成本比率",成本法!C56,IF(D33="收益法收益比率",收益法!J38,收益法!J41)))</f>
        <v>0.20499999999999999</v>
      </c>
      <c r="E35" s="2757" t="s">
        <v>1759</v>
      </c>
      <c r="F35" s="2758">
        <v>4460</v>
      </c>
      <c r="G35" s="947"/>
      <c r="H35" s="947"/>
      <c r="I35" s="947"/>
      <c r="J35" s="2849"/>
    </row>
    <row r="36" spans="1:17" ht="15.75" thickBot="1">
      <c r="A36" s="3303" t="s">
        <v>1760</v>
      </c>
      <c r="B36" s="1468" t="s">
        <v>1761</v>
      </c>
      <c r="C36" s="2759">
        <v>0</v>
      </c>
      <c r="D36" s="2760"/>
      <c r="E36" s="1680"/>
      <c r="F36" s="1680"/>
      <c r="G36" s="947"/>
      <c r="H36" s="947"/>
      <c r="I36" s="947"/>
      <c r="J36" s="2849"/>
    </row>
    <row r="37" spans="1:17" ht="15.75" thickBot="1">
      <c r="A37" s="3304"/>
      <c r="B37" s="2094" t="s">
        <v>1762</v>
      </c>
      <c r="C37" s="2761">
        <v>0</v>
      </c>
      <c r="D37" s="1311"/>
      <c r="E37" s="1311"/>
      <c r="F37" s="1680"/>
      <c r="G37" s="1311"/>
      <c r="H37" s="1311"/>
      <c r="I37" s="1311"/>
      <c r="J37" s="2853"/>
    </row>
    <row r="38" spans="1:17" ht="15.75" thickBot="1">
      <c r="A38" s="3305"/>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2826</v>
      </c>
      <c r="J44" s="2855"/>
      <c r="K44" s="1475" t="s">
        <v>1770</v>
      </c>
      <c r="L44" s="1476"/>
      <c r="M44" s="1476"/>
      <c r="N44" s="1476"/>
      <c r="O44" s="1476"/>
      <c r="P44" s="1476"/>
      <c r="Q44" s="1308"/>
    </row>
    <row r="45" spans="1:17" ht="14.25" customHeight="1" thickBot="1">
      <c r="A45" s="3307" t="s">
        <v>1771</v>
      </c>
      <c r="B45" s="3308"/>
      <c r="C45" s="3267"/>
      <c r="D45" s="246">
        <f ca="1">ROUND(I102*F45,0)</f>
        <v>3516660</v>
      </c>
      <c r="E45" s="1542" t="s">
        <v>1772</v>
      </c>
      <c r="F45" s="2563">
        <v>1</v>
      </c>
      <c r="G45" s="2564" t="s">
        <v>1773</v>
      </c>
      <c r="H45" s="947"/>
      <c r="I45" s="947"/>
      <c r="J45" s="2849"/>
      <c r="K45" s="3361" t="s">
        <v>2756</v>
      </c>
      <c r="L45" s="3361"/>
      <c r="M45" s="3361"/>
      <c r="N45" s="3361"/>
      <c r="O45" s="3361"/>
      <c r="P45" s="3361"/>
      <c r="Q45" s="1308"/>
    </row>
    <row r="46" spans="1:17" ht="14.25" customHeight="1">
      <c r="A46" s="3296" t="s">
        <v>1775</v>
      </c>
      <c r="B46" s="3297"/>
      <c r="C46" s="3297"/>
      <c r="D46" s="3297"/>
      <c r="E46" s="3297"/>
      <c r="F46" s="3297"/>
      <c r="G46" s="3298"/>
      <c r="H46" s="2981"/>
      <c r="I46" s="947"/>
      <c r="J46" s="2849"/>
      <c r="K46" s="2538">
        <v>1</v>
      </c>
      <c r="L46" s="3362" t="s">
        <v>2757</v>
      </c>
      <c r="M46" s="3362"/>
      <c r="N46" s="3363" t="str">
        <f>项目基本情况!B1</f>
        <v>北京市房地产市场价值预评估</v>
      </c>
      <c r="O46" s="3363"/>
      <c r="P46" s="3363"/>
      <c r="Q46" s="1308"/>
    </row>
    <row r="47" spans="1:17" ht="12" customHeight="1">
      <c r="A47" s="38" t="s">
        <v>1777</v>
      </c>
      <c r="B47" s="39"/>
      <c r="C47" s="40"/>
      <c r="D47" s="1099" t="s">
        <v>1778</v>
      </c>
      <c r="E47" s="235" t="s">
        <v>1779</v>
      </c>
      <c r="F47" s="41" t="s">
        <v>1780</v>
      </c>
      <c r="G47" s="2566" t="s">
        <v>1781</v>
      </c>
      <c r="H47" s="2981"/>
      <c r="I47" s="947"/>
      <c r="J47" s="2849"/>
      <c r="K47" s="2538">
        <v>2</v>
      </c>
      <c r="L47" s="3362" t="s">
        <v>2758</v>
      </c>
      <c r="M47" s="3362"/>
      <c r="N47" s="3364">
        <f>'数据-取费表'!B2</f>
        <v>44235</v>
      </c>
      <c r="O47" s="3364"/>
      <c r="P47" s="3364"/>
      <c r="Q47" s="1308"/>
    </row>
    <row r="48" spans="1:17" ht="25.5">
      <c r="A48" s="3306" t="s">
        <v>1783</v>
      </c>
      <c r="B48" s="3260"/>
      <c r="C48" s="3260"/>
      <c r="D48" s="12">
        <f ca="1">IF(H48="情况1",0,IF(H48="情况2",D52,IF(H48="情况3",D53,IF(H48="情况4",D54))))</f>
        <v>187555</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362" t="s">
        <v>2759</v>
      </c>
      <c r="M48" s="3362"/>
      <c r="N48" s="3363">
        <f ca="1">I102</f>
        <v>3516660</v>
      </c>
      <c r="O48" s="3363"/>
      <c r="P48" s="3363"/>
      <c r="Q48" s="1308"/>
    </row>
    <row r="49" spans="1:17" ht="25.5" customHeight="1">
      <c r="A49" s="2091" t="s">
        <v>1787</v>
      </c>
      <c r="B49" s="3299" t="s">
        <v>1788</v>
      </c>
      <c r="C49" s="3299"/>
      <c r="D49" s="2570">
        <v>0</v>
      </c>
      <c r="E49" s="261" t="s">
        <v>1789</v>
      </c>
      <c r="F49" s="2571" t="s">
        <v>48</v>
      </c>
      <c r="G49" s="3356"/>
      <c r="H49" s="2572" t="s">
        <v>2833</v>
      </c>
      <c r="I49" s="2573"/>
      <c r="J49" s="2857"/>
      <c r="K49" s="2538">
        <v>4</v>
      </c>
      <c r="L49" s="3362" t="str">
        <f>IF(项目基本情况!F5="房地产抵押价值","房地产抵押价值","抵押担保权已注销时的房地产抵押价值")</f>
        <v>抵押担保权已注销时的房地产抵押价值</v>
      </c>
      <c r="M49" s="3362"/>
      <c r="N49" s="3363" t="str">
        <f>IF(项目基本情况!F5="房地产抵押价值",I110,I112)</f>
        <v>——</v>
      </c>
      <c r="O49" s="3363"/>
      <c r="P49" s="3363"/>
      <c r="Q49" s="1308"/>
    </row>
    <row r="50" spans="1:17" ht="25.5" customHeight="1">
      <c r="A50" s="2081"/>
      <c r="B50" s="3299" t="s">
        <v>1790</v>
      </c>
      <c r="C50" s="3299"/>
      <c r="D50" s="2574"/>
      <c r="E50" s="269"/>
      <c r="F50" s="2571"/>
      <c r="G50" s="3357"/>
      <c r="H50" s="2575" t="s">
        <v>2752</v>
      </c>
      <c r="I50" s="2573"/>
      <c r="J50" s="2857"/>
      <c r="K50" s="3362" t="s">
        <v>2760</v>
      </c>
      <c r="L50" s="3362"/>
      <c r="M50" s="3362"/>
      <c r="N50" s="3362"/>
      <c r="O50" s="3362"/>
      <c r="P50" s="3362"/>
      <c r="Q50" s="1308"/>
    </row>
    <row r="51" spans="1:17" ht="20.45" customHeight="1">
      <c r="A51" s="2576"/>
      <c r="B51" s="3299" t="s">
        <v>1792</v>
      </c>
      <c r="C51" s="3299"/>
      <c r="D51" s="1099"/>
      <c r="E51" s="264"/>
      <c r="F51" s="2571"/>
      <c r="G51" s="3358"/>
      <c r="H51" s="2575" t="s">
        <v>2753</v>
      </c>
      <c r="I51" s="2573"/>
      <c r="J51" s="2857"/>
      <c r="K51" s="2539" t="s">
        <v>2761</v>
      </c>
      <c r="L51" s="3362" t="s">
        <v>2762</v>
      </c>
      <c r="M51" s="3362"/>
      <c r="N51" s="2539" t="s">
        <v>2763</v>
      </c>
      <c r="O51" s="2539" t="s">
        <v>2764</v>
      </c>
      <c r="P51" s="2539" t="s">
        <v>2765</v>
      </c>
      <c r="Q51" s="1308"/>
    </row>
    <row r="52" spans="1:17" ht="24" customHeight="1">
      <c r="A52" s="2082" t="s">
        <v>1798</v>
      </c>
      <c r="B52" s="3299" t="s">
        <v>1799</v>
      </c>
      <c r="C52" s="3299"/>
      <c r="D52" s="1099">
        <f ca="1">ROUND(D45*'数据-取费表'!E29/(1+'数据-取费表'!F30),0)</f>
        <v>187555</v>
      </c>
      <c r="E52" s="2092" t="s">
        <v>1800</v>
      </c>
      <c r="F52" s="2577">
        <f>'数据-取费表'!E29</f>
        <v>5.6000000000000001E-2</v>
      </c>
      <c r="G52" s="2578"/>
      <c r="H52" s="947"/>
      <c r="I52" s="2982"/>
      <c r="J52" s="2857"/>
      <c r="K52" s="2538">
        <v>1</v>
      </c>
      <c r="L52" s="3329" t="s">
        <v>2766</v>
      </c>
      <c r="M52" s="3329"/>
      <c r="N52" s="2540">
        <f ca="1">D48</f>
        <v>187555</v>
      </c>
      <c r="O52" s="2538" t="str">
        <f>E48</f>
        <v>销售额×税（费）率</v>
      </c>
      <c r="P52" s="2541">
        <f>F48</f>
        <v>5.6000000000000001E-2</v>
      </c>
      <c r="Q52" s="1308"/>
    </row>
    <row r="53" spans="1:17" ht="12" customHeight="1">
      <c r="A53" s="2082" t="s">
        <v>1802</v>
      </c>
      <c r="B53" s="3261" t="s">
        <v>2845</v>
      </c>
      <c r="C53" s="3300"/>
      <c r="D53" s="1099">
        <f ca="1">ROUND(D45*'数据-取费表'!E29/(1+'数据-取费表'!F30),0)</f>
        <v>187555</v>
      </c>
      <c r="E53" s="2092" t="s">
        <v>1800</v>
      </c>
      <c r="F53" s="2577">
        <f>'数据-取费表'!E29</f>
        <v>5.6000000000000001E-2</v>
      </c>
      <c r="G53" s="2578"/>
      <c r="H53" s="947"/>
      <c r="I53" s="2982"/>
      <c r="J53" s="2857"/>
      <c r="K53" s="2538">
        <v>2</v>
      </c>
      <c r="L53" s="3329" t="s">
        <v>2767</v>
      </c>
      <c r="M53" s="3329"/>
      <c r="N53" s="2540">
        <f t="shared" ref="N53:P54" si="1">D55</f>
        <v>0</v>
      </c>
      <c r="O53" s="2538" t="str">
        <f t="shared" si="1"/>
        <v>销售额×税（费）率</v>
      </c>
      <c r="P53" s="2541" t="str">
        <f t="shared" si="1"/>
        <v>免征</v>
      </c>
      <c r="Q53" s="1308"/>
    </row>
    <row r="54" spans="1:17" ht="12" customHeight="1">
      <c r="A54" s="2082" t="s">
        <v>1804</v>
      </c>
      <c r="B54" s="3261" t="s">
        <v>2846</v>
      </c>
      <c r="C54" s="3300"/>
      <c r="D54" s="1099">
        <f ca="1">C68</f>
        <v>187555</v>
      </c>
      <c r="E54" s="264" t="s">
        <v>1805</v>
      </c>
      <c r="F54" s="2577">
        <f>'数据-取费表'!E29</f>
        <v>5.6000000000000001E-2</v>
      </c>
      <c r="G54" s="2578"/>
      <c r="H54" s="2983"/>
      <c r="I54" s="2982"/>
      <c r="J54" s="2857"/>
      <c r="K54" s="2538">
        <v>3</v>
      </c>
      <c r="L54" s="3329" t="s">
        <v>2768</v>
      </c>
      <c r="M54" s="3329"/>
      <c r="N54" s="2540">
        <f t="shared" si="1"/>
        <v>0</v>
      </c>
      <c r="O54" s="2538" t="str">
        <f t="shared" si="1"/>
        <v>增值额×税（费）率</v>
      </c>
      <c r="P54" s="2542" t="str">
        <f t="shared" si="1"/>
        <v>免征</v>
      </c>
      <c r="Q54" s="1308"/>
    </row>
    <row r="55" spans="1:17" ht="24" customHeight="1">
      <c r="A55" s="3259" t="s">
        <v>1807</v>
      </c>
      <c r="B55" s="3260"/>
      <c r="C55" s="3260"/>
      <c r="D55" s="12">
        <f>IF(H55="个人住宅",0,ROUND(D45*I55,0))</f>
        <v>0</v>
      </c>
      <c r="E55" s="2092" t="s">
        <v>1808</v>
      </c>
      <c r="F55" s="2577" t="str">
        <f>IF(H55="正常",I55,"免征")</f>
        <v>免征</v>
      </c>
      <c r="G55" s="2578"/>
      <c r="H55" s="2569" t="s">
        <v>2749</v>
      </c>
      <c r="I55" s="74">
        <f>'数据-取费表'!E37</f>
        <v>5.0000000000000001E-4</v>
      </c>
      <c r="J55" s="2857"/>
      <c r="K55" s="2538" t="str">
        <f>IF(H59="非个人房产","",4)</f>
        <v/>
      </c>
      <c r="L55" s="3329" t="str">
        <f>IF(H59="非个人房产","——","个人所得税")</f>
        <v>——</v>
      </c>
      <c r="M55" s="3329"/>
      <c r="N55" s="2543" t="str">
        <f>D59</f>
        <v>——</v>
      </c>
      <c r="O55" s="2544" t="str">
        <f>E59</f>
        <v>——</v>
      </c>
      <c r="P55" s="2545" t="str">
        <f>F59</f>
        <v>——</v>
      </c>
      <c r="Q55" s="1308"/>
    </row>
    <row r="56" spans="1:17" ht="24.75">
      <c r="A56" s="3259" t="s">
        <v>1810</v>
      </c>
      <c r="B56" s="3260"/>
      <c r="C56" s="3260"/>
      <c r="D56" s="12">
        <f>IF(H56="个人住宅",D57,D58)</f>
        <v>0</v>
      </c>
      <c r="E56" s="2092" t="s">
        <v>1811</v>
      </c>
      <c r="F56" s="2577" t="str">
        <f>IF(H56="正常",F58,"免征")</f>
        <v>免征</v>
      </c>
      <c r="G56" s="2579" t="s">
        <v>1812</v>
      </c>
      <c r="H56" s="2580" t="s">
        <v>2749</v>
      </c>
      <c r="I56" s="2984"/>
      <c r="J56" s="2857"/>
      <c r="K56" s="2538" t="str">
        <f>IF(项目基本情况!I6="上海银行",IF(K55="",4,K55+1),"")</f>
        <v/>
      </c>
      <c r="L56" s="3343" t="str">
        <f>IF(项目基本情况!I6="上海银行","其他处置费用","")</f>
        <v/>
      </c>
      <c r="M56" s="3344"/>
      <c r="N56" s="2540" t="str">
        <f>IF(项目基本情况!I6="上海银行",N69,"")</f>
        <v/>
      </c>
      <c r="O56" s="3343" t="str">
        <f>IF(项目基本情况!I6="上海银行","包含处置中涉及的律师、诉讼、拍卖、评估等费用","")</f>
        <v/>
      </c>
      <c r="P56" s="3355"/>
      <c r="Q56" s="1308"/>
    </row>
    <row r="57" spans="1:17" ht="12.75">
      <c r="A57" s="2082" t="s">
        <v>1787</v>
      </c>
      <c r="B57" s="3261" t="s">
        <v>1813</v>
      </c>
      <c r="C57" s="3300"/>
      <c r="D57" s="2570">
        <v>0</v>
      </c>
      <c r="E57" s="261" t="s">
        <v>1789</v>
      </c>
      <c r="F57" s="235"/>
      <c r="G57" s="2578"/>
      <c r="H57" s="2984"/>
      <c r="I57" s="2984"/>
      <c r="J57" s="2857"/>
      <c r="K57" s="3329">
        <f>IF(AND(K55="",K56=""),4,IF(项目基本情况!I6="上海银行",K56+1,K55+1))</f>
        <v>4</v>
      </c>
      <c r="L57" s="3329" t="s">
        <v>2769</v>
      </c>
      <c r="M57" s="2546" t="s">
        <v>2770</v>
      </c>
      <c r="N57" s="2547"/>
      <c r="O57" s="2548">
        <f ca="1">SUMIF(N52:N56,"&lt;9e307")</f>
        <v>187555</v>
      </c>
      <c r="P57" s="2549"/>
      <c r="Q57" s="1306" t="e">
        <f ca="1">O57/N49</f>
        <v>#VALUE!</v>
      </c>
    </row>
    <row r="58" spans="1:17" ht="24.75">
      <c r="A58" s="2082" t="s">
        <v>1798</v>
      </c>
      <c r="B58" s="3261" t="s">
        <v>1816</v>
      </c>
      <c r="C58" s="3299"/>
      <c r="D58" s="12">
        <f ca="1">IF(H58="转让取得",C81,C97)</f>
        <v>1990430</v>
      </c>
      <c r="E58" s="2092" t="s">
        <v>1811</v>
      </c>
      <c r="F58" s="235" t="s">
        <v>48</v>
      </c>
      <c r="G58" s="2578"/>
      <c r="H58" s="2580" t="s">
        <v>1817</v>
      </c>
      <c r="I58" s="2984"/>
      <c r="J58" s="2857"/>
      <c r="K58" s="3329"/>
      <c r="L58" s="3329"/>
      <c r="M58" s="2546" t="s">
        <v>2771</v>
      </c>
      <c r="N58" s="2550"/>
      <c r="O58" s="2551" t="str">
        <f ca="1">IF(H19="元",NUMBERSTRING(INT(O57),2)&amp;"元整",NUMBERSTRING(INT(O57*10000),2)&amp;"元整")</f>
        <v>壹拾捌万柒仟伍佰伍拾伍元整</v>
      </c>
      <c r="P58" s="2552"/>
      <c r="Q58" s="1308"/>
    </row>
    <row r="59" spans="1:17" ht="24.75" thickBot="1">
      <c r="A59" s="3283" t="s">
        <v>1819</v>
      </c>
      <c r="B59" s="3284"/>
      <c r="C59" s="3284"/>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2824</v>
      </c>
      <c r="H59" s="2096" t="s">
        <v>2834</v>
      </c>
      <c r="I59" s="2886" t="s">
        <v>2835</v>
      </c>
      <c r="J59" s="2857"/>
      <c r="K59" s="3327">
        <f>K57+1</f>
        <v>5</v>
      </c>
      <c r="L59" s="3329" t="s">
        <v>2772</v>
      </c>
      <c r="M59" s="2538" t="s">
        <v>2770</v>
      </c>
      <c r="N59" s="2553"/>
      <c r="O59" s="2554" t="e">
        <f ca="1">N49-O57</f>
        <v>#VALUE!</v>
      </c>
      <c r="P59" s="2555"/>
      <c r="Q59" s="1308"/>
    </row>
    <row r="60" spans="1:17" ht="12" customHeight="1">
      <c r="A60" s="1457"/>
      <c r="B60" s="1461"/>
      <c r="C60" s="1461"/>
      <c r="D60" s="1461"/>
      <c r="E60" s="812"/>
      <c r="F60" s="2985"/>
      <c r="G60" s="2985"/>
      <c r="H60" s="2986"/>
      <c r="I60" s="31"/>
      <c r="K60" s="3328"/>
      <c r="L60" s="3329"/>
      <c r="M60" s="2546" t="s">
        <v>2771</v>
      </c>
      <c r="N60" s="2550"/>
      <c r="O60" s="2551" t="e">
        <f ca="1">IF(H19="元",NUMBERSTRING(INT(O59),2)&amp;"元整",NUMBERSTRING(INT(O59*10000),2)&amp;"元整")</f>
        <v>#VALUE!</v>
      </c>
      <c r="P60" s="2552"/>
      <c r="Q60" s="1308"/>
    </row>
    <row r="61" spans="1:17" ht="13.5" thickBot="1">
      <c r="A61" s="3309" t="s">
        <v>1821</v>
      </c>
      <c r="B61" s="3309"/>
      <c r="C61" s="3309"/>
      <c r="D61" s="3309"/>
      <c r="E61" s="3309"/>
      <c r="F61" s="2985"/>
      <c r="G61" s="2985"/>
      <c r="H61" s="2987"/>
      <c r="I61" s="31"/>
      <c r="K61" s="2538">
        <f>K59+1</f>
        <v>6</v>
      </c>
      <c r="L61" s="3329" t="s">
        <v>2773</v>
      </c>
      <c r="M61" s="3329"/>
      <c r="N61" s="2556"/>
      <c r="O61" s="2557" t="e">
        <f ca="1">IF(H19="元",ROUND(O59/项目基本情况!C12,0),ROUND(O59*10000/项目基本情况!C12,0))</f>
        <v>#VALUE!</v>
      </c>
      <c r="P61" s="2558"/>
      <c r="Q61" s="1308"/>
    </row>
    <row r="62" spans="1:17" ht="12.75">
      <c r="A62" s="3318" t="s">
        <v>1823</v>
      </c>
      <c r="B62" s="3319"/>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3349200</v>
      </c>
      <c r="D63" s="47"/>
      <c r="E63" s="48"/>
      <c r="F63" s="2985"/>
      <c r="G63" s="2985"/>
      <c r="H63" s="2987"/>
      <c r="I63" s="31"/>
      <c r="K63" s="3345" t="s">
        <v>2774</v>
      </c>
      <c r="L63" s="2560" t="s">
        <v>2775</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3516660</v>
      </c>
      <c r="D64" s="50" t="s">
        <v>41</v>
      </c>
      <c r="E64" s="52"/>
      <c r="F64" s="2985"/>
      <c r="G64" s="2985"/>
      <c r="H64" s="2987"/>
      <c r="I64" s="31"/>
      <c r="K64" s="3345"/>
      <c r="L64" s="2560" t="s">
        <v>2776</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2777</v>
      </c>
      <c r="P64" s="2559"/>
      <c r="Q64" s="1308"/>
    </row>
    <row r="65" spans="1:36" ht="12.75">
      <c r="A65" s="49" t="s">
        <v>72</v>
      </c>
      <c r="B65" s="50" t="s">
        <v>1832</v>
      </c>
      <c r="C65" s="2790"/>
      <c r="D65" s="50"/>
      <c r="E65" s="52"/>
      <c r="F65" s="2985"/>
      <c r="G65" s="2985"/>
      <c r="H65" s="2987"/>
      <c r="I65" s="31"/>
      <c r="K65" s="3345"/>
      <c r="L65" s="2560" t="s">
        <v>2778</v>
      </c>
      <c r="M65" s="2560" t="e">
        <f>IF(N49&gt;1000,N49*0.1%,IF(AND(N49&gt;500,N49&lt;=1000),N49*0.5%,IF(AND(N49&gt;50,N49&lt;=500),N49*1%,IF(AND(N49&gt;1,N49&lt;=50),N49*1.5%))))</f>
        <v>#VALUE!</v>
      </c>
      <c r="N65" s="2561" t="e">
        <f t="shared" si="2"/>
        <v>#VALUE!</v>
      </c>
      <c r="O65" s="2559" t="s">
        <v>2777</v>
      </c>
      <c r="P65" s="2559"/>
      <c r="Q65" s="1308"/>
    </row>
    <row r="66" spans="1:36" ht="12.75">
      <c r="A66" s="53" t="s">
        <v>47</v>
      </c>
      <c r="B66" s="54" t="s">
        <v>1834</v>
      </c>
      <c r="C66" s="2791"/>
      <c r="D66" s="54" t="s">
        <v>41</v>
      </c>
      <c r="E66" s="1316" t="s">
        <v>1835</v>
      </c>
      <c r="F66" s="2985"/>
      <c r="G66" s="2985"/>
      <c r="H66" s="2987"/>
      <c r="I66" s="31"/>
      <c r="K66" s="3345"/>
      <c r="L66" s="2560" t="s">
        <v>2779</v>
      </c>
      <c r="M66" s="2560" t="e">
        <f>N49*0.5%</f>
        <v>#VALUE!</v>
      </c>
      <c r="N66" s="2561" t="e">
        <f>IF(M66&gt;0.5,0.5,ROUND(M66,0))</f>
        <v>#VALUE!</v>
      </c>
      <c r="O66" s="2559" t="s">
        <v>2780</v>
      </c>
      <c r="P66" s="2559"/>
      <c r="Q66" s="1308"/>
    </row>
    <row r="67" spans="1:36" ht="12.75">
      <c r="A67" s="53" t="s">
        <v>42</v>
      </c>
      <c r="B67" s="54" t="s">
        <v>1838</v>
      </c>
      <c r="C67" s="2792">
        <f ca="1">C63-C66</f>
        <v>3349200</v>
      </c>
      <c r="D67" s="50" t="s">
        <v>41</v>
      </c>
      <c r="E67" s="52"/>
      <c r="F67" s="2985"/>
      <c r="G67" s="2985"/>
      <c r="H67" s="2987"/>
      <c r="I67" s="31"/>
      <c r="K67" s="3345"/>
      <c r="L67" s="2560" t="s">
        <v>2781</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187555</v>
      </c>
      <c r="D68" s="2244">
        <f>'数据-取费表'!E29</f>
        <v>5.6000000000000001E-2</v>
      </c>
      <c r="E68" s="57"/>
      <c r="F68" s="2985"/>
      <c r="G68" s="2985"/>
      <c r="H68" s="2987"/>
      <c r="I68" s="31"/>
      <c r="K68" s="3345"/>
      <c r="L68" s="2560" t="s">
        <v>2782</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45"/>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1" t="s">
        <v>1843</v>
      </c>
      <c r="B70" s="3322"/>
      <c r="C70" s="3322"/>
      <c r="D70" s="3322"/>
      <c r="E70" s="3322"/>
      <c r="F70" s="3322"/>
      <c r="G70" s="3322"/>
      <c r="H70" s="3322"/>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8" t="s">
        <v>1823</v>
      </c>
      <c r="B71" s="3319"/>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3349200</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20095</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61" t="s">
        <v>1853</v>
      </c>
      <c r="F76" s="3299"/>
      <c r="G76" s="3299"/>
      <c r="H76" s="3313"/>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20095</v>
      </c>
      <c r="D78" s="2801">
        <f>'数据-取费表'!E31</f>
        <v>6.000000000000001E-3</v>
      </c>
      <c r="E78" s="3293" t="s">
        <v>1858</v>
      </c>
      <c r="F78" s="3294"/>
      <c r="G78" s="3294"/>
      <c r="H78" s="3295"/>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3329105</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165.66832545409306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1990430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1" t="s">
        <v>1862</v>
      </c>
      <c r="B83" s="3322"/>
      <c r="C83" s="3322"/>
      <c r="D83" s="3322"/>
      <c r="E83" s="3322"/>
      <c r="F83" s="3322"/>
      <c r="G83" s="3322"/>
      <c r="H83" s="3322"/>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8" t="s">
        <v>1823</v>
      </c>
      <c r="B84" s="3319"/>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3349200</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20095</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54" t="s">
        <v>2744</v>
      </c>
      <c r="H90" s="3354"/>
      <c r="I90" s="9"/>
      <c r="J90" s="2860"/>
      <c r="K90" s="2976"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93" t="s">
        <v>1870</v>
      </c>
      <c r="F91" s="3294"/>
      <c r="G91" s="3294"/>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93" t="s">
        <v>1873</v>
      </c>
      <c r="F92" s="3294"/>
      <c r="G92" s="3294"/>
      <c r="H92" s="3295"/>
      <c r="I92" s="9"/>
      <c r="J92" s="2860"/>
      <c r="K92" s="2977"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20095</v>
      </c>
      <c r="D93" s="2801">
        <f>'数据-取费表'!E31</f>
        <v>6.000000000000001E-3</v>
      </c>
      <c r="E93" s="3293" t="s">
        <v>1858</v>
      </c>
      <c r="F93" s="3294"/>
      <c r="G93" s="3294"/>
      <c r="H93" s="3295"/>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93" t="s">
        <v>1875</v>
      </c>
      <c r="F94" s="3294"/>
      <c r="G94" s="3294"/>
      <c r="H94" s="3295"/>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3329105</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165.66832545409306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1990430</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40" t="s">
        <v>1877</v>
      </c>
      <c r="B99" s="3341"/>
      <c r="C99" s="3341"/>
      <c r="D99" s="3342"/>
      <c r="E99" s="1461"/>
      <c r="F99" s="3349" t="s">
        <v>1878</v>
      </c>
      <c r="G99" s="3350"/>
      <c r="H99" s="3350"/>
      <c r="I99" s="3351"/>
      <c r="J99" s="2863"/>
    </row>
    <row r="100" spans="1:36" ht="15">
      <c r="A100" s="3352" t="s">
        <v>1879</v>
      </c>
      <c r="B100" s="3353"/>
      <c r="C100" s="1307" t="str">
        <f>C4</f>
        <v>比较法-住宅</v>
      </c>
      <c r="D100" s="2811" t="str">
        <f>D4</f>
        <v>比较法-住宅</v>
      </c>
      <c r="E100" s="1461"/>
      <c r="F100" s="3264" t="s">
        <v>2788</v>
      </c>
      <c r="G100" s="3265"/>
      <c r="H100" s="3264" t="s">
        <v>2789</v>
      </c>
      <c r="I100" s="3263"/>
      <c r="J100" s="2864"/>
    </row>
    <row r="101" spans="1:36" ht="12.75">
      <c r="A101" s="3332" t="s">
        <v>2821</v>
      </c>
      <c r="B101" s="2309" t="str">
        <f>IF(H19="元","总价（元）","总价（万元）")</f>
        <v>总价（元）</v>
      </c>
      <c r="C101" s="1307">
        <f ca="1">C19</f>
        <v>3516660</v>
      </c>
      <c r="D101" s="2811">
        <f ca="1">D19</f>
        <v>3516660</v>
      </c>
      <c r="E101" s="1461"/>
      <c r="F101" s="3264" t="str">
        <f>项目基本情况!I1</f>
        <v>北京市房地产</v>
      </c>
      <c r="G101" s="3265"/>
      <c r="H101" s="3262">
        <f>项目基本情况!C12</f>
        <v>90</v>
      </c>
      <c r="I101" s="3263"/>
      <c r="J101" s="2864"/>
    </row>
    <row r="102" spans="1:36" ht="12.75">
      <c r="A102" s="3332"/>
      <c r="B102" s="2309" t="s">
        <v>2822</v>
      </c>
      <c r="C102" s="2812">
        <f ca="1">C20</f>
        <v>39074</v>
      </c>
      <c r="D102" s="2813">
        <f ca="1">D20</f>
        <v>39074</v>
      </c>
      <c r="E102" s="1461"/>
      <c r="F102" s="3274" t="s">
        <v>2818</v>
      </c>
      <c r="G102" s="3275"/>
      <c r="H102" s="2821" t="str">
        <f>C106</f>
        <v>总价（元）</v>
      </c>
      <c r="I102" s="2822">
        <f ca="1">H121</f>
        <v>3516660</v>
      </c>
      <c r="J102" s="2864"/>
    </row>
    <row r="103" spans="1:36" ht="12.75">
      <c r="A103" s="3332" t="s">
        <v>2823</v>
      </c>
      <c r="B103" s="2247" t="str">
        <f>B101</f>
        <v>总价（元）</v>
      </c>
      <c r="C103" s="2816">
        <f ca="1">H121</f>
        <v>3516660</v>
      </c>
      <c r="D103" s="2814"/>
      <c r="E103" s="1461"/>
      <c r="F103" s="3274"/>
      <c r="G103" s="3275"/>
      <c r="H103" s="2821" t="s">
        <v>2791</v>
      </c>
      <c r="I103" s="52">
        <f ca="1">I121</f>
        <v>39074</v>
      </c>
      <c r="J103" s="2848"/>
    </row>
    <row r="104" spans="1:36" ht="13.5" thickBot="1">
      <c r="A104" s="3333"/>
      <c r="B104" s="2818" t="s">
        <v>2822</v>
      </c>
      <c r="C104" s="2819">
        <f ca="1">I121</f>
        <v>39074</v>
      </c>
      <c r="D104" s="2820"/>
      <c r="E104" s="1461"/>
      <c r="F104" s="3274"/>
      <c r="G104" s="3275"/>
      <c r="H104" s="3334"/>
      <c r="I104" s="3335"/>
      <c r="J104" s="2865"/>
    </row>
    <row r="105" spans="1:36" ht="15">
      <c r="A105" s="3340" t="s">
        <v>1880</v>
      </c>
      <c r="B105" s="3341"/>
      <c r="C105" s="3341"/>
      <c r="D105" s="3342"/>
      <c r="E105" s="1461"/>
      <c r="F105" s="3338" t="s">
        <v>2792</v>
      </c>
      <c r="G105" s="3339"/>
      <c r="H105" s="2823" t="str">
        <f>C108</f>
        <v>总额（元）</v>
      </c>
      <c r="I105" s="2822">
        <f>SUMIF(I106:I108,"&lt;9E307")</f>
        <v>0</v>
      </c>
      <c r="J105" s="2864"/>
    </row>
    <row r="106" spans="1:36" ht="14.25">
      <c r="A106" s="3274" t="s">
        <v>2815</v>
      </c>
      <c r="B106" s="3275"/>
      <c r="C106" s="2821" t="str">
        <f>B101</f>
        <v>总价（元）</v>
      </c>
      <c r="D106" s="2822">
        <f ca="1">H121</f>
        <v>3516660</v>
      </c>
      <c r="E106" s="1461"/>
      <c r="F106" s="3276" t="s">
        <v>2793</v>
      </c>
      <c r="G106" s="3277"/>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74"/>
      <c r="B107" s="3275"/>
      <c r="C107" s="2821" t="s">
        <v>2816</v>
      </c>
      <c r="D107" s="52">
        <f ca="1">I121</f>
        <v>39074</v>
      </c>
      <c r="E107" s="1461"/>
      <c r="F107" s="3276" t="s">
        <v>2794</v>
      </c>
      <c r="G107" s="3277"/>
      <c r="H107" s="2823" t="str">
        <f>C110</f>
        <v>总额（元）</v>
      </c>
      <c r="I107" s="52">
        <f>C37</f>
        <v>0</v>
      </c>
      <c r="J107" s="2848"/>
    </row>
    <row r="108" spans="1:36" ht="12.75">
      <c r="A108" s="3281" t="s">
        <v>2792</v>
      </c>
      <c r="B108" s="3282"/>
      <c r="C108" s="2823" t="str">
        <f>IF(H19="元","总额（元）","总额（万元）")</f>
        <v>总额（元）</v>
      </c>
      <c r="D108" s="2822">
        <f>IF(D36="正常操作",I106+I107+I108,I107+I108)</f>
        <v>0</v>
      </c>
      <c r="E108" s="1461"/>
      <c r="F108" s="3276" t="s">
        <v>2819</v>
      </c>
      <c r="G108" s="3277"/>
      <c r="H108" s="2823" t="str">
        <f>C111</f>
        <v>总额（元）</v>
      </c>
      <c r="I108" s="52">
        <f>C38</f>
        <v>0</v>
      </c>
      <c r="J108" s="2848"/>
    </row>
    <row r="109" spans="1:36" ht="12.75">
      <c r="A109" s="3276" t="s">
        <v>2793</v>
      </c>
      <c r="B109" s="3277"/>
      <c r="C109" s="2823" t="str">
        <f>C108</f>
        <v>总额（元）</v>
      </c>
      <c r="D109" s="52">
        <f>IF(D36="同一抵押权人同一抵押物续贷",C36&amp;"（未扣减，详见特别提示）",C36)</f>
        <v>0</v>
      </c>
      <c r="E109" s="1461"/>
      <c r="F109" s="3274"/>
      <c r="G109" s="3275"/>
      <c r="H109" s="3336"/>
      <c r="I109" s="3337"/>
      <c r="J109" s="2866"/>
    </row>
    <row r="110" spans="1:36" ht="28.5" customHeight="1">
      <c r="A110" s="3276" t="s">
        <v>2817</v>
      </c>
      <c r="B110" s="3277"/>
      <c r="C110" s="2823" t="str">
        <f>C108</f>
        <v>总额（元）</v>
      </c>
      <c r="D110" s="52">
        <f>C37</f>
        <v>0</v>
      </c>
      <c r="E110" s="1461"/>
      <c r="F110" s="3266" t="str">
        <f>IF(项目基本情况!F5="已注销","——","3.房地产抵押价值")</f>
        <v>3.房地产抵押价值</v>
      </c>
      <c r="G110" s="3267"/>
      <c r="H110" s="2809" t="str">
        <f>C112</f>
        <v>总价（元）</v>
      </c>
      <c r="I110" s="2822">
        <f ca="1">IF(F110="——","——",I102-I105)</f>
        <v>3516660</v>
      </c>
      <c r="J110" s="2864"/>
    </row>
    <row r="111" spans="1:36" ht="12.75">
      <c r="A111" s="3276" t="s">
        <v>2796</v>
      </c>
      <c r="B111" s="3277"/>
      <c r="C111" s="2823" t="str">
        <f>C108</f>
        <v>总额（元）</v>
      </c>
      <c r="D111" s="52">
        <f>C38</f>
        <v>0</v>
      </c>
      <c r="E111" s="1461"/>
      <c r="F111" s="3365"/>
      <c r="G111" s="3366"/>
      <c r="H111" s="2821" t="s">
        <v>2791</v>
      </c>
      <c r="I111" s="2825">
        <f ca="1">D113</f>
        <v>39074</v>
      </c>
      <c r="J111" s="2867"/>
    </row>
    <row r="112" spans="1:36" ht="26.25" customHeight="1">
      <c r="A112" s="3274" t="str">
        <f>IF(项目基本情况!F5="已注销","——","3.房地产抵押价值")</f>
        <v>3.房地产抵押价值</v>
      </c>
      <c r="B112" s="3275"/>
      <c r="C112" s="2821" t="str">
        <f>B101</f>
        <v>总价（元）</v>
      </c>
      <c r="D112" s="2822">
        <f ca="1">IF(A112="——","——",D106-D108)</f>
        <v>3516660</v>
      </c>
      <c r="E112" s="1461"/>
      <c r="F112" s="3266" t="str">
        <f>IF(项目基本情况!F5="已注销及未注销","4.抵押担保权已注销时的房地产抵押价值",IF(项目基本情况!F5="已注销","3.抵押担保权已注销时的房地产抵押价值","——"))</f>
        <v>——</v>
      </c>
      <c r="G112" s="3267"/>
      <c r="H112" s="2809" t="str">
        <f>C114</f>
        <v>总价（元）</v>
      </c>
      <c r="I112" s="2822" t="str">
        <f>IF(F112="——","——",I102-I107-I108)</f>
        <v>——</v>
      </c>
      <c r="J112" s="2864"/>
    </row>
    <row r="113" spans="1:16" ht="12.75">
      <c r="A113" s="3274"/>
      <c r="B113" s="3275"/>
      <c r="C113" s="2821" t="s">
        <v>2784</v>
      </c>
      <c r="D113" s="52">
        <f ca="1">ROUND(IF(D112=D106,D107,IF(H19="元",D112/项目基本情况!C12,D112*10000/项目基本情况!C12)),0)</f>
        <v>39074</v>
      </c>
      <c r="E113" s="1461"/>
      <c r="F113" s="3365"/>
      <c r="G113" s="3366"/>
      <c r="H113" s="2821" t="s">
        <v>2820</v>
      </c>
      <c r="I113" s="52" t="str">
        <f>D115</f>
        <v>——</v>
      </c>
      <c r="J113" s="2848"/>
    </row>
    <row r="114" spans="1:16" ht="12.75">
      <c r="A114" s="3274" t="str">
        <f>IF(项目基本情况!F5="已注销及未注销","4.抵押担保权已注销时的房地产抵押价值",IF(项目基本情况!F5="已注销","3.抵押担保权已注销时的房地产抵押价值","——"))</f>
        <v>——</v>
      </c>
      <c r="B114" s="3275"/>
      <c r="C114" s="2821" t="str">
        <f>B101</f>
        <v>总价（元）</v>
      </c>
      <c r="D114" s="2822" t="str">
        <f>IF(A114="——","——",D106-D110-D111)</f>
        <v>——</v>
      </c>
      <c r="E114" s="1461"/>
      <c r="F114" s="3266" t="str">
        <f>IF(项目基本情况!G5="抵押净值",IF(OR(项目基本情况!F5="已注销",项目基本情况!F5="房地产抵押价值"),"4.抵押净值","5.抵押净值"),"——")</f>
        <v>——</v>
      </c>
      <c r="G114" s="3267"/>
      <c r="H114" s="2821" t="str">
        <f>C116</f>
        <v>总价（元）</v>
      </c>
      <c r="I114" s="2822" t="str">
        <f>IF(F114="——","——",O59)</f>
        <v>——</v>
      </c>
      <c r="J114" s="2864"/>
    </row>
    <row r="115" spans="1:16" ht="13.5" thickBot="1">
      <c r="A115" s="3274"/>
      <c r="B115" s="3275"/>
      <c r="C115" s="2821" t="s">
        <v>2784</v>
      </c>
      <c r="D115" s="52" t="str">
        <f>IF(A114="——","——",ROUND(IF(D114=D106,D107,IF(H19="元",D114/项目基本情况!C12,D114*10000/项目基本情况!C12)),0))</f>
        <v>——</v>
      </c>
      <c r="E115" s="1461"/>
      <c r="F115" s="3268"/>
      <c r="G115" s="3269"/>
      <c r="H115" s="2826" t="s">
        <v>2784</v>
      </c>
      <c r="I115" s="2810" t="str">
        <f ca="1">D117</f>
        <v>——</v>
      </c>
      <c r="J115" s="2848"/>
    </row>
    <row r="116" spans="1:16" ht="15.75">
      <c r="A116" s="3274" t="str">
        <f>IF(项目基本情况!G5="抵押净值",IF(OR(项目基本情况!F5="已注销",项目基本情况!F5="房地产抵押价值"),"4.抵押净值","5.抵押净值"),"——")</f>
        <v>——</v>
      </c>
      <c r="B116" s="3275"/>
      <c r="C116" s="2821" t="str">
        <f>B101</f>
        <v>总价（元）</v>
      </c>
      <c r="D116" s="2822" t="str">
        <f>IF(A116="——","——",O59)</f>
        <v>——</v>
      </c>
      <c r="E116" s="1461"/>
      <c r="F116" s="3360"/>
      <c r="G116" s="3360"/>
      <c r="H116" s="3324"/>
      <c r="I116" s="3324"/>
      <c r="J116" s="2868"/>
      <c r="O116" s="32"/>
      <c r="P116" s="32"/>
    </row>
    <row r="117" spans="1:16" ht="13.5" thickBot="1">
      <c r="A117" s="3279"/>
      <c r="B117" s="3280"/>
      <c r="C117" s="2826" t="s">
        <v>2784</v>
      </c>
      <c r="D117" s="2810" t="str">
        <f ca="1">IF(D116=D112,D113,IF(A116="——","——",O61))</f>
        <v>——</v>
      </c>
      <c r="E117" s="1461"/>
      <c r="F117" s="3258" t="str">
        <f>IF(B32="总价","（以上估价结果中单价为总价除以建筑面积得出）","（以上估价结果中总价为楼面单价乘以建筑面积得出）")</f>
        <v>（以上估价结果中总价为楼面单价乘以建筑面积得出）</v>
      </c>
      <c r="G117" s="3258"/>
      <c r="H117" s="3258"/>
      <c r="I117" s="3258"/>
      <c r="J117" s="2869"/>
      <c r="O117" s="32"/>
      <c r="P117" s="32"/>
    </row>
    <row r="118" spans="1:16" ht="15">
      <c r="A118" s="3325" t="s">
        <v>1881</v>
      </c>
      <c r="B118" s="3326"/>
      <c r="C118" s="3326"/>
      <c r="D118" s="3326"/>
      <c r="E118" s="3326"/>
      <c r="F118" s="3326"/>
      <c r="G118" s="3326"/>
      <c r="H118" s="3326"/>
      <c r="I118" s="3326"/>
      <c r="J118" s="2870"/>
    </row>
    <row r="119" spans="1:16" ht="12.75">
      <c r="A119" s="3259" t="s">
        <v>2802</v>
      </c>
      <c r="B119" s="3285" t="s">
        <v>2812</v>
      </c>
      <c r="C119" s="3285" t="s">
        <v>2813</v>
      </c>
      <c r="D119" s="3347" t="s">
        <v>2804</v>
      </c>
      <c r="E119" s="3348"/>
      <c r="F119" s="3260" t="s">
        <v>2814</v>
      </c>
      <c r="G119" s="3260"/>
      <c r="H119" s="3260" t="s">
        <v>2805</v>
      </c>
      <c r="I119" s="3346"/>
      <c r="J119" s="2848"/>
    </row>
    <row r="120" spans="1:16" ht="12.75">
      <c r="A120" s="3259"/>
      <c r="B120" s="3286"/>
      <c r="C120" s="3286"/>
      <c r="D120" s="2092" t="s">
        <v>2806</v>
      </c>
      <c r="E120" s="2092" t="s">
        <v>2811</v>
      </c>
      <c r="F120" s="2092" t="s">
        <v>2806</v>
      </c>
      <c r="G120" s="2092" t="s">
        <v>2807</v>
      </c>
      <c r="H120" s="2092" t="s">
        <v>2806</v>
      </c>
      <c r="I120" s="52" t="s">
        <v>2807</v>
      </c>
      <c r="J120" s="2848"/>
    </row>
    <row r="121" spans="1:16" ht="12.75">
      <c r="A121" s="2082" t="str">
        <f>项目基本情况!I1</f>
        <v>北京市房地产</v>
      </c>
      <c r="B121" s="2092">
        <f>项目基本情况!C12</f>
        <v>90</v>
      </c>
      <c r="C121" s="2092">
        <f>项目基本情况!C13</f>
        <v>0</v>
      </c>
      <c r="D121" s="2092">
        <f ca="1">ROUND(IF(B32="总价",C34,IF('数据-取费表'!B3="万元",E121*B121/10000,E121*B121)),0)</f>
        <v>2795760</v>
      </c>
      <c r="E121" s="2092">
        <f ca="1">ROUND(IF(B32="楼面单价",C34,IF(H19="元",D121/B121,D121*10000/B121)),0)</f>
        <v>31064</v>
      </c>
      <c r="F121" s="2092">
        <f ca="1">ROUND(IF(B32="总价",C35,IF('数据-取费表'!B3="万元",G121*B121/10000,G121*B121)),0)</f>
        <v>720900</v>
      </c>
      <c r="G121" s="2092">
        <f ca="1">ROUND(IF(B32="楼面单价",C35,IF(H19="元",F121/B121,F121*10000/B121)),0)</f>
        <v>8010</v>
      </c>
      <c r="H121" s="2092">
        <f ca="1">ROUND(IF(B32="总价",C32,IF('数据-取费表'!B3="万元",I121*B121/10000,I121*B121)),0)</f>
        <v>3516660</v>
      </c>
      <c r="I121" s="52">
        <f ca="1">ROUND(IF(B32="楼面单价",C32,IF(H19="元",H121/B121,H121*10000/B121)),0)</f>
        <v>39074</v>
      </c>
      <c r="J121" s="2848"/>
    </row>
    <row r="122" spans="1:16" ht="12.75">
      <c r="A122" s="3259" t="s">
        <v>2808</v>
      </c>
      <c r="B122" s="3260"/>
      <c r="C122" s="3260"/>
      <c r="D122" s="3287" t="str">
        <f ca="1">IF(H19="元",NUMBERSTRING(INT(D121),2)&amp;"元整",NUMBERSTRING(INT(D121*10000),2)&amp;"元整")</f>
        <v>贰佰柒拾玖万伍仟柒佰陆拾元整</v>
      </c>
      <c r="E122" s="3330"/>
      <c r="F122" s="3287" t="str">
        <f ca="1">IF(H19="元",NUMBERSTRING(INT(F121),2)&amp;"元整",NUMBERSTRING(INT(F121*10000),2)&amp;"元整")</f>
        <v>柒拾贰万零玖佰元整</v>
      </c>
      <c r="G122" s="3330"/>
      <c r="H122" s="3287" t="str">
        <f ca="1">IF(H19="元",NUMBERSTRING(INT(H121),2)&amp;"元整",NUMBERSTRING(INT(H121*10000),2)&amp;"元整")</f>
        <v>叁佰伍拾壹万陆仟陆佰陆拾元整</v>
      </c>
      <c r="I122" s="3288"/>
      <c r="J122" s="2871"/>
    </row>
    <row r="123" spans="1:16" ht="12.75">
      <c r="A123" s="3264" t="str">
        <f>IF(项目基本情况!D5="房地产市场价值","——",MID(A108,3,LEN(A108)-2))</f>
        <v>——</v>
      </c>
      <c r="B123" s="3270"/>
      <c r="C123" s="3265"/>
      <c r="D123" s="3262">
        <f>I105</f>
        <v>0</v>
      </c>
      <c r="E123" s="3270"/>
      <c r="F123" s="3270"/>
      <c r="G123" s="3270"/>
      <c r="H123" s="3270"/>
      <c r="I123" s="3263"/>
      <c r="J123" s="2864"/>
    </row>
    <row r="124" spans="1:16" ht="12.75">
      <c r="A124" s="3331" t="s">
        <v>2808</v>
      </c>
      <c r="B124" s="3299"/>
      <c r="C124" s="3300"/>
      <c r="D124" s="3271">
        <f>H109</f>
        <v>0</v>
      </c>
      <c r="E124" s="3272"/>
      <c r="F124" s="3272"/>
      <c r="G124" s="3272"/>
      <c r="H124" s="3272"/>
      <c r="I124" s="3273"/>
      <c r="J124" s="2872"/>
    </row>
    <row r="125" spans="1:16" ht="12.75">
      <c r="A125" s="3274" t="str">
        <f>IF(项目基本情况!D5="房地产市场价值","——",MID(A112,3,LEN(A112)-2))</f>
        <v>——</v>
      </c>
      <c r="B125" s="3275"/>
      <c r="C125" s="3275"/>
      <c r="D125" s="3262">
        <f ca="1">I110</f>
        <v>3516660</v>
      </c>
      <c r="E125" s="3270"/>
      <c r="F125" s="3270"/>
      <c r="G125" s="3270"/>
      <c r="H125" s="3270"/>
      <c r="I125" s="3263"/>
      <c r="J125" s="2864"/>
    </row>
    <row r="126" spans="1:16" ht="12.75">
      <c r="A126" s="3259" t="s">
        <v>2808</v>
      </c>
      <c r="B126" s="3260"/>
      <c r="C126" s="3260"/>
      <c r="D126" s="3271">
        <f ca="1">I111</f>
        <v>39074</v>
      </c>
      <c r="E126" s="3272"/>
      <c r="F126" s="3272"/>
      <c r="G126" s="3272"/>
      <c r="H126" s="3272"/>
      <c r="I126" s="3273"/>
      <c r="J126" s="2872"/>
    </row>
    <row r="127" spans="1:16" ht="13.5" thickBot="1">
      <c r="A127" s="3274" t="str">
        <f>IF(项目基本情况!D5="房地产市场价值","——",MID(A114,3,LEN(A114)-2))</f>
        <v>——</v>
      </c>
      <c r="B127" s="3275"/>
      <c r="C127" s="3275"/>
      <c r="D127" s="3307" t="str">
        <f>I112</f>
        <v>——</v>
      </c>
      <c r="E127" s="3308"/>
      <c r="F127" s="3308"/>
      <c r="G127" s="3308"/>
      <c r="H127" s="3308"/>
      <c r="I127" s="3359"/>
      <c r="J127" s="2864"/>
    </row>
    <row r="128" spans="1:16" ht="14.25" thickTop="1" thickBot="1">
      <c r="A128" s="3259" t="s">
        <v>2808</v>
      </c>
      <c r="B128" s="3260"/>
      <c r="C128" s="3261"/>
      <c r="D128" s="3323" t="str">
        <f>I113</f>
        <v>——</v>
      </c>
      <c r="E128" s="3323"/>
      <c r="F128" s="3323"/>
      <c r="G128" s="3323"/>
      <c r="H128" s="3323"/>
      <c r="I128" s="3323"/>
      <c r="J128" s="2872"/>
    </row>
    <row r="129" spans="1:10" ht="14.25" thickTop="1" thickBot="1">
      <c r="A129" s="3274" t="str">
        <f>IF(项目基本情况!D5="房地产市场价值","——",MID(F114,3,LEN(F114)-2))</f>
        <v>——</v>
      </c>
      <c r="B129" s="3275"/>
      <c r="C129" s="3262"/>
      <c r="D129" s="3278" t="str">
        <f>I114</f>
        <v>——</v>
      </c>
      <c r="E129" s="3278"/>
      <c r="F129" s="3278"/>
      <c r="G129" s="3278"/>
      <c r="H129" s="3278"/>
      <c r="I129" s="3278"/>
      <c r="J129" s="2864"/>
    </row>
    <row r="130" spans="1:10" ht="14.25" thickTop="1" thickBot="1">
      <c r="A130" s="3283" t="s">
        <v>2808</v>
      </c>
      <c r="B130" s="3284"/>
      <c r="C130" s="3284"/>
      <c r="D130" s="3289">
        <f>H116</f>
        <v>0</v>
      </c>
      <c r="E130" s="3290"/>
      <c r="F130" s="3290"/>
      <c r="G130" s="3290"/>
      <c r="H130" s="3290"/>
      <c r="I130" s="3291"/>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257" t="str">
        <f>IF(B32="总价","（以上估价结果中楼面单价为总价除以建筑面积得出）","（以上估价结果中总价为楼面单价乘以建筑面积得出）")</f>
        <v>（以上估价结果中总价为楼面单价乘以建筑面积得出）</v>
      </c>
      <c r="B132" s="3257"/>
      <c r="C132" s="3257"/>
      <c r="D132" s="3257"/>
      <c r="E132" s="3257"/>
      <c r="F132" s="3257"/>
      <c r="G132" s="3257"/>
      <c r="H132" s="3257"/>
      <c r="I132" s="3257"/>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91" t="s">
        <v>1890</v>
      </c>
      <c r="B2" s="3391"/>
      <c r="C2" s="3391"/>
      <c r="D2" s="3391"/>
      <c r="E2" s="3391"/>
      <c r="F2" s="3391"/>
      <c r="G2" s="3391"/>
      <c r="H2" s="3391"/>
      <c r="I2" s="3391"/>
      <c r="J2" s="2877"/>
    </row>
    <row r="3" spans="1:15" ht="12.75">
      <c r="A3" s="3315" t="s">
        <v>1718</v>
      </c>
      <c r="B3" s="3316"/>
      <c r="C3" s="3316"/>
      <c r="D3" s="3316"/>
      <c r="E3" s="3316"/>
      <c r="F3" s="3316"/>
      <c r="G3" s="3316"/>
      <c r="H3" s="3316"/>
      <c r="I3" s="3316"/>
      <c r="J3" s="2847"/>
    </row>
    <row r="4" spans="1:15" ht="14.25">
      <c r="A4" s="2715" t="s">
        <v>1719</v>
      </c>
      <c r="B4" s="2715" t="s">
        <v>1720</v>
      </c>
      <c r="C4" s="2716"/>
      <c r="D4" s="2716"/>
      <c r="E4" s="3261" t="s">
        <v>1891</v>
      </c>
      <c r="F4" s="3299"/>
      <c r="G4" s="3299"/>
      <c r="H4" s="3299"/>
      <c r="I4" s="3300"/>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2" t="s">
        <v>1722</v>
      </c>
      <c r="B5" s="3292">
        <v>25</v>
      </c>
      <c r="C5" s="3301"/>
      <c r="D5" s="3314"/>
      <c r="E5" s="12" t="s">
        <v>1723</v>
      </c>
      <c r="F5" s="2089"/>
      <c r="G5" s="2089"/>
      <c r="H5" s="2089"/>
      <c r="I5" s="2084"/>
      <c r="J5" s="2848"/>
    </row>
    <row r="6" spans="1:15" ht="12.75">
      <c r="A6" s="3292"/>
      <c r="B6" s="3292"/>
      <c r="C6" s="3317"/>
      <c r="D6" s="3314"/>
      <c r="E6" s="12" t="s">
        <v>1724</v>
      </c>
      <c r="F6" s="2089"/>
      <c r="G6" s="2089"/>
      <c r="H6" s="2089"/>
      <c r="I6" s="2084"/>
      <c r="J6" s="2848"/>
    </row>
    <row r="7" spans="1:15" ht="12.75">
      <c r="A7" s="3292"/>
      <c r="B7" s="3292"/>
      <c r="C7" s="3302"/>
      <c r="D7" s="3314"/>
      <c r="E7" s="12" t="s">
        <v>1725</v>
      </c>
      <c r="F7" s="2089"/>
      <c r="G7" s="2089"/>
      <c r="H7" s="2089"/>
      <c r="I7" s="2084"/>
      <c r="J7" s="2848"/>
    </row>
    <row r="8" spans="1:15" ht="12.75">
      <c r="A8" s="3292" t="s">
        <v>1726</v>
      </c>
      <c r="B8" s="3292">
        <v>15</v>
      </c>
      <c r="C8" s="3301"/>
      <c r="D8" s="3314"/>
      <c r="E8" s="12" t="s">
        <v>1727</v>
      </c>
      <c r="F8" s="2089"/>
      <c r="G8" s="2089"/>
      <c r="H8" s="2089"/>
      <c r="I8" s="2084"/>
      <c r="J8" s="2848"/>
    </row>
    <row r="9" spans="1:15" ht="12.75">
      <c r="A9" s="3292"/>
      <c r="B9" s="3292"/>
      <c r="C9" s="3302"/>
      <c r="D9" s="3314"/>
      <c r="E9" s="12" t="s">
        <v>1728</v>
      </c>
      <c r="F9" s="2089"/>
      <c r="G9" s="2089"/>
      <c r="H9" s="2089"/>
      <c r="I9" s="2084"/>
      <c r="J9" s="2848"/>
    </row>
    <row r="10" spans="1:15" ht="12.75">
      <c r="A10" s="3292" t="s">
        <v>1729</v>
      </c>
      <c r="B10" s="3292">
        <v>15</v>
      </c>
      <c r="C10" s="3301"/>
      <c r="D10" s="3314"/>
      <c r="E10" s="12" t="s">
        <v>1730</v>
      </c>
      <c r="F10" s="2089"/>
      <c r="G10" s="2089"/>
      <c r="H10" s="2089"/>
      <c r="I10" s="2084"/>
      <c r="J10" s="2848"/>
    </row>
    <row r="11" spans="1:15" ht="12.75">
      <c r="A11" s="3292"/>
      <c r="B11" s="3292"/>
      <c r="C11" s="3302"/>
      <c r="D11" s="3314"/>
      <c r="E11" s="12" t="s">
        <v>1731</v>
      </c>
      <c r="F11" s="2089"/>
      <c r="G11" s="2089"/>
      <c r="H11" s="2089"/>
      <c r="I11" s="2084"/>
      <c r="J11" s="2848"/>
    </row>
    <row r="12" spans="1:15" ht="12.75">
      <c r="A12" s="3292" t="s">
        <v>1732</v>
      </c>
      <c r="B12" s="3292">
        <v>15</v>
      </c>
      <c r="C12" s="3301"/>
      <c r="D12" s="3314"/>
      <c r="E12" s="12" t="s">
        <v>1733</v>
      </c>
      <c r="F12" s="2089"/>
      <c r="G12" s="2089"/>
      <c r="H12" s="2089"/>
      <c r="I12" s="2084"/>
      <c r="J12" s="2848"/>
    </row>
    <row r="13" spans="1:15" ht="12.75">
      <c r="A13" s="3292"/>
      <c r="B13" s="3292"/>
      <c r="C13" s="3302"/>
      <c r="D13" s="3314"/>
      <c r="E13" s="12" t="s">
        <v>1734</v>
      </c>
      <c r="F13" s="2089"/>
      <c r="G13" s="2089"/>
      <c r="H13" s="2089"/>
      <c r="I13" s="2084"/>
      <c r="J13" s="2848"/>
    </row>
    <row r="14" spans="1:15" ht="12.75">
      <c r="A14" s="3292" t="s">
        <v>1735</v>
      </c>
      <c r="B14" s="3292">
        <v>30</v>
      </c>
      <c r="C14" s="3301"/>
      <c r="D14" s="3314"/>
      <c r="E14" s="12" t="s">
        <v>1736</v>
      </c>
      <c r="F14" s="2089"/>
      <c r="G14" s="2089"/>
      <c r="H14" s="2089"/>
      <c r="I14" s="2084"/>
      <c r="J14" s="2848"/>
    </row>
    <row r="15" spans="1:15" ht="12.75">
      <c r="A15" s="3292"/>
      <c r="B15" s="3292"/>
      <c r="C15" s="3317"/>
      <c r="D15" s="3314"/>
      <c r="E15" s="12" t="s">
        <v>1737</v>
      </c>
      <c r="F15" s="2089"/>
      <c r="G15" s="2089"/>
      <c r="H15" s="2089"/>
      <c r="I15" s="2084"/>
      <c r="J15" s="2848"/>
    </row>
    <row r="16" spans="1:15" ht="12.75">
      <c r="A16" s="3292"/>
      <c r="B16" s="3292"/>
      <c r="C16" s="3302"/>
      <c r="D16" s="3314"/>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10" t="s">
        <v>2827</v>
      </c>
      <c r="F18" s="3311"/>
      <c r="G18" s="3311"/>
      <c r="H18" s="3311"/>
      <c r="I18" s="3311"/>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03" t="s">
        <v>1747</v>
      </c>
      <c r="B24" s="2723" t="s">
        <v>1742</v>
      </c>
      <c r="C24" s="2726">
        <f>D30</f>
        <v>0</v>
      </c>
      <c r="D24" s="2678"/>
      <c r="E24" s="947"/>
      <c r="F24" s="947"/>
      <c r="G24" s="947"/>
      <c r="H24" s="947"/>
      <c r="I24" s="947"/>
      <c r="J24" s="2849"/>
    </row>
    <row r="25" spans="1:36" ht="21.75" customHeight="1">
      <c r="A25" s="3320"/>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2831</v>
      </c>
      <c r="F30" s="2565"/>
      <c r="G30" s="2565"/>
      <c r="H30" s="2565"/>
      <c r="I30" s="2565"/>
      <c r="J30" s="2849"/>
    </row>
    <row r="31" spans="1:36" s="2842" customFormat="1" ht="27.6"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68" t="s">
        <v>1894</v>
      </c>
      <c r="B32" s="3368"/>
      <c r="C32" s="3368"/>
      <c r="D32" s="3368"/>
      <c r="E32" s="3368"/>
      <c r="F32" s="3368"/>
      <c r="G32" s="3368"/>
      <c r="H32" s="3368"/>
      <c r="I32" s="3368"/>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03" t="s">
        <v>1903</v>
      </c>
      <c r="B38" s="1468" t="s">
        <v>1904</v>
      </c>
      <c r="C38" s="2759"/>
      <c r="D38" s="2760"/>
      <c r="E38" s="1680"/>
      <c r="F38" s="1680"/>
      <c r="G38" s="947"/>
      <c r="H38" s="947"/>
      <c r="I38" s="947"/>
      <c r="J38" s="2849"/>
    </row>
    <row r="39" spans="1:16" ht="15.75" thickBot="1">
      <c r="A39" s="3304"/>
      <c r="B39" s="2094" t="s">
        <v>1905</v>
      </c>
      <c r="C39" s="2761"/>
      <c r="D39" s="1311"/>
      <c r="E39" s="1311"/>
      <c r="F39" s="1680"/>
      <c r="G39" s="1311"/>
      <c r="H39" s="1311"/>
      <c r="I39" s="1311"/>
      <c r="J39" s="2853"/>
    </row>
    <row r="40" spans="1:16" ht="15.75" thickBot="1">
      <c r="A40" s="3305"/>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2826</v>
      </c>
      <c r="J46" s="2879"/>
      <c r="K46" s="1475" t="s">
        <v>1770</v>
      </c>
      <c r="L46" s="1476"/>
      <c r="M46" s="1476"/>
      <c r="N46" s="1476"/>
      <c r="O46" s="1476"/>
      <c r="P46" s="1476"/>
    </row>
    <row r="47" spans="1:16" ht="14.25" customHeight="1" thickBot="1">
      <c r="A47" s="3307" t="s">
        <v>1916</v>
      </c>
      <c r="B47" s="3308"/>
      <c r="C47" s="3267"/>
      <c r="D47" s="246">
        <f>ROUND(I104*F47,0)</f>
        <v>0</v>
      </c>
      <c r="E47" s="1542" t="s">
        <v>1917</v>
      </c>
      <c r="F47" s="2563">
        <v>1</v>
      </c>
      <c r="G47" s="2564" t="s">
        <v>1918</v>
      </c>
      <c r="H47" s="947"/>
      <c r="I47" s="947"/>
      <c r="J47" s="2849"/>
      <c r="K47" s="3393" t="s">
        <v>1774</v>
      </c>
      <c r="L47" s="3393"/>
      <c r="M47" s="3393"/>
      <c r="N47" s="3393"/>
      <c r="O47" s="3393"/>
      <c r="P47" s="3393"/>
    </row>
    <row r="48" spans="1:16" ht="14.25" customHeight="1">
      <c r="A48" s="3296" t="s">
        <v>1775</v>
      </c>
      <c r="B48" s="3297"/>
      <c r="C48" s="3297"/>
      <c r="D48" s="3297"/>
      <c r="E48" s="3297"/>
      <c r="F48" s="3297"/>
      <c r="G48" s="3298"/>
      <c r="H48" s="2981"/>
      <c r="I48" s="947"/>
      <c r="J48" s="2849"/>
      <c r="K48" s="2515">
        <v>1</v>
      </c>
      <c r="L48" s="3388" t="s">
        <v>1776</v>
      </c>
      <c r="M48" s="3388"/>
      <c r="N48" s="3394"/>
      <c r="O48" s="3394"/>
      <c r="P48" s="3394"/>
    </row>
    <row r="49" spans="1:17" ht="12" customHeight="1">
      <c r="A49" s="38" t="s">
        <v>1777</v>
      </c>
      <c r="B49" s="39"/>
      <c r="C49" s="40"/>
      <c r="D49" s="1099" t="s">
        <v>1778</v>
      </c>
      <c r="E49" s="235" t="s">
        <v>1779</v>
      </c>
      <c r="F49" s="41" t="s">
        <v>1780</v>
      </c>
      <c r="G49" s="2566" t="s">
        <v>1781</v>
      </c>
      <c r="H49" s="2981"/>
      <c r="I49" s="947"/>
      <c r="J49" s="2849"/>
      <c r="K49" s="2515">
        <v>2</v>
      </c>
      <c r="L49" s="3388" t="s">
        <v>1782</v>
      </c>
      <c r="M49" s="3388"/>
      <c r="N49" s="3395">
        <f>'数据-取费表'!B2</f>
        <v>44235</v>
      </c>
      <c r="O49" s="3395"/>
      <c r="P49" s="3395"/>
    </row>
    <row r="50" spans="1:17" ht="25.5">
      <c r="A50" s="3306" t="s">
        <v>1783</v>
      </c>
      <c r="B50" s="3260"/>
      <c r="C50" s="3260"/>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88" t="s">
        <v>1786</v>
      </c>
      <c r="M50" s="3388"/>
      <c r="N50" s="3389">
        <f>I104</f>
        <v>0</v>
      </c>
      <c r="O50" s="3389"/>
      <c r="P50" s="3389"/>
    </row>
    <row r="51" spans="1:17" ht="25.5" customHeight="1">
      <c r="A51" s="2091" t="s">
        <v>1787</v>
      </c>
      <c r="B51" s="3299" t="s">
        <v>1788</v>
      </c>
      <c r="C51" s="3299"/>
      <c r="D51" s="2570">
        <v>0</v>
      </c>
      <c r="E51" s="261" t="s">
        <v>1789</v>
      </c>
      <c r="F51" s="2571" t="s">
        <v>48</v>
      </c>
      <c r="G51" s="3356"/>
      <c r="H51" s="2572" t="s">
        <v>2751</v>
      </c>
      <c r="I51" s="2573"/>
      <c r="J51" s="2857"/>
      <c r="K51" s="2515">
        <v>4</v>
      </c>
      <c r="L51" s="3388" t="str">
        <f>IF(项目基本情况!F5="房地产抵押价值","房地产抵押价值","抵押担保权已注销时的房地产抵押价值")</f>
        <v>抵押担保权已注销时的房地产抵押价值</v>
      </c>
      <c r="M51" s="3388"/>
      <c r="N51" s="3389" t="str">
        <f>IF(项目基本情况!F5="房地产抵押价值",I112,I114)</f>
        <v>——</v>
      </c>
      <c r="O51" s="3389"/>
      <c r="P51" s="3389"/>
    </row>
    <row r="52" spans="1:17" ht="25.5" customHeight="1">
      <c r="A52" s="2081"/>
      <c r="B52" s="3299" t="s">
        <v>1790</v>
      </c>
      <c r="C52" s="3299"/>
      <c r="D52" s="2574"/>
      <c r="E52" s="269"/>
      <c r="F52" s="2571"/>
      <c r="G52" s="3357"/>
      <c r="H52" s="2575" t="s">
        <v>2752</v>
      </c>
      <c r="I52" s="2573"/>
      <c r="J52" s="2857"/>
      <c r="K52" s="3388" t="s">
        <v>1791</v>
      </c>
      <c r="L52" s="3388"/>
      <c r="M52" s="3388"/>
      <c r="N52" s="3388"/>
      <c r="O52" s="3388"/>
      <c r="P52" s="3388"/>
    </row>
    <row r="53" spans="1:17" ht="20.45" customHeight="1">
      <c r="A53" s="2576"/>
      <c r="B53" s="3299" t="s">
        <v>1792</v>
      </c>
      <c r="C53" s="3299"/>
      <c r="D53" s="1099"/>
      <c r="E53" s="264"/>
      <c r="F53" s="2571"/>
      <c r="G53" s="3358"/>
      <c r="H53" s="2575" t="s">
        <v>2753</v>
      </c>
      <c r="I53" s="2573"/>
      <c r="J53" s="2857"/>
      <c r="K53" s="2516" t="s">
        <v>1793</v>
      </c>
      <c r="L53" s="3388" t="s">
        <v>1794</v>
      </c>
      <c r="M53" s="3388"/>
      <c r="N53" s="2516" t="s">
        <v>1795</v>
      </c>
      <c r="O53" s="2516" t="s">
        <v>1796</v>
      </c>
      <c r="P53" s="2516" t="s">
        <v>1797</v>
      </c>
    </row>
    <row r="54" spans="1:17" ht="24" customHeight="1">
      <c r="A54" s="2082" t="s">
        <v>1798</v>
      </c>
      <c r="B54" s="3299" t="s">
        <v>1799</v>
      </c>
      <c r="C54" s="3299"/>
      <c r="D54" s="1099">
        <f>ROUND(D47*'数据-取费表'!E29/(1+'数据-取费表'!F30),0)</f>
        <v>0</v>
      </c>
      <c r="E54" s="2092" t="s">
        <v>1800</v>
      </c>
      <c r="F54" s="2577">
        <f>'数据-取费表'!E29</f>
        <v>5.6000000000000001E-2</v>
      </c>
      <c r="G54" s="2578"/>
      <c r="H54" s="947"/>
      <c r="I54" s="2982"/>
      <c r="J54" s="2857"/>
      <c r="K54" s="2515">
        <v>1</v>
      </c>
      <c r="L54" s="3384" t="s">
        <v>1801</v>
      </c>
      <c r="M54" s="3384"/>
      <c r="N54" s="2517">
        <f>D50</f>
        <v>0</v>
      </c>
      <c r="O54" s="2515" t="str">
        <f>E50</f>
        <v>销售额×税（费）率</v>
      </c>
      <c r="P54" s="2518">
        <f>F50</f>
        <v>5.6000000000000001E-2</v>
      </c>
    </row>
    <row r="55" spans="1:17" ht="12" customHeight="1">
      <c r="A55" s="2082" t="s">
        <v>1802</v>
      </c>
      <c r="B55" s="3261" t="s">
        <v>2845</v>
      </c>
      <c r="C55" s="3300"/>
      <c r="D55" s="1099">
        <f>ROUND(D47*'数据-取费表'!E29/(1+'数据-取费表'!F30),0)</f>
        <v>0</v>
      </c>
      <c r="E55" s="2092" t="s">
        <v>1800</v>
      </c>
      <c r="F55" s="2577">
        <f>'数据-取费表'!E29</f>
        <v>5.6000000000000001E-2</v>
      </c>
      <c r="G55" s="2578"/>
      <c r="H55" s="947"/>
      <c r="I55" s="2982"/>
      <c r="J55" s="2857"/>
      <c r="K55" s="2515">
        <v>2</v>
      </c>
      <c r="L55" s="3384" t="s">
        <v>1803</v>
      </c>
      <c r="M55" s="3384"/>
      <c r="N55" s="2517">
        <f t="shared" ref="N55:P56" si="1">D57</f>
        <v>0</v>
      </c>
      <c r="O55" s="2515" t="str">
        <f t="shared" si="1"/>
        <v>销售额×税（费）率</v>
      </c>
      <c r="P55" s="2518">
        <f t="shared" si="1"/>
        <v>5.0000000000000001E-4</v>
      </c>
    </row>
    <row r="56" spans="1:17" ht="12" customHeight="1">
      <c r="A56" s="2082" t="s">
        <v>1804</v>
      </c>
      <c r="B56" s="3261" t="s">
        <v>2846</v>
      </c>
      <c r="C56" s="3300"/>
      <c r="D56" s="1099">
        <f>C70</f>
        <v>0</v>
      </c>
      <c r="E56" s="264" t="s">
        <v>1805</v>
      </c>
      <c r="F56" s="2577">
        <f>'数据-取费表'!E29</f>
        <v>5.6000000000000001E-2</v>
      </c>
      <c r="G56" s="2578"/>
      <c r="H56" s="2983"/>
      <c r="I56" s="2982"/>
      <c r="J56" s="2857"/>
      <c r="K56" s="2515">
        <v>3</v>
      </c>
      <c r="L56" s="3384" t="s">
        <v>1806</v>
      </c>
      <c r="M56" s="3384"/>
      <c r="N56" s="2517">
        <f t="shared" si="1"/>
        <v>0</v>
      </c>
      <c r="O56" s="2515" t="str">
        <f t="shared" si="1"/>
        <v>增值额×税（费）率</v>
      </c>
      <c r="P56" s="2519" t="str">
        <f t="shared" si="1"/>
        <v>——</v>
      </c>
    </row>
    <row r="57" spans="1:17" ht="24" customHeight="1">
      <c r="A57" s="3259" t="s">
        <v>1807</v>
      </c>
      <c r="B57" s="3260"/>
      <c r="C57" s="3260"/>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84" t="str">
        <f>IF(H61="非个人房产","——","个人所得税")</f>
        <v>个人所得税</v>
      </c>
      <c r="M57" s="3384"/>
      <c r="N57" s="2520">
        <f>D61</f>
        <v>0</v>
      </c>
      <c r="O57" s="2521" t="str">
        <f>E61</f>
        <v>销售额×税（费）率</v>
      </c>
      <c r="P57" s="2522">
        <f>F61</f>
        <v>0.01</v>
      </c>
    </row>
    <row r="58" spans="1:17" ht="24.75">
      <c r="A58" s="3259" t="s">
        <v>1810</v>
      </c>
      <c r="B58" s="3260"/>
      <c r="C58" s="3260"/>
      <c r="D58" s="12">
        <f>IF(H58="个人住宅",D59,D60)</f>
        <v>0</v>
      </c>
      <c r="E58" s="2092" t="s">
        <v>1811</v>
      </c>
      <c r="F58" s="2577" t="str">
        <f>IF(H58="正常",F60,"免征")</f>
        <v>——</v>
      </c>
      <c r="G58" s="2579" t="s">
        <v>1812</v>
      </c>
      <c r="H58" s="2580" t="s">
        <v>1809</v>
      </c>
      <c r="I58" s="2984"/>
      <c r="J58" s="2857"/>
      <c r="K58" s="2515" t="str">
        <f>IF(项目基本情况!I6="上海银行",IF(K57="",4,K57+1),"")</f>
        <v/>
      </c>
      <c r="L58" s="3386" t="str">
        <f>IF(项目基本情况!I6="上海银行","其他处置费用","")</f>
        <v/>
      </c>
      <c r="M58" s="3387"/>
      <c r="N58" s="2517" t="str">
        <f>IF(项目基本情况!I6="上海银行",N71,"")</f>
        <v/>
      </c>
      <c r="O58" s="3386" t="str">
        <f>IF(项目基本情况!I6="上海银行","包含处置中涉及的律师、诉讼、拍卖、评估等费用","")</f>
        <v/>
      </c>
      <c r="P58" s="3390"/>
    </row>
    <row r="59" spans="1:17" ht="12.75">
      <c r="A59" s="2082" t="s">
        <v>1787</v>
      </c>
      <c r="B59" s="3261" t="s">
        <v>1813</v>
      </c>
      <c r="C59" s="3300"/>
      <c r="D59" s="2570">
        <v>0</v>
      </c>
      <c r="E59" s="261" t="s">
        <v>1789</v>
      </c>
      <c r="F59" s="235"/>
      <c r="G59" s="2578"/>
      <c r="H59" s="2984"/>
      <c r="I59" s="2984"/>
      <c r="J59" s="2857"/>
      <c r="K59" s="3384">
        <f>IF(AND(K57="",K58=""),4,IF(项目基本情况!I6="上海银行",K58+1,K57+1))</f>
        <v>5</v>
      </c>
      <c r="L59" s="3384" t="s">
        <v>1814</v>
      </c>
      <c r="M59" s="2523" t="s">
        <v>1815</v>
      </c>
      <c r="N59" s="2524"/>
      <c r="O59" s="2525">
        <f>SUMIF(N54:N58,"&lt;9e307")</f>
        <v>0</v>
      </c>
      <c r="P59" s="2526"/>
      <c r="Q59" s="1306" t="e">
        <f>O59/N51</f>
        <v>#VALUE!</v>
      </c>
    </row>
    <row r="60" spans="1:17" ht="24.75">
      <c r="A60" s="2082" t="s">
        <v>1798</v>
      </c>
      <c r="B60" s="3261" t="s">
        <v>1816</v>
      </c>
      <c r="C60" s="3299"/>
      <c r="D60" s="12">
        <f>IF(H60="转让取得",C83,C99)</f>
        <v>0</v>
      </c>
      <c r="E60" s="2092" t="s">
        <v>1811</v>
      </c>
      <c r="F60" s="235" t="s">
        <v>48</v>
      </c>
      <c r="G60" s="2578"/>
      <c r="H60" s="2580" t="s">
        <v>1817</v>
      </c>
      <c r="I60" s="2984"/>
      <c r="J60" s="2857"/>
      <c r="K60" s="3384"/>
      <c r="L60" s="3384"/>
      <c r="M60" s="2523" t="s">
        <v>1818</v>
      </c>
      <c r="N60" s="2527"/>
      <c r="O60" s="2528" t="str">
        <f>IF(H19="元",NUMBERSTRING(INT(O59),2)&amp;"元整",NUMBERSTRING(INT(O59*10000),2)&amp;"元整")</f>
        <v>零元整</v>
      </c>
      <c r="P60" s="2529"/>
    </row>
    <row r="61" spans="1:17" ht="26.25" thickBot="1">
      <c r="A61" s="3283" t="s">
        <v>1819</v>
      </c>
      <c r="B61" s="3284"/>
      <c r="C61" s="3284"/>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2824</v>
      </c>
      <c r="H61" s="2096" t="s">
        <v>2750</v>
      </c>
      <c r="I61" s="2885" t="s">
        <v>2836</v>
      </c>
      <c r="J61" s="2857"/>
      <c r="K61" s="3382">
        <f>K59+1</f>
        <v>6</v>
      </c>
      <c r="L61" s="3384" t="s">
        <v>1820</v>
      </c>
      <c r="M61" s="2515" t="s">
        <v>1815</v>
      </c>
      <c r="N61" s="2530"/>
      <c r="O61" s="2531" t="e">
        <f>N51-O59</f>
        <v>#VALUE!</v>
      </c>
      <c r="P61" s="2532"/>
    </row>
    <row r="62" spans="1:17" ht="12" customHeight="1">
      <c r="A62" s="1457"/>
      <c r="B62" s="2565"/>
      <c r="C62" s="2565"/>
      <c r="D62" s="2565"/>
      <c r="E62" s="1457"/>
      <c r="F62" s="2984"/>
      <c r="G62" s="2984"/>
      <c r="H62" s="2979"/>
      <c r="I62" s="947"/>
      <c r="J62" s="2857"/>
      <c r="K62" s="3383"/>
      <c r="L62" s="3384"/>
      <c r="M62" s="2523" t="s">
        <v>1818</v>
      </c>
      <c r="N62" s="2527"/>
      <c r="O62" s="2528" t="e">
        <f>IF(H19="元",NUMBERSTRING(INT(O61),2)&amp;"元整",NUMBERSTRING(INT(O61*10000),2)&amp;"元整")</f>
        <v>#VALUE!</v>
      </c>
      <c r="P62" s="2529"/>
    </row>
    <row r="63" spans="1:17" ht="13.5" thickBot="1">
      <c r="A63" s="3385" t="s">
        <v>1821</v>
      </c>
      <c r="B63" s="3385"/>
      <c r="C63" s="3385"/>
      <c r="D63" s="3385"/>
      <c r="E63" s="3385"/>
      <c r="F63" s="2984"/>
      <c r="G63" s="2984"/>
      <c r="H63" s="2979"/>
      <c r="I63" s="947"/>
      <c r="J63" s="2849"/>
      <c r="K63" s="2515">
        <f>K61+1</f>
        <v>7</v>
      </c>
      <c r="L63" s="3384" t="s">
        <v>1822</v>
      </c>
      <c r="M63" s="3384"/>
      <c r="N63" s="2533"/>
      <c r="O63" s="2534" t="e">
        <f>IF(H19="元",ROUND(O61/项目基本情况!C12,0),ROUND(O61*10000/项目基本情况!C12,0))</f>
        <v>#VALUE!</v>
      </c>
      <c r="P63" s="2535"/>
    </row>
    <row r="64" spans="1:17" ht="12.75">
      <c r="A64" s="3318" t="s">
        <v>1823</v>
      </c>
      <c r="B64" s="3319"/>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92"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9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92"/>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92"/>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9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92"/>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92"/>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1843</v>
      </c>
      <c r="B72" s="3380"/>
      <c r="C72" s="3380"/>
      <c r="D72" s="3380"/>
      <c r="E72" s="3380"/>
      <c r="F72" s="3380"/>
      <c r="G72" s="3380"/>
      <c r="H72" s="3380"/>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8" t="s">
        <v>1823</v>
      </c>
      <c r="B73" s="3319"/>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61" t="s">
        <v>1853</v>
      </c>
      <c r="F78" s="3299"/>
      <c r="G78" s="3299"/>
      <c r="H78" s="3313"/>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93" t="s">
        <v>1858</v>
      </c>
      <c r="F80" s="3294"/>
      <c r="G80" s="3294"/>
      <c r="H80" s="3295"/>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1862</v>
      </c>
      <c r="B85" s="3380"/>
      <c r="C85" s="3380"/>
      <c r="D85" s="3380"/>
      <c r="E85" s="3380"/>
      <c r="F85" s="3380"/>
      <c r="G85" s="3380"/>
      <c r="H85" s="3380"/>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8" t="s">
        <v>1823</v>
      </c>
      <c r="B86" s="3319"/>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54" t="s">
        <v>2745</v>
      </c>
      <c r="H92" s="3381"/>
      <c r="I92" s="608"/>
      <c r="J92" s="2881"/>
      <c r="K92" s="2976"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93" t="s">
        <v>1870</v>
      </c>
      <c r="F93" s="3294"/>
      <c r="G93" s="3294"/>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93" t="s">
        <v>1873</v>
      </c>
      <c r="F94" s="3294"/>
      <c r="G94" s="3294"/>
      <c r="H94" s="3295"/>
      <c r="I94" s="608"/>
      <c r="J94" s="2881"/>
      <c r="K94" s="2977"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93" t="s">
        <v>1858</v>
      </c>
      <c r="F95" s="3294"/>
      <c r="G95" s="3294"/>
      <c r="H95" s="3295"/>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93" t="s">
        <v>1875</v>
      </c>
      <c r="F96" s="3294"/>
      <c r="G96" s="3294"/>
      <c r="H96" s="3295"/>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40" t="s">
        <v>1877</v>
      </c>
      <c r="B101" s="3341"/>
      <c r="C101" s="3341"/>
      <c r="D101" s="3342"/>
      <c r="E101" s="1461"/>
      <c r="F101" s="3376" t="s">
        <v>2787</v>
      </c>
      <c r="G101" s="3377"/>
      <c r="H101" s="3377"/>
      <c r="I101" s="3378"/>
      <c r="J101" s="2884"/>
    </row>
    <row r="102" spans="1:36" ht="15">
      <c r="A102" s="3352" t="s">
        <v>1879</v>
      </c>
      <c r="B102" s="3353"/>
      <c r="C102" s="2807">
        <f>C4</f>
        <v>0</v>
      </c>
      <c r="D102" s="2808">
        <f>D4</f>
        <v>0</v>
      </c>
      <c r="E102" s="1461"/>
      <c r="F102" s="3264" t="s">
        <v>2788</v>
      </c>
      <c r="G102" s="3265"/>
      <c r="H102" s="3270" t="s">
        <v>2789</v>
      </c>
      <c r="I102" s="3263"/>
      <c r="J102" s="2864"/>
    </row>
    <row r="103" spans="1:36" ht="12.75">
      <c r="A103" s="3373" t="s">
        <v>2783</v>
      </c>
      <c r="B103" s="2309" t="str">
        <f>IF(H19="元","总价（元）","总价（万元）")</f>
        <v>总价（元）</v>
      </c>
      <c r="C103" s="1307" t="e">
        <f ca="1">C19</f>
        <v>#REF!</v>
      </c>
      <c r="D103" s="2811" t="e">
        <f ca="1">D19</f>
        <v>#REF!</v>
      </c>
      <c r="E103" s="1461"/>
      <c r="F103" s="3374"/>
      <c r="G103" s="3375"/>
      <c r="H103" s="3262">
        <f>典型户型修正!B25</f>
        <v>0</v>
      </c>
      <c r="I103" s="3263"/>
      <c r="J103" s="2864"/>
    </row>
    <row r="104" spans="1:36" ht="12.75">
      <c r="A104" s="3373"/>
      <c r="B104" s="2309" t="s">
        <v>2784</v>
      </c>
      <c r="C104" s="2812" t="e">
        <f ca="1">C20</f>
        <v>#REF!</v>
      </c>
      <c r="D104" s="2813" t="e">
        <f ca="1">D20</f>
        <v>#REF!</v>
      </c>
      <c r="E104" s="1461"/>
      <c r="F104" s="3274" t="s">
        <v>2790</v>
      </c>
      <c r="G104" s="3275"/>
      <c r="H104" s="2821" t="str">
        <f>C110</f>
        <v>总价（元）</v>
      </c>
      <c r="I104" s="2822">
        <f>H125</f>
        <v>0</v>
      </c>
      <c r="J104" s="2864"/>
    </row>
    <row r="105" spans="1:36" ht="12.75">
      <c r="A105" s="3373" t="s">
        <v>2785</v>
      </c>
      <c r="B105" s="2247" t="str">
        <f>B103</f>
        <v>总价（元）</v>
      </c>
      <c r="C105" s="12" t="e">
        <f ca="1">ROUND(IF('数据-取费表'!B4="总价",G19,IF(H19="元",G20*'数据-取费表'!E5,G20*'数据-取费表'!E5/10000)),0)</f>
        <v>#REF!</v>
      </c>
      <c r="D105" s="2814"/>
      <c r="E105" s="1461"/>
      <c r="F105" s="3274"/>
      <c r="G105" s="3275"/>
      <c r="H105" s="2821" t="s">
        <v>2791</v>
      </c>
      <c r="I105" s="52" t="e">
        <f>I125</f>
        <v>#DIV/0!</v>
      </c>
      <c r="J105" s="2848"/>
    </row>
    <row r="106" spans="1:36" ht="12.75">
      <c r="A106" s="3373"/>
      <c r="B106" s="2309" t="s">
        <v>2784</v>
      </c>
      <c r="C106" s="1481" t="e">
        <f ca="1">ROUND(IF('数据-取费表'!B4="楼面单价",G20,IF(H19="元",G19/'数据-取费表'!E5,G19*10000/'数据-取费表'!E5)),0)</f>
        <v>#REF!</v>
      </c>
      <c r="D106" s="2814"/>
      <c r="E106" s="1461"/>
      <c r="F106" s="3274"/>
      <c r="G106" s="3275"/>
      <c r="H106" s="3334"/>
      <c r="I106" s="3335"/>
      <c r="J106" s="2865"/>
    </row>
    <row r="107" spans="1:36" ht="12.75">
      <c r="A107" s="3367" t="s">
        <v>2786</v>
      </c>
      <c r="B107" s="2815" t="str">
        <f>B103</f>
        <v>总价（元）</v>
      </c>
      <c r="C107" s="2816">
        <f>H125</f>
        <v>0</v>
      </c>
      <c r="D107" s="2817"/>
      <c r="E107" s="1461"/>
      <c r="F107" s="3338" t="s">
        <v>2792</v>
      </c>
      <c r="G107" s="3339"/>
      <c r="H107" s="2823" t="str">
        <f>C112</f>
        <v>总额（元）</v>
      </c>
      <c r="I107" s="2822">
        <f>SUMIF(I108:I110,"&lt;9E307")</f>
        <v>0</v>
      </c>
      <c r="J107" s="2864"/>
    </row>
    <row r="108" spans="1:36" ht="15" thickBot="1">
      <c r="A108" s="3333"/>
      <c r="B108" s="2818" t="s">
        <v>2784</v>
      </c>
      <c r="C108" s="2819" t="e">
        <f>I125</f>
        <v>#DIV/0!</v>
      </c>
      <c r="D108" s="2820"/>
      <c r="E108" s="1461"/>
      <c r="F108" s="3276" t="s">
        <v>2793</v>
      </c>
      <c r="G108" s="3277"/>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70" t="s">
        <v>1880</v>
      </c>
      <c r="B109" s="3371"/>
      <c r="C109" s="3371"/>
      <c r="D109" s="3372"/>
      <c r="E109" s="1461"/>
      <c r="F109" s="3276" t="s">
        <v>2794</v>
      </c>
      <c r="G109" s="3277"/>
      <c r="H109" s="2823" t="str">
        <f>C114</f>
        <v>总额（元）</v>
      </c>
      <c r="I109" s="52">
        <f>C39</f>
        <v>0</v>
      </c>
      <c r="J109" s="2848"/>
    </row>
    <row r="110" spans="1:36" ht="12.75">
      <c r="A110" s="3274" t="s">
        <v>2797</v>
      </c>
      <c r="B110" s="3275"/>
      <c r="C110" s="2821" t="str">
        <f>B103</f>
        <v>总价（元）</v>
      </c>
      <c r="D110" s="2822">
        <f>H125</f>
        <v>0</v>
      </c>
      <c r="E110" s="1461"/>
      <c r="F110" s="3276" t="s">
        <v>2795</v>
      </c>
      <c r="G110" s="3277"/>
      <c r="H110" s="2823" t="str">
        <f>C115</f>
        <v>总额（元）</v>
      </c>
      <c r="I110" s="52">
        <f>C40</f>
        <v>0</v>
      </c>
      <c r="J110" s="2848"/>
    </row>
    <row r="111" spans="1:36" ht="12.75">
      <c r="A111" s="3274"/>
      <c r="B111" s="3275"/>
      <c r="C111" s="2821" t="s">
        <v>2798</v>
      </c>
      <c r="D111" s="52" t="e">
        <f>I125</f>
        <v>#DIV/0!</v>
      </c>
      <c r="E111" s="1461"/>
      <c r="F111" s="3274"/>
      <c r="G111" s="3275"/>
      <c r="H111" s="3336"/>
      <c r="I111" s="3337"/>
      <c r="J111" s="2866"/>
    </row>
    <row r="112" spans="1:36" ht="28.5" customHeight="1">
      <c r="A112" s="3281" t="s">
        <v>2792</v>
      </c>
      <c r="B112" s="3282"/>
      <c r="C112" s="2823" t="str">
        <f>IF(H19="元","总额（元）","总额（万元）")</f>
        <v>总额（元）</v>
      </c>
      <c r="D112" s="2822">
        <f>IF(D38="正常操作",I108+I109+I110,I109+I110)</f>
        <v>0</v>
      </c>
      <c r="E112" s="1461"/>
      <c r="F112" s="3266" t="str">
        <f>IF(项目基本情况!F5="已注销","——","3.房地产抵押价值")</f>
        <v>3.房地产抵押价值</v>
      </c>
      <c r="G112" s="3267"/>
      <c r="H112" s="1481" t="str">
        <f>C116</f>
        <v>总价（元）</v>
      </c>
      <c r="I112" s="2822">
        <f>IF(F112="——","——",I104-I107)</f>
        <v>0</v>
      </c>
      <c r="J112" s="2864"/>
    </row>
    <row r="113" spans="1:27" ht="12.75">
      <c r="A113" s="3276" t="s">
        <v>2799</v>
      </c>
      <c r="B113" s="3277"/>
      <c r="C113" s="2823" t="str">
        <f>C112</f>
        <v>总额（元）</v>
      </c>
      <c r="D113" s="52">
        <f>IF(D38="同一抵押权人同一抵押物续贷",C38&amp;"（未扣减，详见特别提示）",C38)</f>
        <v>0</v>
      </c>
      <c r="E113" s="1461"/>
      <c r="F113" s="3365"/>
      <c r="G113" s="3366"/>
      <c r="H113" s="2821" t="s">
        <v>2791</v>
      </c>
      <c r="I113" s="2825" t="e">
        <f>D117</f>
        <v>#DIV/0!</v>
      </c>
      <c r="J113" s="2867"/>
    </row>
    <row r="114" spans="1:27" ht="12.75">
      <c r="A114" s="3276" t="s">
        <v>2800</v>
      </c>
      <c r="B114" s="3277"/>
      <c r="C114" s="2823" t="str">
        <f>C112</f>
        <v>总额（元）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总价（元）</v>
      </c>
      <c r="I114" s="2822" t="str">
        <f>IF(F114="——","——",I104-I109-I110)</f>
        <v>——</v>
      </c>
      <c r="J114" s="2864"/>
    </row>
    <row r="115" spans="1:27" ht="12.75">
      <c r="A115" s="3276" t="s">
        <v>2801</v>
      </c>
      <c r="B115" s="3277"/>
      <c r="C115" s="2823" t="str">
        <f>C112</f>
        <v>总额（元）</v>
      </c>
      <c r="D115" s="52">
        <f>C40</f>
        <v>0</v>
      </c>
      <c r="E115" s="1461"/>
      <c r="F115" s="3365"/>
      <c r="G115" s="3366"/>
      <c r="H115" s="2821" t="s">
        <v>2791</v>
      </c>
      <c r="I115" s="52" t="str">
        <f>D119</f>
        <v>——</v>
      </c>
      <c r="J115" s="2848"/>
    </row>
    <row r="116" spans="1:27" ht="12.75">
      <c r="A116" s="3274" t="str">
        <f>IF(项目基本情况!F5="已注销","——","3.房地产抵押价值")</f>
        <v>3.房地产抵押价值</v>
      </c>
      <c r="B116" s="3275"/>
      <c r="C116" s="2821" t="str">
        <f>B103</f>
        <v>总价（元）</v>
      </c>
      <c r="D116" s="2822">
        <f>IF(A116="——","——",D110-D112)</f>
        <v>0</v>
      </c>
      <c r="E116" s="1461"/>
      <c r="F116" s="3266" t="str">
        <f>IF(项目基本情况!G5="抵押净值",IF(OR(项目基本情况!F5="已注销",项目基本情况!F5="房地产抵押价值"),"4.抵押净值","5.抵押净值"),"——")</f>
        <v>——</v>
      </c>
      <c r="G116" s="3267"/>
      <c r="H116" s="2821" t="str">
        <f>C120</f>
        <v>总价（元）</v>
      </c>
      <c r="I116" s="2822" t="str">
        <f>IF(F116="——","——",O61)</f>
        <v>——</v>
      </c>
      <c r="J116" s="2864"/>
    </row>
    <row r="117" spans="1:27" ht="13.5" thickBot="1">
      <c r="A117" s="3274"/>
      <c r="B117" s="3275"/>
      <c r="C117" s="2821" t="s">
        <v>2798</v>
      </c>
      <c r="D117" s="52" t="e">
        <f>ROUND(IF(D116=D110,D111,IF(H19="元",D116/B125,D116*10000/B125)),0)</f>
        <v>#DIV/0!</v>
      </c>
      <c r="E117" s="1461"/>
      <c r="F117" s="3268"/>
      <c r="G117" s="3269"/>
      <c r="H117" s="2826" t="s">
        <v>2791</v>
      </c>
      <c r="I117" s="2810" t="str">
        <f>D121</f>
        <v>——</v>
      </c>
      <c r="J117" s="2848"/>
    </row>
    <row r="118" spans="1:27" ht="15.75">
      <c r="A118" s="3274" t="str">
        <f>IF(项目基本情况!F5="已注销及未注销","4.抵押担保权已注销时的房地产抵押价值",IF(项目基本情况!F5="已注销","3.抵押担保权已注销时的房地产抵押价值","——"))</f>
        <v>——</v>
      </c>
      <c r="B118" s="3275"/>
      <c r="C118" s="2821" t="str">
        <f>B103</f>
        <v>总价（元）</v>
      </c>
      <c r="D118" s="2822" t="str">
        <f>IF(A118="——","——",D110-D114-D115)</f>
        <v>——</v>
      </c>
      <c r="E118" s="1461"/>
      <c r="F118" s="3360"/>
      <c r="G118" s="3360"/>
      <c r="H118" s="3324"/>
      <c r="I118" s="3324"/>
      <c r="J118" s="2868"/>
      <c r="O118" s="32"/>
      <c r="P118" s="32"/>
    </row>
    <row r="119" spans="1:27" s="1308" customFormat="1" ht="12.75">
      <c r="A119" s="3274"/>
      <c r="B119" s="3275"/>
      <c r="C119" s="2821" t="s">
        <v>2798</v>
      </c>
      <c r="D119" s="52" t="str">
        <f>IF(A118="——","——",IF(H19="元",ROUND(D118/B125,0),ROUND(D118*10000/B125,0)))</f>
        <v>——</v>
      </c>
      <c r="E119" s="1461"/>
      <c r="F119" s="3369" t="str">
        <f>IF(B33="总价","（以上估价结果中楼面单价为总价除以建筑面积得出）","（以上估价结果中总价为楼面单价乘以建筑面积得出）")</f>
        <v>（以上估价结果中总价为楼面单价乘以建筑面积得出）</v>
      </c>
      <c r="G119" s="3369"/>
      <c r="H119" s="3369"/>
      <c r="I119" s="3369"/>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4" t="str">
        <f>IF(项目基本情况!G5="抵押净值",IF(OR(项目基本情况!F5="已注销",项目基本情况!F5="房地产抵押价值"),"4.抵押净值","5.抵押净值"),"——")</f>
        <v>——</v>
      </c>
      <c r="B120" s="3275"/>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9"/>
      <c r="B121" s="3280"/>
      <c r="C121" s="2826" t="s">
        <v>2798</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9" t="s">
        <v>2802</v>
      </c>
      <c r="B123" s="3285" t="s">
        <v>2803</v>
      </c>
      <c r="C123" s="3285" t="s">
        <v>2809</v>
      </c>
      <c r="D123" s="3347" t="s">
        <v>2804</v>
      </c>
      <c r="E123" s="3348"/>
      <c r="F123" s="3260" t="s">
        <v>2810</v>
      </c>
      <c r="G123" s="3260"/>
      <c r="H123" s="3260" t="s">
        <v>2805</v>
      </c>
      <c r="I123" s="3346"/>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9"/>
      <c r="B124" s="3286"/>
      <c r="C124" s="3286"/>
      <c r="D124" s="2092" t="s">
        <v>2806</v>
      </c>
      <c r="E124" s="2092" t="s">
        <v>2811</v>
      </c>
      <c r="F124" s="2092" t="s">
        <v>2806</v>
      </c>
      <c r="G124" s="2092" t="s">
        <v>2807</v>
      </c>
      <c r="H124" s="2092" t="s">
        <v>2806</v>
      </c>
      <c r="I124" s="52" t="s">
        <v>2807</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9" t="s">
        <v>2808</v>
      </c>
      <c r="B126" s="3260"/>
      <c r="C126" s="3260"/>
      <c r="D126" s="3287" t="str">
        <f>IF(H19="元",NUMBERSTRING(INT(D125),2)&amp;"元整",NUMBERSTRING(INT(D125*10000),2)&amp;"元整")</f>
        <v>零元整</v>
      </c>
      <c r="E126" s="3330"/>
      <c r="F126" s="3287" t="str">
        <f>IF(H19="元",NUMBERSTRING(INT(F125),2)&amp;"元整",NUMBERSTRING(INT(F125*10000),2)&amp;"元整")</f>
        <v>零元整</v>
      </c>
      <c r="G126" s="3330"/>
      <c r="H126" s="3287" t="str">
        <f>IF(H19="元",NUMBERSTRING(INT(H125),2)&amp;"元整",NUMBERSTRING(INT(H125*10000),2)&amp;"元整")</f>
        <v>零元整</v>
      </c>
      <c r="I126" s="3288"/>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4" t="str">
        <f>IF(项目基本情况!D5="房地产市场价值","——",MID(A112,3,LEN(A112)-2))</f>
        <v>——</v>
      </c>
      <c r="B127" s="3270"/>
      <c r="C127" s="3265"/>
      <c r="D127" s="3262">
        <f>I107</f>
        <v>0</v>
      </c>
      <c r="E127" s="3270"/>
      <c r="F127" s="3270"/>
      <c r="G127" s="3270"/>
      <c r="H127" s="3270"/>
      <c r="I127" s="3263"/>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1" t="s">
        <v>2808</v>
      </c>
      <c r="B128" s="3299"/>
      <c r="C128" s="3300"/>
      <c r="D128" s="3271">
        <f>H111</f>
        <v>0</v>
      </c>
      <c r="E128" s="3272"/>
      <c r="F128" s="3272"/>
      <c r="G128" s="3272"/>
      <c r="H128" s="3272"/>
      <c r="I128" s="3273"/>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4" t="str">
        <f>IF(项目基本情况!D5="房地产市场价值","——",MID(A116,3,LEN(A116)-2))</f>
        <v>——</v>
      </c>
      <c r="B129" s="3275"/>
      <c r="C129" s="3275"/>
      <c r="D129" s="3262">
        <f>I112</f>
        <v>0</v>
      </c>
      <c r="E129" s="3270"/>
      <c r="F129" s="3270"/>
      <c r="G129" s="3270"/>
      <c r="H129" s="3270"/>
      <c r="I129" s="3263"/>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9" t="s">
        <v>2808</v>
      </c>
      <c r="B130" s="3260"/>
      <c r="C130" s="3260"/>
      <c r="D130" s="3271" t="e">
        <f>I113</f>
        <v>#DIV/0!</v>
      </c>
      <c r="E130" s="3272"/>
      <c r="F130" s="3272"/>
      <c r="G130" s="3272"/>
      <c r="H130" s="3272"/>
      <c r="I130" s="3273"/>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4" t="str">
        <f>IF(项目基本情况!D5="房地产市场价值","——",MID(A118,3,LEN(A118)-2))</f>
        <v>——</v>
      </c>
      <c r="B131" s="3275"/>
      <c r="C131" s="3275"/>
      <c r="D131" s="3307" t="str">
        <f>I114</f>
        <v>——</v>
      </c>
      <c r="E131" s="3308"/>
      <c r="F131" s="3308"/>
      <c r="G131" s="3308"/>
      <c r="H131" s="3308"/>
      <c r="I131" s="3359"/>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9" t="s">
        <v>2808</v>
      </c>
      <c r="B132" s="3260"/>
      <c r="C132" s="3261"/>
      <c r="D132" s="3323" t="str">
        <f>I115</f>
        <v>——</v>
      </c>
      <c r="E132" s="3323"/>
      <c r="F132" s="3323"/>
      <c r="G132" s="3323"/>
      <c r="H132" s="3323"/>
      <c r="I132" s="3323"/>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4" t="str">
        <f>IF(项目基本情况!D5="房地产市场价值","——",MID(F116,3,LEN(F116)-2))</f>
        <v>——</v>
      </c>
      <c r="B133" s="3275"/>
      <c r="C133" s="3262"/>
      <c r="D133" s="3278" t="str">
        <f>I116</f>
        <v>——</v>
      </c>
      <c r="E133" s="3278"/>
      <c r="F133" s="3278"/>
      <c r="G133" s="3278"/>
      <c r="H133" s="3278"/>
      <c r="I133" s="3278"/>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3" t="s">
        <v>2808</v>
      </c>
      <c r="B134" s="3284"/>
      <c r="C134" s="3284"/>
      <c r="D134" s="3289">
        <f>H118</f>
        <v>0</v>
      </c>
      <c r="E134" s="3290"/>
      <c r="F134" s="3290"/>
      <c r="G134" s="3290"/>
      <c r="H134" s="3290"/>
      <c r="I134" s="3291"/>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7" t="str">
        <f>IF(B33="总价","（以上估价结果中楼面单价为总价除以建筑面积得出）","（以上估价结果中总价为楼面单价乘以建筑面积得出）")</f>
        <v>（以上估价结果中总价为楼面单价乘以建筑面积得出）</v>
      </c>
      <c r="B136" s="3257"/>
      <c r="C136" s="3257"/>
      <c r="D136" s="3257"/>
      <c r="E136" s="3257"/>
      <c r="F136" s="3257"/>
      <c r="G136" s="3257"/>
      <c r="H136" s="3257"/>
      <c r="I136" s="3257"/>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88"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14273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0.1</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-14400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-14400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-288</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-3672</v>
      </c>
      <c r="D28" s="183">
        <f>C29</f>
        <v>0.25729999999999997</v>
      </c>
      <c r="E28" s="189" t="s">
        <v>12</v>
      </c>
      <c r="F28" s="200">
        <f>'数据-取费表'!E28</f>
        <v>0.25</v>
      </c>
      <c r="G28" s="185"/>
      <c r="H28" s="186"/>
      <c r="I28" s="186"/>
      <c r="J28" s="186"/>
      <c r="K28" s="187"/>
    </row>
    <row r="29" spans="1:33" s="204" customFormat="1" ht="13.5" customHeight="1">
      <c r="A29" s="996" t="s">
        <v>1341</v>
      </c>
      <c r="B29" s="202" t="s">
        <v>1342</v>
      </c>
      <c r="C29" s="193">
        <f>ROUND((1+C24)*F28,4)</f>
        <v>0.25729999999999997</v>
      </c>
      <c r="D29" s="193"/>
      <c r="E29" s="194"/>
      <c r="F29" s="203"/>
      <c r="G29" s="147" t="s">
        <v>1343</v>
      </c>
      <c r="H29" s="170"/>
      <c r="I29" s="170"/>
      <c r="J29" s="170"/>
      <c r="K29" s="171"/>
    </row>
    <row r="30" spans="1:33" s="204" customFormat="1" ht="13.5" customHeight="1">
      <c r="A30" s="996" t="s">
        <v>1344</v>
      </c>
      <c r="B30" s="202" t="s">
        <v>1345</v>
      </c>
      <c r="C30" s="205">
        <f>ROUND((C21+C22+C23)*F28,0)</f>
        <v>-3672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14273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8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2757</v>
      </c>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1632658</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18141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53284</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53217</v>
      </c>
      <c r="D6" s="36" t="s">
        <v>2709</v>
      </c>
      <c r="E6" s="235" t="s">
        <v>2023</v>
      </c>
      <c r="F6" s="236">
        <f>'数据-取费表'!B30</f>
        <v>1.8</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90</v>
      </c>
      <c r="G7" s="951"/>
      <c r="H7" s="237"/>
      <c r="I7" s="238"/>
      <c r="J7" s="239"/>
      <c r="K7" s="240"/>
      <c r="L7" s="235" t="s">
        <v>2024</v>
      </c>
      <c r="M7" s="236">
        <f>IF('数据-取费表'!B42="",IF(D1="仅计算典型户型",'数据-取费表'!E5,'数据-取费表'!B5),'数据-取费表'!B42)</f>
        <v>90</v>
      </c>
    </row>
    <row r="8" spans="1:37" ht="18" customHeight="1">
      <c r="A8" s="1119"/>
      <c r="B8" s="238"/>
      <c r="C8" s="239"/>
      <c r="D8" s="240"/>
      <c r="E8" s="235" t="s">
        <v>2025</v>
      </c>
      <c r="F8" s="236">
        <f>'数据-取费表'!B43</f>
        <v>365</v>
      </c>
      <c r="G8" s="951"/>
      <c r="H8" s="237"/>
      <c r="I8" s="238"/>
      <c r="J8" s="239"/>
      <c r="K8" s="240"/>
      <c r="L8" s="235" t="s">
        <v>2026</v>
      </c>
      <c r="M8" s="236">
        <f>'数据-取费表'!B43</f>
        <v>365</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67</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333935</v>
      </c>
      <c r="D13" s="1094" t="s">
        <v>2038</v>
      </c>
      <c r="E13" s="1094" t="s">
        <v>2039</v>
      </c>
      <c r="F13" s="1095">
        <f>'数据-取费表'!E20</f>
        <v>0.9</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207900</v>
      </c>
      <c r="D14" s="1328" t="s">
        <v>2042</v>
      </c>
      <c r="E14" s="1329"/>
      <c r="F14" s="799"/>
      <c r="G14" s="952"/>
      <c r="H14" s="253" t="s">
        <v>2021</v>
      </c>
      <c r="I14" s="235" t="s">
        <v>2043</v>
      </c>
      <c r="J14" s="13">
        <f ca="1">C29</f>
        <v>371039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8316</v>
      </c>
      <c r="D15" s="255" t="s">
        <v>2046</v>
      </c>
      <c r="E15" s="255" t="s">
        <v>2047</v>
      </c>
      <c r="F15" s="256">
        <f>'数据-取费表'!E21</f>
        <v>0.04</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20790</v>
      </c>
      <c r="D16" s="235" t="s">
        <v>2046</v>
      </c>
      <c r="E16" s="235" t="s">
        <v>2047</v>
      </c>
      <c r="F16" s="258">
        <f>IF('数据-取费表'!B10="住宅",'数据-取费表'!E22,0)</f>
        <v>0.1</v>
      </c>
      <c r="G16" s="952"/>
      <c r="H16" s="1092" t="s">
        <v>14</v>
      </c>
      <c r="I16" s="1093" t="s">
        <v>2052</v>
      </c>
      <c r="J16" s="243">
        <f ca="1">ROUND(J17+J22+J23+J24,0)</f>
        <v>5566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18000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3119</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258125</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5163</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5566</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12506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-5566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65822</v>
      </c>
      <c r="D26" s="259" t="s">
        <v>2100</v>
      </c>
      <c r="E26" s="246" t="s">
        <v>2101</v>
      </c>
      <c r="F26" s="245">
        <f>'数据-取费表'!E28</f>
        <v>0.25</v>
      </c>
      <c r="G26" s="652"/>
      <c r="H26" s="232" t="s">
        <v>23</v>
      </c>
      <c r="I26" s="233" t="s">
        <v>2102</v>
      </c>
      <c r="J26" s="234">
        <f ca="1">IF(J5&lt;&gt;0,ROUND(J25*(1-((1+M28)/(1+M26))^M27)/(M26-M28),0),0)</f>
        <v>0</v>
      </c>
      <c r="K26" s="261" t="s">
        <v>2103</v>
      </c>
      <c r="L26" s="235" t="s">
        <v>2104</v>
      </c>
      <c r="M26" s="245">
        <f>'数据-取费表'!B16</f>
        <v>0.05</v>
      </c>
    </row>
    <row r="27" spans="1:37" ht="18" customHeight="1">
      <c r="A27" s="253" t="s">
        <v>2105</v>
      </c>
      <c r="B27" s="235" t="s">
        <v>2106</v>
      </c>
      <c r="C27" s="13">
        <f>ROUND(F21*F26,4)</f>
        <v>5.0000000000000001E-3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371039</v>
      </c>
      <c r="D29" s="1105"/>
      <c r="E29" s="1103"/>
      <c r="F29" s="1106"/>
      <c r="G29" s="652"/>
      <c r="H29" s="271" t="s">
        <v>24</v>
      </c>
      <c r="I29" s="272" t="s">
        <v>2116</v>
      </c>
      <c r="J29" s="273">
        <f ca="1">ROUND(J26/(1+F40)^F41,0)</f>
        <v>0</v>
      </c>
      <c r="K29" s="274" t="s">
        <v>2117</v>
      </c>
      <c r="L29" s="275"/>
      <c r="M29" s="276">
        <f>IF(D1="仅计算典型户型",'数据-取费表'!E5,'数据-取费表'!B5)</f>
        <v>90</v>
      </c>
    </row>
    <row r="30" spans="1:37" ht="18" customHeight="1" thickTop="1">
      <c r="A30" s="1092" t="s">
        <v>14</v>
      </c>
      <c r="B30" s="1093" t="s">
        <v>2118</v>
      </c>
      <c r="C30" s="243">
        <f ca="1">ROUND(C31+C36+C37+C38,0)</f>
        <v>7867</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1267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21706</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6.5000000000000002E-2</v>
      </c>
      <c r="K35" s="944"/>
      <c r="L35" s="943"/>
      <c r="M35" s="943"/>
    </row>
    <row r="36" spans="1:18" ht="18" customHeight="1">
      <c r="A36" s="1060" t="s">
        <v>2028</v>
      </c>
      <c r="B36" s="235" t="s">
        <v>2127</v>
      </c>
      <c r="C36" s="13">
        <f ca="1">ROUND(C29*F36,0)</f>
        <v>5566</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501</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533</v>
      </c>
      <c r="D38" s="1105" t="s">
        <v>2093</v>
      </c>
      <c r="E38" s="1103" t="s">
        <v>2089</v>
      </c>
      <c r="F38" s="1098">
        <f>'数据-取费表'!B47</f>
        <v>0.01</v>
      </c>
      <c r="G38" s="652"/>
      <c r="H38" s="943"/>
      <c r="I38" s="280" t="s">
        <v>2131</v>
      </c>
      <c r="J38" s="136">
        <f ca="1">ROUND(J34/C39,3)</f>
        <v>0.47799999999999998</v>
      </c>
      <c r="K38" s="948"/>
      <c r="L38" s="943"/>
      <c r="M38" s="943"/>
    </row>
    <row r="39" spans="1:18" ht="18" customHeight="1" thickTop="1">
      <c r="A39" s="1092" t="s">
        <v>22</v>
      </c>
      <c r="B39" s="1107" t="s">
        <v>2132</v>
      </c>
      <c r="C39" s="243">
        <f ca="1">C5-C30</f>
        <v>45417</v>
      </c>
      <c r="D39" s="1108" t="s">
        <v>2133</v>
      </c>
      <c r="E39" s="1109"/>
      <c r="F39" s="1110"/>
      <c r="G39" s="652"/>
      <c r="H39" s="943"/>
      <c r="I39" s="280" t="s">
        <v>2134</v>
      </c>
      <c r="J39" s="136">
        <f ca="1">1-J38</f>
        <v>0.52200000000000002</v>
      </c>
      <c r="K39" s="948"/>
      <c r="L39" s="943"/>
      <c r="M39" s="943"/>
    </row>
    <row r="40" spans="1:18" s="652" customFormat="1" ht="18" customHeight="1">
      <c r="A40" s="232" t="s">
        <v>23</v>
      </c>
      <c r="B40" s="233" t="s">
        <v>2135</v>
      </c>
      <c r="C40" s="234">
        <f ca="1">ROUND(C39*(1-((1+F42)/(1+F40))^F41)/(F40-F42),0)</f>
        <v>1632658</v>
      </c>
      <c r="D40" s="261" t="s">
        <v>2103</v>
      </c>
      <c r="E40" s="235" t="s">
        <v>2104</v>
      </c>
      <c r="F40" s="245">
        <f>'数据-取费表'!B16</f>
        <v>0.05</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66</v>
      </c>
      <c r="H41" s="950"/>
      <c r="I41" s="135" t="s">
        <v>2009</v>
      </c>
      <c r="J41" s="136">
        <f ca="1">ROUND(C13/C40,3)</f>
        <v>0.20499999999999999</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0.79500000000000004</v>
      </c>
      <c r="K42" s="947"/>
      <c r="L42" s="950"/>
      <c r="M42" s="950"/>
      <c r="Q42" s="656"/>
    </row>
    <row r="43" spans="1:18" s="652" customFormat="1" ht="18" customHeight="1" thickBot="1">
      <c r="A43" s="271" t="s">
        <v>24</v>
      </c>
      <c r="B43" s="272" t="s">
        <v>2138</v>
      </c>
      <c r="C43" s="273">
        <f ca="1">ROUND(C40/F43,0)</f>
        <v>18141</v>
      </c>
      <c r="D43" s="274" t="s">
        <v>2139</v>
      </c>
      <c r="E43" s="275" t="s">
        <v>2140</v>
      </c>
      <c r="F43" s="276">
        <f>IF(D1="仅计算典型户型",'数据-取费表'!E5,'数据-取费表'!B5)</f>
        <v>90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1632658</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-1749151</v>
      </c>
      <c r="D47" s="1528" t="str">
        <f>C2</f>
        <v>元</v>
      </c>
      <c r="E47" s="649"/>
      <c r="F47" s="649"/>
      <c r="I47" s="1529" t="s">
        <v>2151</v>
      </c>
      <c r="J47" s="1023"/>
      <c r="K47" s="1024"/>
      <c r="L47" s="1037">
        <f>IF(M48="住宅",0,IF(L49&gt;J52,L61,J61))</f>
        <v>0</v>
      </c>
      <c r="O47" s="1051" t="s">
        <v>951</v>
      </c>
      <c r="P47" s="1048" t="s">
        <v>2152</v>
      </c>
      <c r="Q47" s="1049">
        <f ca="1">C29</f>
        <v>371039</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66</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2019</v>
      </c>
      <c r="K50" s="1537" t="s">
        <v>2168</v>
      </c>
      <c r="L50" s="1026"/>
      <c r="O50" s="1051" t="s">
        <v>954</v>
      </c>
      <c r="P50" s="1048" t="s">
        <v>2169</v>
      </c>
      <c r="Q50" s="1049">
        <f>J54</f>
        <v>66</v>
      </c>
      <c r="R50" s="1050" t="s">
        <v>2170</v>
      </c>
    </row>
    <row r="51" spans="1:18" s="652" customFormat="1" ht="15.75" thickBot="1">
      <c r="A51" s="237"/>
      <c r="B51" s="238"/>
      <c r="C51" s="239"/>
      <c r="D51" s="240"/>
      <c r="E51" s="255" t="s">
        <v>2024</v>
      </c>
      <c r="F51" s="985">
        <f>F7</f>
        <v>90</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1632658</v>
      </c>
      <c r="R51" s="1050" t="s">
        <v>956</v>
      </c>
    </row>
    <row r="52" spans="1:18" s="652" customFormat="1" ht="16.5" thickBot="1">
      <c r="A52" s="237"/>
      <c r="B52" s="238"/>
      <c r="C52" s="239"/>
      <c r="D52" s="240"/>
      <c r="E52" s="235" t="s">
        <v>2026</v>
      </c>
      <c r="F52" s="236">
        <f>F8</f>
        <v>365</v>
      </c>
      <c r="I52" s="1538" t="s">
        <v>2173</v>
      </c>
      <c r="J52" s="1028">
        <f>IF(J50="",J51,J50+J51-YEAR('数据-取费表'!B2))</f>
        <v>-2</v>
      </c>
      <c r="K52" s="1539" t="s">
        <v>2174</v>
      </c>
      <c r="L52" s="1029">
        <f ca="1">ROUND(-PV('数据-取费表'!B15,J52,(C40-C13*J35)),0)</f>
        <v>-3286343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66</v>
      </c>
      <c r="K54" s="3396" t="s">
        <v>2708</v>
      </c>
      <c r="L54" s="3397"/>
      <c r="O54" s="1047" t="s">
        <v>949</v>
      </c>
      <c r="P54" s="1048" t="s">
        <v>2146</v>
      </c>
      <c r="Q54" s="1049">
        <f ca="1">C40+J29</f>
        <v>1632658</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333935</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371039</v>
      </c>
      <c r="D58" s="983"/>
      <c r="E58" s="984"/>
      <c r="F58" s="991"/>
      <c r="I58" s="1548" t="s">
        <v>2186</v>
      </c>
      <c r="J58" s="1034" t="str">
        <f>IF(OR(M48="住宅",J52&lt;L49,J57="是"),"——",J52-L49)</f>
        <v>——</v>
      </c>
      <c r="K58" s="1533" t="s">
        <v>2187</v>
      </c>
      <c r="L58" s="863">
        <f ca="1">IF(L49&lt;J52,"——",IF(L56="比较法",L50,IF(L56="基准地价",L51,L52)))</f>
        <v>-3286343</v>
      </c>
      <c r="O58" s="1051" t="s">
        <v>953</v>
      </c>
      <c r="P58" s="1048" t="s">
        <v>2188</v>
      </c>
      <c r="Q58" s="1049" t="e">
        <f>L59</f>
        <v>#DIV/0!</v>
      </c>
      <c r="R58" s="1050" t="s">
        <v>2189</v>
      </c>
    </row>
    <row r="59" spans="1:18" s="652" customFormat="1" ht="29.25" thickBot="1">
      <c r="A59" s="248" t="s">
        <v>14</v>
      </c>
      <c r="B59" s="249" t="s">
        <v>2118</v>
      </c>
      <c r="C59" s="250">
        <f ca="1">ROUND(C60+C65+C66+C67,0)</f>
        <v>6067</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1632658</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1632658</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5566</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-3286343</v>
      </c>
      <c r="R65" s="1054" t="s">
        <v>2209</v>
      </c>
    </row>
    <row r="66" spans="1:18" s="652" customFormat="1" ht="20.25" thickBot="1">
      <c r="A66" s="253" t="s">
        <v>20</v>
      </c>
      <c r="B66" s="235" t="s">
        <v>2087</v>
      </c>
      <c r="C66" s="13">
        <f ca="1">ROUND(C57*F66,0)</f>
        <v>501</v>
      </c>
      <c r="D66" s="1331" t="s">
        <v>2088</v>
      </c>
      <c r="E66" s="235" t="s">
        <v>2089</v>
      </c>
      <c r="F66" s="266">
        <f t="shared" si="0"/>
        <v>1.5E-3</v>
      </c>
      <c r="I66" s="1551" t="s">
        <v>2210</v>
      </c>
      <c r="J66" s="1323">
        <v>40</v>
      </c>
      <c r="K66" s="1323">
        <v>30</v>
      </c>
      <c r="L66" s="1323">
        <v>50</v>
      </c>
      <c r="M66" s="1321">
        <v>0.02</v>
      </c>
      <c r="O66" s="1051" t="s">
        <v>952</v>
      </c>
      <c r="P66" s="1055" t="s">
        <v>2211</v>
      </c>
      <c r="Q66" s="1049">
        <f ca="1">ROUND(Q67-Q68*Q69,0)</f>
        <v>23711</v>
      </c>
      <c r="R66" s="1050"/>
    </row>
    <row r="67" spans="1:18" s="652" customFormat="1" ht="15.75" thickBot="1">
      <c r="A67" s="253" t="s">
        <v>21</v>
      </c>
      <c r="B67" s="235" t="s">
        <v>2070</v>
      </c>
      <c r="C67" s="13">
        <f ca="1">ROUND(C49*F67,0)</f>
        <v>0</v>
      </c>
      <c r="D67" s="1331" t="s">
        <v>2093</v>
      </c>
      <c r="E67" s="235" t="s">
        <v>2089</v>
      </c>
      <c r="F67" s="245">
        <f t="shared" si="0"/>
        <v>0.01</v>
      </c>
      <c r="O67" s="1051" t="s">
        <v>957</v>
      </c>
      <c r="P67" s="1055" t="s">
        <v>2212</v>
      </c>
      <c r="Q67" s="1049">
        <f ca="1">C39</f>
        <v>45417</v>
      </c>
      <c r="R67" s="1050" t="s">
        <v>2147</v>
      </c>
    </row>
    <row r="68" spans="1:18" ht="15.75" thickBot="1">
      <c r="A68" s="248" t="s">
        <v>22</v>
      </c>
      <c r="B68" s="41" t="s">
        <v>2097</v>
      </c>
      <c r="C68" s="250">
        <f ca="1">C49-C59</f>
        <v>-6067</v>
      </c>
      <c r="D68" s="1328" t="s">
        <v>2098</v>
      </c>
      <c r="E68" s="1330"/>
      <c r="F68" s="268"/>
      <c r="H68" s="652"/>
      <c r="I68" s="652"/>
      <c r="J68" s="652"/>
      <c r="K68" s="652"/>
      <c r="L68" s="652"/>
      <c r="M68" s="652"/>
      <c r="O68" s="1051" t="s">
        <v>958</v>
      </c>
      <c r="P68" s="1055" t="s">
        <v>2213</v>
      </c>
      <c r="Q68" s="1049">
        <f ca="1">C13</f>
        <v>333935</v>
      </c>
      <c r="R68" s="1050" t="s">
        <v>2147</v>
      </c>
    </row>
    <row r="69" spans="1:18" ht="15.75" thickBot="1">
      <c r="A69" s="232" t="s">
        <v>23</v>
      </c>
      <c r="B69" s="233" t="s">
        <v>2135</v>
      </c>
      <c r="C69" s="234">
        <f ca="1">ROUND(C68*(1-((1+F71)/(1+F69))^F70)/(F69-F71),0)</f>
        <v>-116493</v>
      </c>
      <c r="D69" s="261" t="s">
        <v>2103</v>
      </c>
      <c r="E69" s="235" t="s">
        <v>2104</v>
      </c>
      <c r="F69" s="245">
        <f>F40</f>
        <v>0.05</v>
      </c>
      <c r="H69" s="652"/>
      <c r="I69" s="652"/>
      <c r="J69" s="652"/>
      <c r="K69" s="652"/>
      <c r="L69" s="652"/>
      <c r="M69" s="652"/>
      <c r="O69" s="1051" t="s">
        <v>959</v>
      </c>
      <c r="P69" s="1055" t="s">
        <v>2214</v>
      </c>
      <c r="Q69" s="1052">
        <f>J35</f>
        <v>6.5000000000000002E-2</v>
      </c>
      <c r="R69" s="1050"/>
    </row>
    <row r="70" spans="1:18" ht="15.75" thickBot="1">
      <c r="A70" s="237"/>
      <c r="B70" s="238"/>
      <c r="C70" s="239"/>
      <c r="D70" s="269" t="s">
        <v>2137</v>
      </c>
      <c r="E70" s="235" t="s">
        <v>2109</v>
      </c>
      <c r="F70" s="270">
        <f>F41</f>
        <v>66</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-1294</v>
      </c>
      <c r="D72" s="274" t="s">
        <v>2139</v>
      </c>
      <c r="E72" s="275" t="s">
        <v>2140</v>
      </c>
      <c r="F72" s="276">
        <f>F43</f>
        <v>90</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1632658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78"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27" sqref="A27:D527"/>
    </sheetView>
  </sheetViews>
  <sheetFormatPr defaultColWidth="8.875" defaultRowHeight="13.5"/>
  <cols>
    <col min="1" max="1" width="10.5" customWidth="1"/>
    <col min="2" max="2" width="12.875" customWidth="1"/>
    <col min="3" max="3" width="8.875" customWidth="1"/>
    <col min="4" max="4" width="9" bestFit="1" customWidth="1"/>
    <col min="5" max="5" width="9.875" bestFit="1" customWidth="1"/>
    <col min="8" max="9" width="9" bestFit="1" customWidth="1"/>
  </cols>
  <sheetData>
    <row r="1" spans="1:9" ht="14.25">
      <c r="A1" s="3414" t="s">
        <v>1013</v>
      </c>
      <c r="B1" s="3415"/>
      <c r="C1" s="3416"/>
      <c r="D1" s="3417">
        <f>SUM(I10,I15,I20,I21,I23)</f>
        <v>0</v>
      </c>
      <c r="E1" s="3417"/>
      <c r="F1" s="3417"/>
      <c r="G1" s="3417"/>
      <c r="H1" s="3417"/>
      <c r="I1" s="3418"/>
    </row>
    <row r="2" spans="1:9">
      <c r="A2" s="3404" t="s">
        <v>1014</v>
      </c>
      <c r="B2" s="3405" t="s">
        <v>963</v>
      </c>
      <c r="C2" s="3405"/>
      <c r="D2" s="1062" t="s">
        <v>964</v>
      </c>
      <c r="E2" s="1062" t="s">
        <v>965</v>
      </c>
      <c r="F2" s="1062" t="s">
        <v>966</v>
      </c>
      <c r="G2" s="1062" t="s">
        <v>967</v>
      </c>
      <c r="H2" s="1062" t="s">
        <v>968</v>
      </c>
      <c r="I2" s="1063" t="s">
        <v>969</v>
      </c>
    </row>
    <row r="3" spans="1:9">
      <c r="A3" s="3404"/>
      <c r="B3" s="3405" t="s">
        <v>970</v>
      </c>
      <c r="C3" s="3405"/>
      <c r="D3" s="1064"/>
      <c r="E3" s="1062"/>
      <c r="F3" s="1065"/>
      <c r="G3" s="1065"/>
      <c r="H3" s="1066"/>
      <c r="I3" s="1067">
        <f>ROUND(D3*E3*F3*G3*H3/10000,0)</f>
        <v>0</v>
      </c>
    </row>
    <row r="4" spans="1:9">
      <c r="A4" s="3404"/>
      <c r="B4" s="3405" t="s">
        <v>971</v>
      </c>
      <c r="C4" s="3405"/>
      <c r="D4" s="1064"/>
      <c r="E4" s="1062"/>
      <c r="F4" s="1065"/>
      <c r="G4" s="1065"/>
      <c r="H4" s="1066"/>
      <c r="I4" s="1067">
        <f t="shared" ref="I4:I9" si="0">ROUND(D4*E4*F4*G4*H4/10000,0)</f>
        <v>0</v>
      </c>
    </row>
    <row r="5" spans="1:9">
      <c r="A5" s="3404"/>
      <c r="B5" s="3405" t="s">
        <v>972</v>
      </c>
      <c r="C5" s="3405"/>
      <c r="D5" s="1064"/>
      <c r="E5" s="1062"/>
      <c r="F5" s="1065"/>
      <c r="G5" s="1065"/>
      <c r="H5" s="1066"/>
      <c r="I5" s="1067">
        <f t="shared" si="0"/>
        <v>0</v>
      </c>
    </row>
    <row r="6" spans="1:9">
      <c r="A6" s="3404"/>
      <c r="B6" s="3405" t="s">
        <v>973</v>
      </c>
      <c r="C6" s="3405"/>
      <c r="D6" s="1064"/>
      <c r="E6" s="1062"/>
      <c r="F6" s="1065"/>
      <c r="G6" s="1065"/>
      <c r="H6" s="1066"/>
      <c r="I6" s="1067">
        <f t="shared" si="0"/>
        <v>0</v>
      </c>
    </row>
    <row r="7" spans="1:9">
      <c r="A7" s="3404"/>
      <c r="B7" s="3405" t="s">
        <v>974</v>
      </c>
      <c r="C7" s="3405"/>
      <c r="D7" s="1064"/>
      <c r="E7" s="1062"/>
      <c r="F7" s="1065"/>
      <c r="G7" s="1065"/>
      <c r="H7" s="1066"/>
      <c r="I7" s="1067">
        <f t="shared" si="0"/>
        <v>0</v>
      </c>
    </row>
    <row r="8" spans="1:9">
      <c r="A8" s="3404"/>
      <c r="B8" s="3405" t="s">
        <v>975</v>
      </c>
      <c r="C8" s="3405"/>
      <c r="D8" s="1064"/>
      <c r="E8" s="1062"/>
      <c r="F8" s="1065"/>
      <c r="G8" s="1065"/>
      <c r="H8" s="1066"/>
      <c r="I8" s="1067">
        <f t="shared" si="0"/>
        <v>0</v>
      </c>
    </row>
    <row r="9" spans="1:9">
      <c r="A9" s="3404"/>
      <c r="B9" s="3405" t="s">
        <v>976</v>
      </c>
      <c r="C9" s="3405"/>
      <c r="D9" s="1064"/>
      <c r="E9" s="1062"/>
      <c r="F9" s="1065"/>
      <c r="G9" s="1065"/>
      <c r="H9" s="1066"/>
      <c r="I9" s="1067">
        <f t="shared" si="0"/>
        <v>0</v>
      </c>
    </row>
    <row r="10" spans="1:9">
      <c r="A10" s="3404"/>
      <c r="B10" s="3406" t="s">
        <v>977</v>
      </c>
      <c r="C10" s="3406"/>
      <c r="D10" s="1068">
        <v>527</v>
      </c>
      <c r="E10" s="1068" t="e">
        <f>ROUND(D1*10000/D10/H9,0)</f>
        <v>#DIV/0!</v>
      </c>
      <c r="F10" s="1069"/>
      <c r="G10" s="1069"/>
      <c r="H10" s="1070"/>
      <c r="I10" s="1071">
        <f>SUM(I3:I9)</f>
        <v>0</v>
      </c>
    </row>
    <row r="11" spans="1:9" ht="14.25">
      <c r="A11" s="3404" t="s">
        <v>1015</v>
      </c>
      <c r="B11" s="3405" t="s">
        <v>978</v>
      </c>
      <c r="C11" s="3405"/>
      <c r="D11" s="1064" t="s">
        <v>979</v>
      </c>
      <c r="E11" s="1064" t="s">
        <v>980</v>
      </c>
      <c r="F11" s="1065" t="s">
        <v>981</v>
      </c>
      <c r="G11" s="1065" t="s">
        <v>968</v>
      </c>
      <c r="H11" s="1072" t="s">
        <v>982</v>
      </c>
      <c r="I11" s="1063" t="s">
        <v>969</v>
      </c>
    </row>
    <row r="12" spans="1:9">
      <c r="A12" s="3404"/>
      <c r="B12" s="3405" t="s">
        <v>983</v>
      </c>
      <c r="C12" s="3405"/>
      <c r="D12" s="1064"/>
      <c r="E12" s="1064"/>
      <c r="F12" s="1065"/>
      <c r="G12" s="1066"/>
      <c r="H12" s="1073"/>
      <c r="I12" s="1063">
        <f>ROUND(D12*E12*F12*G12/10000,0)</f>
        <v>0</v>
      </c>
    </row>
    <row r="13" spans="1:9">
      <c r="A13" s="3404"/>
      <c r="B13" s="3405" t="s">
        <v>984</v>
      </c>
      <c r="C13" s="3405"/>
      <c r="D13" s="1064"/>
      <c r="E13" s="1064"/>
      <c r="F13" s="1065"/>
      <c r="G13" s="1066"/>
      <c r="H13" s="1073"/>
      <c r="I13" s="1063">
        <f>ROUND(D13*E13*F13*G13/10000,0)</f>
        <v>0</v>
      </c>
    </row>
    <row r="14" spans="1:9">
      <c r="A14" s="3404"/>
      <c r="B14" s="3405" t="s">
        <v>985</v>
      </c>
      <c r="C14" s="3405"/>
      <c r="D14" s="1064"/>
      <c r="E14" s="1064"/>
      <c r="F14" s="1065"/>
      <c r="G14" s="1066"/>
      <c r="H14" s="1073"/>
      <c r="I14" s="1063">
        <f>ROUND(D14*E14*F14*G14/10000,0)</f>
        <v>0</v>
      </c>
    </row>
    <row r="15" spans="1:9">
      <c r="A15" s="3404"/>
      <c r="B15" s="3406" t="s">
        <v>977</v>
      </c>
      <c r="C15" s="3406"/>
      <c r="D15" s="1068"/>
      <c r="E15" s="1068">
        <f>SUM(E12:E14)</f>
        <v>0</v>
      </c>
      <c r="F15" s="1069"/>
      <c r="G15" s="1066"/>
      <c r="H15" s="1073"/>
      <c r="I15" s="1074">
        <f>SUM(I12:I14)</f>
        <v>0</v>
      </c>
    </row>
    <row r="16" spans="1:9" ht="24">
      <c r="A16" s="3404" t="s">
        <v>1016</v>
      </c>
      <c r="B16" s="3405" t="s">
        <v>986</v>
      </c>
      <c r="C16" s="3405"/>
      <c r="D16" s="1064" t="s">
        <v>964</v>
      </c>
      <c r="E16" s="1075" t="s">
        <v>987</v>
      </c>
      <c r="F16" s="1065" t="s">
        <v>988</v>
      </c>
      <c r="G16" s="1066" t="s">
        <v>968</v>
      </c>
      <c r="H16" s="1072" t="s">
        <v>982</v>
      </c>
      <c r="I16" s="1063" t="s">
        <v>969</v>
      </c>
    </row>
    <row r="17" spans="1:9" ht="14.25">
      <c r="A17" s="3404"/>
      <c r="B17" s="3405" t="s">
        <v>989</v>
      </c>
      <c r="C17" s="3405"/>
      <c r="D17" s="1064"/>
      <c r="E17" s="1064"/>
      <c r="F17" s="1065"/>
      <c r="G17" s="1066"/>
      <c r="H17" s="1076"/>
      <c r="I17" s="1077">
        <f>ROUND(D17*E17*F17*G17/10000,0)</f>
        <v>0</v>
      </c>
    </row>
    <row r="18" spans="1:9" ht="14.25">
      <c r="A18" s="3404"/>
      <c r="B18" s="3405" t="s">
        <v>990</v>
      </c>
      <c r="C18" s="3405"/>
      <c r="D18" s="1064"/>
      <c r="E18" s="1064"/>
      <c r="F18" s="1065"/>
      <c r="G18" s="1066"/>
      <c r="H18" s="1076"/>
      <c r="I18" s="1077">
        <f>ROUND(D18*E18*F18*G18/10000,0)</f>
        <v>0</v>
      </c>
    </row>
    <row r="19" spans="1:9" ht="14.25">
      <c r="A19" s="3404"/>
      <c r="B19" s="3405" t="s">
        <v>991</v>
      </c>
      <c r="C19" s="3405"/>
      <c r="D19" s="1064"/>
      <c r="E19" s="1064"/>
      <c r="F19" s="1065"/>
      <c r="G19" s="1066"/>
      <c r="H19" s="1076"/>
      <c r="I19" s="1077">
        <f>ROUND(D19*E19*F19*G19/10000,0)</f>
        <v>0</v>
      </c>
    </row>
    <row r="20" spans="1:9">
      <c r="A20" s="3404"/>
      <c r="B20" s="3406" t="s">
        <v>977</v>
      </c>
      <c r="C20" s="3406"/>
      <c r="D20" s="1068">
        <f>SUM(D17:D19)</f>
        <v>0</v>
      </c>
      <c r="E20" s="1068"/>
      <c r="F20" s="1069"/>
      <c r="G20" s="1066"/>
      <c r="H20" s="1073"/>
      <c r="I20" s="1074">
        <f>SUM(I17:I19)</f>
        <v>0</v>
      </c>
    </row>
    <row r="21" spans="1:9">
      <c r="A21" s="3404" t="s">
        <v>1017</v>
      </c>
      <c r="B21" s="3407"/>
      <c r="C21" s="3407"/>
      <c r="D21" s="3407"/>
      <c r="E21" s="3407"/>
      <c r="F21" s="3407"/>
      <c r="G21" s="3407"/>
      <c r="H21" s="1078">
        <v>0.1</v>
      </c>
      <c r="I21" s="1071">
        <f>ROUND(I10*H21,0)</f>
        <v>0</v>
      </c>
    </row>
    <row r="22" spans="1:9" ht="14.25">
      <c r="A22" s="3408" t="s">
        <v>1018</v>
      </c>
      <c r="B22" s="3409"/>
      <c r="C22" s="3410"/>
      <c r="D22" s="1079" t="s">
        <v>992</v>
      </c>
      <c r="E22" s="1079" t="s">
        <v>993</v>
      </c>
      <c r="F22" s="1080" t="s">
        <v>968</v>
      </c>
      <c r="G22" s="1080" t="s">
        <v>994</v>
      </c>
      <c r="H22" s="1072" t="s">
        <v>982</v>
      </c>
      <c r="I22" s="1063" t="s">
        <v>969</v>
      </c>
    </row>
    <row r="23" spans="1:9" ht="14.25" thickBot="1">
      <c r="A23" s="3411"/>
      <c r="B23" s="3412"/>
      <c r="C23" s="3413"/>
      <c r="D23" s="1081"/>
      <c r="E23" s="1081"/>
      <c r="F23" s="1081"/>
      <c r="G23" s="1082"/>
      <c r="H23" s="1083"/>
      <c r="I23" s="1084">
        <f>ROUND(E23*D23*F23*(1-G23)/10000,0)</f>
        <v>0</v>
      </c>
    </row>
    <row r="26" spans="1:9">
      <c r="A26" s="1085" t="s">
        <v>995</v>
      </c>
      <c r="B26" s="1085"/>
      <c r="C26" s="1085"/>
      <c r="D26" s="1085"/>
      <c r="E26" s="3401">
        <f>C27-C30-C31-C32</f>
        <v>0</v>
      </c>
      <c r="F26" s="3401"/>
      <c r="G26" s="3401"/>
      <c r="H26" s="1304" t="s">
        <v>1206</v>
      </c>
    </row>
    <row r="27" spans="1:9">
      <c r="A27" s="1086">
        <v>1</v>
      </c>
      <c r="B27" s="1087" t="s">
        <v>996</v>
      </c>
      <c r="C27" s="1087">
        <f>C28+C29</f>
        <v>0</v>
      </c>
      <c r="D27" s="1087"/>
      <c r="E27" s="3402"/>
      <c r="F27" s="3402"/>
      <c r="G27" s="3402"/>
    </row>
    <row r="28" spans="1:9">
      <c r="A28" s="1088" t="s">
        <v>997</v>
      </c>
      <c r="B28" s="1087" t="s">
        <v>998</v>
      </c>
      <c r="C28" s="1087"/>
      <c r="D28" s="1087"/>
      <c r="E28" s="3402"/>
      <c r="F28" s="3402"/>
      <c r="G28" s="340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3"/>
      <c r="F32" s="3403"/>
      <c r="G32" s="3403"/>
    </row>
    <row r="33" spans="1:7" hidden="1">
      <c r="A33" s="3398" t="s">
        <v>1007</v>
      </c>
      <c r="B33" s="3399"/>
      <c r="C33" s="3399"/>
      <c r="D33" s="3400"/>
      <c r="E33" s="3401"/>
      <c r="F33" s="3401"/>
      <c r="G33" s="3401"/>
    </row>
    <row r="34" spans="1:7" hidden="1">
      <c r="A34" s="1090">
        <v>1</v>
      </c>
      <c r="B34" s="1087" t="s">
        <v>1008</v>
      </c>
      <c r="C34" s="1087"/>
      <c r="D34" s="1087"/>
      <c r="E34" s="3402"/>
      <c r="F34" s="3402"/>
      <c r="G34" s="3402"/>
    </row>
    <row r="35" spans="1:7" hidden="1">
      <c r="A35" s="1090">
        <v>2</v>
      </c>
      <c r="B35" s="1087" t="s">
        <v>1009</v>
      </c>
      <c r="C35" s="1087"/>
      <c r="D35" s="1087"/>
      <c r="E35" s="3402"/>
      <c r="F35" s="3402"/>
      <c r="G35" s="3402"/>
    </row>
    <row r="36" spans="1:7" hidden="1">
      <c r="A36" s="1090">
        <v>3</v>
      </c>
      <c r="B36" s="1087" t="s">
        <v>1010</v>
      </c>
      <c r="C36" s="1087"/>
      <c r="D36" s="1087"/>
      <c r="E36" s="3402"/>
      <c r="F36" s="3402"/>
      <c r="G36" s="3402"/>
    </row>
    <row r="37" spans="1:7" hidden="1">
      <c r="A37" s="1090">
        <v>4</v>
      </c>
      <c r="B37" s="1087" t="s">
        <v>1011</v>
      </c>
      <c r="C37" s="1087"/>
      <c r="D37" s="1087"/>
      <c r="E37" s="3402"/>
      <c r="F37" s="3402"/>
      <c r="G37" s="3402"/>
    </row>
    <row r="38" spans="1:7" hidden="1">
      <c r="A38" s="3398" t="s">
        <v>1012</v>
      </c>
      <c r="B38" s="3399"/>
      <c r="C38" s="3399"/>
      <c r="D38" s="3400"/>
      <c r="E38" s="3401"/>
      <c r="F38" s="3401"/>
      <c r="G38" s="34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A27:D527"/>
      <selection pane="bottomLeft" activeCell="C27" sqref="A27:D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2" t="s">
        <v>2220</v>
      </c>
      <c r="D4" s="3423"/>
      <c r="E4" s="3423"/>
      <c r="F4" s="3423"/>
      <c r="G4" s="3423"/>
      <c r="H4" s="3423"/>
      <c r="I4" s="3423"/>
      <c r="J4" s="3423"/>
      <c r="K4" s="3423"/>
      <c r="L4" s="3423"/>
      <c r="M4" s="3423"/>
      <c r="N4" s="3423"/>
      <c r="O4" s="3423"/>
      <c r="P4" s="3423"/>
      <c r="Q4" s="3423"/>
      <c r="R4" s="3423"/>
      <c r="S4" s="3424"/>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19" t="s">
        <v>45</v>
      </c>
      <c r="D25" s="3420"/>
      <c r="E25" s="3420"/>
      <c r="F25" s="3420"/>
      <c r="G25" s="3420"/>
      <c r="H25" s="3420"/>
      <c r="I25" s="3420"/>
      <c r="J25" s="3420"/>
      <c r="K25" s="3420"/>
      <c r="L25" s="3420"/>
      <c r="M25" s="3420"/>
      <c r="N25" s="3420"/>
      <c r="O25" s="3420"/>
      <c r="P25" s="3420"/>
      <c r="Q25" s="3421"/>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
  <sheetViews>
    <sheetView workbookViewId="0">
      <selection activeCell="H12" sqref="H12"/>
    </sheetView>
  </sheetViews>
  <sheetFormatPr defaultColWidth="11" defaultRowHeight="13.5"/>
  <sheetData>
    <row r="1" spans="1:3">
      <c r="A1">
        <v>3800</v>
      </c>
      <c r="B1">
        <v>87</v>
      </c>
      <c r="C1">
        <f>A1/B1/30</f>
        <v>1.4559386973180077</v>
      </c>
    </row>
    <row r="2" spans="1:3">
      <c r="A2">
        <v>4000</v>
      </c>
      <c r="B2">
        <v>82</v>
      </c>
      <c r="C2">
        <f t="shared" ref="C2:C5" si="0">A2/B2/30</f>
        <v>1.6260162601626016</v>
      </c>
    </row>
    <row r="3" spans="1:3">
      <c r="A3">
        <v>4200</v>
      </c>
      <c r="B3">
        <v>87</v>
      </c>
      <c r="C3">
        <f t="shared" si="0"/>
        <v>1.6091954022988506</v>
      </c>
    </row>
    <row r="4" spans="1:3">
      <c r="A4">
        <v>3500</v>
      </c>
      <c r="B4">
        <v>54</v>
      </c>
      <c r="C4">
        <f t="shared" si="0"/>
        <v>2.1604938271604937</v>
      </c>
    </row>
    <row r="5" spans="1:3">
      <c r="A5">
        <v>4900</v>
      </c>
      <c r="B5">
        <v>85</v>
      </c>
      <c r="C5">
        <f t="shared" si="0"/>
        <v>1.9215686274509804</v>
      </c>
    </row>
  </sheetData>
  <phoneticPr fontId="14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8" zoomScaleNormal="70" zoomScaleSheetLayoutView="100" workbookViewId="0">
      <selection activeCell="D60" sqref="D60"/>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2755</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3516660</v>
      </c>
      <c r="C2" s="1651" t="str">
        <f>'数据-取费表'!B3</f>
        <v>元</v>
      </c>
      <c r="D2" s="1652" t="s">
        <v>1240</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39074</v>
      </c>
      <c r="C3" s="1660" t="s">
        <v>2252</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58" t="s">
        <v>2254</v>
      </c>
      <c r="D4" s="3459"/>
      <c r="E4" s="3460" t="s">
        <v>2255</v>
      </c>
      <c r="F4" s="3461"/>
      <c r="G4" s="3458" t="s">
        <v>2256</v>
      </c>
      <c r="H4" s="3459"/>
      <c r="I4" s="3458" t="s">
        <v>2257</v>
      </c>
      <c r="J4" s="3459"/>
      <c r="K4" s="1665" t="s">
        <v>2258</v>
      </c>
      <c r="L4" s="2999"/>
      <c r="M4" s="3000"/>
      <c r="N4" s="3000"/>
      <c r="O4" s="3000"/>
      <c r="P4" s="3462" t="s">
        <v>2259</v>
      </c>
      <c r="Q4" s="3463"/>
      <c r="R4" s="3447" t="s">
        <v>2255</v>
      </c>
      <c r="S4" s="3448"/>
      <c r="T4" s="3447" t="s">
        <v>2256</v>
      </c>
      <c r="U4" s="3448"/>
      <c r="V4" s="3468" t="s">
        <v>2257</v>
      </c>
      <c r="W4" s="3468"/>
      <c r="X4" s="1666"/>
      <c r="Y4" s="3447" t="s">
        <v>2259</v>
      </c>
      <c r="Z4" s="3448"/>
      <c r="AA4" s="3455" t="s">
        <v>2255</v>
      </c>
      <c r="AB4" s="3455" t="s">
        <v>2256</v>
      </c>
      <c r="AC4" s="3455" t="s">
        <v>2257</v>
      </c>
    </row>
    <row r="5" spans="1:29" ht="15">
      <c r="A5" s="1668"/>
      <c r="B5" s="1669"/>
      <c r="C5" s="3471" t="s">
        <v>2260</v>
      </c>
      <c r="D5" s="3444"/>
      <c r="E5" s="3469" t="s">
        <v>2939</v>
      </c>
      <c r="F5" s="3470"/>
      <c r="G5" s="3443" t="s">
        <v>2940</v>
      </c>
      <c r="H5" s="3444"/>
      <c r="I5" s="3443" t="s">
        <v>2945</v>
      </c>
      <c r="J5" s="3444"/>
      <c r="K5" s="1670"/>
      <c r="L5" s="2999"/>
      <c r="M5" s="3000"/>
      <c r="N5" s="3000"/>
      <c r="O5" s="3000"/>
      <c r="P5" s="3464"/>
      <c r="Q5" s="3465"/>
      <c r="R5" s="3449"/>
      <c r="S5" s="3450"/>
      <c r="T5" s="3449"/>
      <c r="U5" s="3450"/>
      <c r="V5" s="3468"/>
      <c r="W5" s="3468"/>
      <c r="X5" s="1666"/>
      <c r="Y5" s="3449"/>
      <c r="Z5" s="3450"/>
      <c r="AA5" s="3456"/>
      <c r="AB5" s="3456"/>
      <c r="AC5" s="3456"/>
    </row>
    <row r="6" spans="1:29" ht="15.75" thickBot="1">
      <c r="A6" s="1671"/>
      <c r="B6" s="1672"/>
      <c r="C6" s="3441" t="s">
        <v>2264</v>
      </c>
      <c r="D6" s="3442"/>
      <c r="E6" s="3472" t="s">
        <v>2264</v>
      </c>
      <c r="F6" s="3473"/>
      <c r="G6" s="3441" t="s">
        <v>2264</v>
      </c>
      <c r="H6" s="3442"/>
      <c r="I6" s="3441" t="s">
        <v>2264</v>
      </c>
      <c r="J6" s="3442"/>
      <c r="K6" s="1670" t="s">
        <v>2265</v>
      </c>
      <c r="L6" s="2999"/>
      <c r="M6" s="3000"/>
      <c r="N6" s="3000"/>
      <c r="O6" s="3000"/>
      <c r="P6" s="3466"/>
      <c r="Q6" s="3467"/>
      <c r="R6" s="3449"/>
      <c r="S6" s="3450"/>
      <c r="T6" s="3451"/>
      <c r="U6" s="3452"/>
      <c r="V6" s="3468"/>
      <c r="W6" s="3468"/>
      <c r="X6" s="1666"/>
      <c r="Y6" s="3451"/>
      <c r="Z6" s="3452"/>
      <c r="AA6" s="3457"/>
      <c r="AB6" s="3457"/>
      <c r="AC6" s="3457"/>
    </row>
    <row r="7" spans="1:29" s="1685" customFormat="1" ht="15.75" thickBot="1">
      <c r="A7" s="1673" t="s">
        <v>2266</v>
      </c>
      <c r="B7" s="1674"/>
      <c r="C7" s="1675">
        <f>'数据-取费表'!B2</f>
        <v>44235</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45" t="s">
        <v>2267</v>
      </c>
      <c r="Q7" s="3453"/>
      <c r="R7" s="1681" t="s">
        <v>34</v>
      </c>
      <c r="S7" s="1682">
        <f t="shared" ref="S7:S15" si="0">F7</f>
        <v>100</v>
      </c>
      <c r="T7" s="1681" t="s">
        <v>34</v>
      </c>
      <c r="U7" s="1682">
        <f t="shared" ref="U7:U15" si="1">H7</f>
        <v>100</v>
      </c>
      <c r="V7" s="1681" t="s">
        <v>34</v>
      </c>
      <c r="W7" s="1682">
        <f t="shared" ref="W7:W15" si="2">J7</f>
        <v>100</v>
      </c>
      <c r="X7" s="1683"/>
      <c r="Y7" s="3445" t="s">
        <v>2267</v>
      </c>
      <c r="Z7" s="3446"/>
      <c r="AA7" s="1684">
        <f>D7/F7</f>
        <v>1</v>
      </c>
      <c r="AB7" s="1684">
        <f>D7/H7</f>
        <v>1</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45" t="s">
        <v>2270</v>
      </c>
      <c r="Q8" s="3446"/>
      <c r="R8" s="1681" t="s">
        <v>34</v>
      </c>
      <c r="S8" s="1682">
        <f t="shared" si="0"/>
        <v>100</v>
      </c>
      <c r="T8" s="1681" t="s">
        <v>34</v>
      </c>
      <c r="U8" s="1682">
        <f t="shared" si="1"/>
        <v>100</v>
      </c>
      <c r="V8" s="1681" t="s">
        <v>34</v>
      </c>
      <c r="W8" s="1682">
        <f t="shared" si="2"/>
        <v>100</v>
      </c>
      <c r="X8" s="1683"/>
      <c r="Y8" s="3445" t="s">
        <v>2270</v>
      </c>
      <c r="Z8" s="3446"/>
      <c r="AA8" s="1684">
        <f t="shared" ref="AA8:AA46" si="3">D8/F8</f>
        <v>1</v>
      </c>
      <c r="AB8" s="1684">
        <f t="shared" ref="AB8:AB46" si="4">D8/H8</f>
        <v>1</v>
      </c>
      <c r="AC8" s="1684">
        <f t="shared" ref="AC8:AC46" si="5">D8/J8</f>
        <v>1</v>
      </c>
    </row>
    <row r="9" spans="1:29" s="1685" customFormat="1">
      <c r="A9" s="1636" t="s">
        <v>2271</v>
      </c>
      <c r="B9" s="1688" t="s">
        <v>2272</v>
      </c>
      <c r="C9" s="1689" t="s">
        <v>2920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2999"/>
      <c r="M9" s="2972"/>
      <c r="N9" s="2972"/>
      <c r="O9" s="2972"/>
      <c r="P9" s="3454" t="s">
        <v>2273</v>
      </c>
      <c r="Q9" s="1635"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2919</v>
      </c>
      <c r="D10" s="1698">
        <v>100</v>
      </c>
      <c r="E10" s="1699" t="s">
        <v>2919</v>
      </c>
      <c r="F10" s="1700">
        <f>SUMIF(65:65,E10,66:66)-SUMIF(65:65,C10,66:66)+100</f>
        <v>100</v>
      </c>
      <c r="G10" s="1697" t="s">
        <v>2919</v>
      </c>
      <c r="H10" s="1698">
        <f>SUMIF(65:65,G10,66:66)-SUMIF(65:65,C10,66:66)+100</f>
        <v>100</v>
      </c>
      <c r="I10" s="1697" t="s">
        <v>2919</v>
      </c>
      <c r="J10" s="1698">
        <f>SUMIF(65:65,I10,66:66)-SUMIF(65:65,C10,66:66)+100</f>
        <v>100</v>
      </c>
      <c r="K10" s="1701"/>
      <c r="L10" s="3001"/>
      <c r="M10" s="3002"/>
      <c r="N10" s="3002"/>
      <c r="O10" s="3002"/>
      <c r="P10" s="3454"/>
      <c r="Q10" s="163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hidden="1">
      <c r="A11" s="1703"/>
      <c r="B11" s="1696" t="s">
        <v>2276</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54"/>
      <c r="Q11" s="1635" t="str">
        <f t="shared" si="6"/>
        <v>容积率</v>
      </c>
      <c r="R11" s="1681" t="s">
        <v>28</v>
      </c>
      <c r="S11" s="1682">
        <f t="shared" si="0"/>
        <v>100</v>
      </c>
      <c r="T11" s="1681" t="s">
        <v>28</v>
      </c>
      <c r="U11" s="1682">
        <f t="shared" si="1"/>
        <v>100</v>
      </c>
      <c r="V11" s="1681" t="s">
        <v>28</v>
      </c>
      <c r="W11" s="1682">
        <f t="shared" si="2"/>
        <v>100</v>
      </c>
      <c r="X11" s="1683"/>
      <c r="Y11" s="3292"/>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4"/>
      <c r="Q12" s="1635">
        <f t="shared" si="6"/>
        <v>111</v>
      </c>
      <c r="R12" s="1681" t="s">
        <v>28</v>
      </c>
      <c r="S12" s="1682">
        <f t="shared" si="0"/>
        <v>100</v>
      </c>
      <c r="T12" s="1681" t="s">
        <v>28</v>
      </c>
      <c r="U12" s="1682">
        <f t="shared" si="1"/>
        <v>100</v>
      </c>
      <c r="V12" s="1681" t="s">
        <v>28</v>
      </c>
      <c r="W12" s="1682">
        <f t="shared" si="2"/>
        <v>100</v>
      </c>
      <c r="X12" s="1683"/>
      <c r="Y12" s="3292"/>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4"/>
      <c r="Q13" s="1635">
        <f t="shared" si="6"/>
        <v>111</v>
      </c>
      <c r="R13" s="1681" t="s">
        <v>28</v>
      </c>
      <c r="S13" s="1682">
        <f t="shared" si="0"/>
        <v>100</v>
      </c>
      <c r="T13" s="1681" t="s">
        <v>28</v>
      </c>
      <c r="U13" s="1682">
        <f t="shared" si="1"/>
        <v>100</v>
      </c>
      <c r="V13" s="1681" t="s">
        <v>28</v>
      </c>
      <c r="W13" s="1682">
        <f t="shared" si="2"/>
        <v>100</v>
      </c>
      <c r="X13" s="1683"/>
      <c r="Y13" s="3292"/>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4"/>
      <c r="Q14" s="1635">
        <f t="shared" si="6"/>
        <v>111</v>
      </c>
      <c r="R14" s="1681" t="s">
        <v>28</v>
      </c>
      <c r="S14" s="1682">
        <f t="shared" si="0"/>
        <v>100</v>
      </c>
      <c r="T14" s="1681" t="s">
        <v>28</v>
      </c>
      <c r="U14" s="1682">
        <f t="shared" si="1"/>
        <v>100</v>
      </c>
      <c r="V14" s="1681" t="s">
        <v>28</v>
      </c>
      <c r="W14" s="1682">
        <f t="shared" si="2"/>
        <v>100</v>
      </c>
      <c r="X14" s="1683"/>
      <c r="Y14" s="3292"/>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32" t="s">
        <v>2278</v>
      </c>
      <c r="Q15" s="1616" t="str">
        <f t="shared" si="6"/>
        <v>居住社区成熟度</v>
      </c>
      <c r="R15" s="1726" t="s">
        <v>28</v>
      </c>
      <c r="S15" s="1727">
        <f t="shared" si="0"/>
        <v>100</v>
      </c>
      <c r="T15" s="1726" t="s">
        <v>28</v>
      </c>
      <c r="U15" s="1727">
        <f t="shared" si="1"/>
        <v>100</v>
      </c>
      <c r="V15" s="1726" t="s">
        <v>28</v>
      </c>
      <c r="W15" s="1727">
        <f t="shared" si="2"/>
        <v>100</v>
      </c>
      <c r="X15" s="1666"/>
      <c r="Y15" s="3434" t="s">
        <v>2278</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33"/>
      <c r="Q16" s="1616"/>
      <c r="R16" s="1726"/>
      <c r="S16" s="1727"/>
      <c r="T16" s="1726"/>
      <c r="U16" s="1727"/>
      <c r="V16" s="1726"/>
      <c r="W16" s="1727"/>
      <c r="X16" s="1666"/>
      <c r="Y16" s="3435"/>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33"/>
      <c r="Q17" s="1616" t="str">
        <f>B17</f>
        <v>交通便捷度</v>
      </c>
      <c r="R17" s="1726" t="s">
        <v>28</v>
      </c>
      <c r="S17" s="1727">
        <f>F17</f>
        <v>100</v>
      </c>
      <c r="T17" s="1726" t="s">
        <v>28</v>
      </c>
      <c r="U17" s="1727">
        <f>H17</f>
        <v>100</v>
      </c>
      <c r="V17" s="1726" t="s">
        <v>28</v>
      </c>
      <c r="W17" s="1727">
        <f>J17</f>
        <v>100</v>
      </c>
      <c r="X17" s="1666"/>
      <c r="Y17" s="3435"/>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33"/>
      <c r="Q18" s="1616"/>
      <c r="R18" s="1726"/>
      <c r="S18" s="1727"/>
      <c r="T18" s="1726"/>
      <c r="U18" s="1727"/>
      <c r="V18" s="1726"/>
      <c r="W18" s="1727"/>
      <c r="X18" s="1666"/>
      <c r="Y18" s="3435"/>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33"/>
      <c r="Q19" s="1616" t="str">
        <f>B19</f>
        <v>公共配套设施</v>
      </c>
      <c r="R19" s="1726" t="s">
        <v>28</v>
      </c>
      <c r="S19" s="1727">
        <f>F19</f>
        <v>100</v>
      </c>
      <c r="T19" s="1726" t="s">
        <v>28</v>
      </c>
      <c r="U19" s="1727">
        <f>H19</f>
        <v>100</v>
      </c>
      <c r="V19" s="1726" t="s">
        <v>28</v>
      </c>
      <c r="W19" s="1727">
        <f>J19</f>
        <v>100</v>
      </c>
      <c r="X19" s="1666"/>
      <c r="Y19" s="3435"/>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33"/>
      <c r="Q20" s="1616"/>
      <c r="R20" s="1726"/>
      <c r="S20" s="1727"/>
      <c r="T20" s="1726"/>
      <c r="U20" s="1727"/>
      <c r="V20" s="1726"/>
      <c r="W20" s="1727"/>
      <c r="X20" s="1666"/>
      <c r="Y20" s="3435"/>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33"/>
      <c r="Q21" s="1616" t="str">
        <f>B21</f>
        <v>基础设施水平</v>
      </c>
      <c r="R21" s="1726" t="s">
        <v>28</v>
      </c>
      <c r="S21" s="1727">
        <f>F21</f>
        <v>100</v>
      </c>
      <c r="T21" s="1726" t="s">
        <v>28</v>
      </c>
      <c r="U21" s="1727">
        <f>H21</f>
        <v>100</v>
      </c>
      <c r="V21" s="1726" t="s">
        <v>28</v>
      </c>
      <c r="W21" s="1727">
        <f>J21</f>
        <v>100</v>
      </c>
      <c r="X21" s="1666"/>
      <c r="Y21" s="3435"/>
      <c r="Z21" s="1728" t="str">
        <f>Q21</f>
        <v>基础设施水平</v>
      </c>
      <c r="AA21" s="1729">
        <f t="shared" ref="AA21" si="8">D21/F21</f>
        <v>1</v>
      </c>
      <c r="AB21" s="1729">
        <f t="shared" ref="AB21" si="9">D21/H21</f>
        <v>1</v>
      </c>
      <c r="AC21" s="1729">
        <f t="shared" ref="AC21" si="10">D21/J21</f>
        <v>1</v>
      </c>
    </row>
    <row r="22" spans="1:29" ht="15">
      <c r="A22" s="1703"/>
      <c r="B22" s="1751"/>
      <c r="C22" s="1745" t="s">
        <v>2918</v>
      </c>
      <c r="D22" s="1732"/>
      <c r="E22" s="1731" t="s">
        <v>2918</v>
      </c>
      <c r="F22" s="1734"/>
      <c r="G22" s="1731" t="s">
        <v>2918</v>
      </c>
      <c r="H22" s="1732"/>
      <c r="I22" s="1731" t="s">
        <v>2918</v>
      </c>
      <c r="J22" s="1732"/>
      <c r="K22" s="1752"/>
      <c r="L22" s="3004"/>
      <c r="M22" s="3000"/>
      <c r="N22" s="3000"/>
      <c r="O22" s="3000"/>
      <c r="P22" s="3433"/>
      <c r="Q22" s="1616"/>
      <c r="R22" s="1726"/>
      <c r="S22" s="1727"/>
      <c r="T22" s="1726"/>
      <c r="U22" s="1727"/>
      <c r="V22" s="1726"/>
      <c r="W22" s="1727"/>
      <c r="X22" s="1666"/>
      <c r="Y22" s="3435"/>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33"/>
      <c r="Q23" s="1616" t="str">
        <f>B23</f>
        <v>自然及人文环境</v>
      </c>
      <c r="R23" s="1726" t="s">
        <v>28</v>
      </c>
      <c r="S23" s="1727">
        <f>F23</f>
        <v>100</v>
      </c>
      <c r="T23" s="1726" t="s">
        <v>28</v>
      </c>
      <c r="U23" s="1727">
        <f>H23</f>
        <v>100</v>
      </c>
      <c r="V23" s="1726" t="s">
        <v>28</v>
      </c>
      <c r="W23" s="1727">
        <f>J23</f>
        <v>100</v>
      </c>
      <c r="X23" s="1666"/>
      <c r="Y23" s="3435"/>
      <c r="Z23" s="1728" t="str">
        <f>Q23</f>
        <v>自然及人文环境</v>
      </c>
      <c r="AA23" s="1729">
        <f t="shared" si="3"/>
        <v>1</v>
      </c>
      <c r="AB23" s="1729">
        <f t="shared" si="4"/>
        <v>1</v>
      </c>
      <c r="AC23" s="1729">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33"/>
      <c r="Q24" s="1616"/>
      <c r="R24" s="1726"/>
      <c r="S24" s="1727"/>
      <c r="T24" s="1726"/>
      <c r="U24" s="1727"/>
      <c r="V24" s="1726"/>
      <c r="W24" s="1727"/>
      <c r="X24" s="1666"/>
      <c r="Y24" s="3435"/>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33"/>
      <c r="Q25" s="1616" t="str">
        <f t="shared" ref="Q25:Q46" si="11">B25</f>
        <v>楼层-1</v>
      </c>
      <c r="R25" s="1726" t="s">
        <v>28</v>
      </c>
      <c r="S25" s="1727">
        <f>F25</f>
        <v>100</v>
      </c>
      <c r="T25" s="1726" t="s">
        <v>28</v>
      </c>
      <c r="U25" s="1727">
        <f>H25</f>
        <v>100</v>
      </c>
      <c r="V25" s="1726" t="s">
        <v>28</v>
      </c>
      <c r="W25" s="1727">
        <f>J25</f>
        <v>100</v>
      </c>
      <c r="X25" s="1666"/>
      <c r="Y25" s="3435"/>
      <c r="Z25" s="1728" t="str">
        <f>Q25</f>
        <v>楼层-1</v>
      </c>
      <c r="AA25" s="1729">
        <f t="shared" si="3"/>
        <v>1</v>
      </c>
      <c r="AB25" s="1729">
        <f t="shared" si="4"/>
        <v>1</v>
      </c>
      <c r="AC25" s="1729">
        <f t="shared" si="5"/>
        <v>1</v>
      </c>
    </row>
    <row r="26" spans="1:29" ht="15" hidden="1">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33"/>
      <c r="Q26" s="1616" t="str">
        <f t="shared" si="11"/>
        <v>朝向</v>
      </c>
      <c r="R26" s="1726" t="s">
        <v>28</v>
      </c>
      <c r="S26" s="1727">
        <f>F26</f>
        <v>100</v>
      </c>
      <c r="T26" s="1726" t="s">
        <v>28</v>
      </c>
      <c r="U26" s="1727">
        <f>H26</f>
        <v>100</v>
      </c>
      <c r="V26" s="1726" t="s">
        <v>28</v>
      </c>
      <c r="W26" s="1727">
        <f>J26</f>
        <v>100</v>
      </c>
      <c r="X26" s="1666"/>
      <c r="Y26" s="3435"/>
      <c r="Z26" s="1728" t="str">
        <f>Q26</f>
        <v>朝向</v>
      </c>
      <c r="AA26" s="1729">
        <f t="shared" si="3"/>
        <v>1</v>
      </c>
      <c r="AB26" s="1729">
        <f t="shared" si="4"/>
        <v>1</v>
      </c>
      <c r="AC26" s="1729">
        <f t="shared" si="5"/>
        <v>1</v>
      </c>
    </row>
    <row r="27" spans="1:29" s="1685" customFormat="1" ht="15" hidden="1">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33"/>
      <c r="Q27" s="1635" t="str">
        <f t="shared" si="11"/>
        <v>道路级别</v>
      </c>
      <c r="R27" s="1681" t="s">
        <v>28</v>
      </c>
      <c r="S27" s="1682">
        <f>F27</f>
        <v>100</v>
      </c>
      <c r="T27" s="1681" t="s">
        <v>28</v>
      </c>
      <c r="U27" s="1682">
        <f>H27</f>
        <v>100</v>
      </c>
      <c r="V27" s="1681" t="s">
        <v>28</v>
      </c>
      <c r="W27" s="1682">
        <f>J27</f>
        <v>100</v>
      </c>
      <c r="X27" s="1683"/>
      <c r="Y27" s="3435"/>
      <c r="Z27" s="1694" t="str">
        <f>Q27</f>
        <v>道路级别</v>
      </c>
      <c r="AA27" s="1729">
        <f>D27/F27</f>
        <v>1</v>
      </c>
      <c r="AB27" s="1729">
        <f>D27/H27</f>
        <v>1</v>
      </c>
      <c r="AC27" s="1729">
        <f>D27/J27</f>
        <v>1</v>
      </c>
    </row>
    <row r="28" spans="1:29" ht="15"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33"/>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5"/>
      <c r="Z28" s="1728">
        <f t="shared" ref="Z28:Z46" si="15">Q28</f>
        <v>111</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33"/>
      <c r="Q29" s="1616">
        <f t="shared" si="11"/>
        <v>111</v>
      </c>
      <c r="R29" s="1726" t="s">
        <v>28</v>
      </c>
      <c r="S29" s="1727">
        <f t="shared" si="12"/>
        <v>100</v>
      </c>
      <c r="T29" s="1726" t="s">
        <v>28</v>
      </c>
      <c r="U29" s="1727">
        <f t="shared" si="13"/>
        <v>100</v>
      </c>
      <c r="V29" s="1726" t="s">
        <v>28</v>
      </c>
      <c r="W29" s="1727">
        <f t="shared" si="14"/>
        <v>100</v>
      </c>
      <c r="X29" s="1666"/>
      <c r="Y29" s="3435"/>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33"/>
      <c r="Q30" s="1616">
        <f t="shared" si="11"/>
        <v>111</v>
      </c>
      <c r="R30" s="1726" t="s">
        <v>28</v>
      </c>
      <c r="S30" s="1727">
        <f t="shared" si="12"/>
        <v>100</v>
      </c>
      <c r="T30" s="1726" t="s">
        <v>28</v>
      </c>
      <c r="U30" s="1727">
        <f t="shared" si="13"/>
        <v>100</v>
      </c>
      <c r="V30" s="1726" t="s">
        <v>28</v>
      </c>
      <c r="W30" s="1727">
        <f t="shared" si="14"/>
        <v>100</v>
      </c>
      <c r="X30" s="1666"/>
      <c r="Y30" s="3435"/>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33"/>
      <c r="Q31" s="1616">
        <f t="shared" si="11"/>
        <v>111</v>
      </c>
      <c r="R31" s="1726" t="s">
        <v>28</v>
      </c>
      <c r="S31" s="1727">
        <f t="shared" si="12"/>
        <v>100</v>
      </c>
      <c r="T31" s="1726" t="s">
        <v>28</v>
      </c>
      <c r="U31" s="1727">
        <f t="shared" si="13"/>
        <v>100</v>
      </c>
      <c r="V31" s="1726" t="s">
        <v>28</v>
      </c>
      <c r="W31" s="1727">
        <f t="shared" si="14"/>
        <v>100</v>
      </c>
      <c r="X31" s="1666"/>
      <c r="Y31" s="3435"/>
      <c r="Z31" s="1728">
        <f t="shared" si="15"/>
        <v>111</v>
      </c>
      <c r="AA31" s="1729">
        <f t="shared" si="3"/>
        <v>1</v>
      </c>
      <c r="AB31" s="1729">
        <f t="shared" si="4"/>
        <v>1</v>
      </c>
      <c r="AC31" s="1729">
        <f t="shared" si="5"/>
        <v>1</v>
      </c>
    </row>
    <row r="32" spans="1:29" ht="15">
      <c r="A32" s="1718" t="s">
        <v>2282</v>
      </c>
      <c r="B32" s="1688" t="s">
        <v>2283</v>
      </c>
      <c r="C32" s="1762" t="s">
        <v>2941</v>
      </c>
      <c r="D32" s="1763">
        <v>100</v>
      </c>
      <c r="E32" s="1764" t="s">
        <v>2922</v>
      </c>
      <c r="F32" s="1755">
        <f>SUMIF(100:100,E32,101:101)-SUMIF(100:100,C32,101:101)+100</f>
        <v>102</v>
      </c>
      <c r="G32" s="1762" t="s">
        <v>2922</v>
      </c>
      <c r="H32" s="1763">
        <f>SUMIF(100:100,G32,101:101)-SUMIF(100:100,C32,101:101)+100</f>
        <v>102</v>
      </c>
      <c r="I32" s="1764" t="s">
        <v>2941</v>
      </c>
      <c r="J32" s="1712">
        <f>SUMIF(100:100,I32,101:101)-SUMIF(100:100,C32,101:101)+100</f>
        <v>100</v>
      </c>
      <c r="K32" s="1701">
        <v>2</v>
      </c>
      <c r="L32" s="3004"/>
      <c r="M32" s="3000"/>
      <c r="N32" s="3000"/>
      <c r="O32" s="3000"/>
      <c r="P32" s="3436" t="s">
        <v>2284</v>
      </c>
      <c r="Q32" s="1616" t="str">
        <f t="shared" si="11"/>
        <v>建筑类型</v>
      </c>
      <c r="R32" s="1726" t="s">
        <v>28</v>
      </c>
      <c r="S32" s="1727">
        <f t="shared" si="12"/>
        <v>102</v>
      </c>
      <c r="T32" s="1726" t="s">
        <v>28</v>
      </c>
      <c r="U32" s="1727">
        <f t="shared" si="13"/>
        <v>102</v>
      </c>
      <c r="V32" s="1726" t="s">
        <v>28</v>
      </c>
      <c r="W32" s="1727">
        <f t="shared" si="14"/>
        <v>100</v>
      </c>
      <c r="X32" s="1666"/>
      <c r="Y32" s="3439" t="s">
        <v>2284</v>
      </c>
      <c r="Z32" s="1728" t="str">
        <f t="shared" si="15"/>
        <v>建筑类型</v>
      </c>
      <c r="AA32" s="1729">
        <f t="shared" si="3"/>
        <v>0.98039215686274506</v>
      </c>
      <c r="AB32" s="1729">
        <f t="shared" si="4"/>
        <v>0.98039215686274506</v>
      </c>
      <c r="AC32" s="1729">
        <f t="shared" si="5"/>
        <v>1</v>
      </c>
    </row>
    <row r="33" spans="1:29" s="1772" customFormat="1" ht="15">
      <c r="A33" s="1765"/>
      <c r="B33" s="1696" t="s">
        <v>2285</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37"/>
      <c r="Q33" s="1767" t="str">
        <f t="shared" si="11"/>
        <v>项目建筑规模</v>
      </c>
      <c r="R33" s="1768" t="s">
        <v>28</v>
      </c>
      <c r="S33" s="1769">
        <f t="shared" si="12"/>
        <v>100</v>
      </c>
      <c r="T33" s="1768" t="s">
        <v>28</v>
      </c>
      <c r="U33" s="1769">
        <f t="shared" si="13"/>
        <v>100</v>
      </c>
      <c r="V33" s="1768" t="s">
        <v>28</v>
      </c>
      <c r="W33" s="1769">
        <f t="shared" si="14"/>
        <v>100</v>
      </c>
      <c r="X33" s="1770"/>
      <c r="Y33" s="3439"/>
      <c r="Z33" s="1771" t="str">
        <f t="shared" si="15"/>
        <v>项目建筑规模</v>
      </c>
      <c r="AA33" s="1729">
        <f t="shared" si="3"/>
        <v>1</v>
      </c>
      <c r="AB33" s="1729">
        <f t="shared" si="4"/>
        <v>1</v>
      </c>
      <c r="AC33" s="1729">
        <f t="shared" si="5"/>
        <v>1</v>
      </c>
    </row>
    <row r="34" spans="1:29" ht="15">
      <c r="A34" s="1773"/>
      <c r="B34" s="1696" t="s">
        <v>2286</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4"/>
      <c r="M34" s="3000"/>
      <c r="N34" s="3000"/>
      <c r="O34" s="3000"/>
      <c r="P34" s="3437"/>
      <c r="Q34" s="1616" t="str">
        <f t="shared" si="11"/>
        <v>建筑结构</v>
      </c>
      <c r="R34" s="1726" t="s">
        <v>28</v>
      </c>
      <c r="S34" s="1727">
        <f t="shared" si="12"/>
        <v>100</v>
      </c>
      <c r="T34" s="1726" t="s">
        <v>28</v>
      </c>
      <c r="U34" s="1727">
        <f t="shared" si="13"/>
        <v>100</v>
      </c>
      <c r="V34" s="1726" t="s">
        <v>28</v>
      </c>
      <c r="W34" s="1727">
        <f t="shared" si="14"/>
        <v>100</v>
      </c>
      <c r="X34" s="1666"/>
      <c r="Y34" s="3439"/>
      <c r="Z34" s="1728" t="str">
        <f t="shared" si="15"/>
        <v>建筑结构</v>
      </c>
      <c r="AA34" s="1729">
        <f t="shared" si="3"/>
        <v>1</v>
      </c>
      <c r="AB34" s="1729">
        <f t="shared" si="4"/>
        <v>1</v>
      </c>
      <c r="AC34" s="1729">
        <f t="shared" si="5"/>
        <v>1</v>
      </c>
    </row>
    <row r="35" spans="1:29" ht="15">
      <c r="A35" s="1773"/>
      <c r="B35" s="1696" t="s">
        <v>2287</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4"/>
      <c r="M35" s="3000"/>
      <c r="N35" s="3000"/>
      <c r="O35" s="3000"/>
      <c r="P35" s="3437"/>
      <c r="Q35" s="1616" t="str">
        <f t="shared" si="11"/>
        <v>建筑品质</v>
      </c>
      <c r="R35" s="1726" t="s">
        <v>28</v>
      </c>
      <c r="S35" s="1727">
        <f t="shared" si="12"/>
        <v>100</v>
      </c>
      <c r="T35" s="1726" t="s">
        <v>28</v>
      </c>
      <c r="U35" s="1727">
        <f t="shared" si="13"/>
        <v>100</v>
      </c>
      <c r="V35" s="1726" t="s">
        <v>28</v>
      </c>
      <c r="W35" s="1727">
        <f t="shared" si="14"/>
        <v>100</v>
      </c>
      <c r="X35" s="1666"/>
      <c r="Y35" s="3439"/>
      <c r="Z35" s="1728" t="str">
        <f t="shared" si="15"/>
        <v>建筑品质</v>
      </c>
      <c r="AA35" s="1729">
        <f t="shared" si="3"/>
        <v>1</v>
      </c>
      <c r="AB35" s="1729">
        <f t="shared" si="4"/>
        <v>1</v>
      </c>
      <c r="AC35" s="1729">
        <f t="shared" si="5"/>
        <v>1</v>
      </c>
    </row>
    <row r="36" spans="1:29" ht="15">
      <c r="A36" s="1773"/>
      <c r="B36" s="1696" t="s">
        <v>2288</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4"/>
      <c r="M36" s="3000"/>
      <c r="N36" s="3000"/>
      <c r="O36" s="3000"/>
      <c r="P36" s="3437"/>
      <c r="Q36" s="1616" t="str">
        <f t="shared" si="11"/>
        <v>公共部分装修</v>
      </c>
      <c r="R36" s="1726" t="s">
        <v>28</v>
      </c>
      <c r="S36" s="1727">
        <f t="shared" si="12"/>
        <v>100</v>
      </c>
      <c r="T36" s="1726" t="s">
        <v>28</v>
      </c>
      <c r="U36" s="1727">
        <f t="shared" si="13"/>
        <v>100</v>
      </c>
      <c r="V36" s="1726" t="s">
        <v>28</v>
      </c>
      <c r="W36" s="1727">
        <f t="shared" si="14"/>
        <v>100</v>
      </c>
      <c r="X36" s="1666"/>
      <c r="Y36" s="3439"/>
      <c r="Z36" s="1728" t="str">
        <f t="shared" si="15"/>
        <v>公共部分装修</v>
      </c>
      <c r="AA36" s="1729">
        <f t="shared" si="3"/>
        <v>1</v>
      </c>
      <c r="AB36" s="1729">
        <f t="shared" si="4"/>
        <v>1</v>
      </c>
      <c r="AC36" s="1729">
        <f t="shared" si="5"/>
        <v>1</v>
      </c>
    </row>
    <row r="37" spans="1:29" s="1685" customFormat="1" ht="15">
      <c r="A37" s="1776"/>
      <c r="B37" s="1696" t="s">
        <v>2289</v>
      </c>
      <c r="C37" s="1777">
        <f>'数据-取费表'!E20</f>
        <v>0.9</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37"/>
      <c r="Q37" s="1635" t="str">
        <f t="shared" si="11"/>
        <v>成新度</v>
      </c>
      <c r="R37" s="1681" t="s">
        <v>28</v>
      </c>
      <c r="S37" s="1682">
        <f t="shared" si="12"/>
        <v>98</v>
      </c>
      <c r="T37" s="1681" t="s">
        <v>28</v>
      </c>
      <c r="U37" s="1682">
        <f t="shared" si="13"/>
        <v>98</v>
      </c>
      <c r="V37" s="1681" t="s">
        <v>28</v>
      </c>
      <c r="W37" s="1682">
        <f t="shared" si="14"/>
        <v>98</v>
      </c>
      <c r="X37" s="1683"/>
      <c r="Y37" s="3439"/>
      <c r="Z37" s="1694" t="str">
        <f t="shared" si="15"/>
        <v>成新度</v>
      </c>
      <c r="AA37" s="1684">
        <f t="shared" si="3"/>
        <v>1.0204081632653061</v>
      </c>
      <c r="AB37" s="1684">
        <f t="shared" si="4"/>
        <v>1.0204081632653061</v>
      </c>
      <c r="AC37" s="1684">
        <f t="shared" si="5"/>
        <v>1.0204081632653061</v>
      </c>
    </row>
    <row r="38" spans="1:29" ht="15">
      <c r="A38" s="1773"/>
      <c r="B38" s="1696" t="s">
        <v>2290</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4"/>
      <c r="M38" s="3000"/>
      <c r="N38" s="3000"/>
      <c r="O38" s="3000"/>
      <c r="P38" s="3437" t="s">
        <v>2284</v>
      </c>
      <c r="Q38" s="1616" t="str">
        <f t="shared" si="11"/>
        <v>物业管理</v>
      </c>
      <c r="R38" s="1726" t="s">
        <v>28</v>
      </c>
      <c r="S38" s="1727">
        <f t="shared" si="12"/>
        <v>100</v>
      </c>
      <c r="T38" s="1726" t="s">
        <v>28</v>
      </c>
      <c r="U38" s="1727">
        <f t="shared" si="13"/>
        <v>100</v>
      </c>
      <c r="V38" s="1726" t="s">
        <v>28</v>
      </c>
      <c r="W38" s="1727">
        <f t="shared" si="14"/>
        <v>100</v>
      </c>
      <c r="X38" s="1666"/>
      <c r="Y38" s="3439" t="s">
        <v>2284</v>
      </c>
      <c r="Z38" s="1728" t="str">
        <f t="shared" si="15"/>
        <v>物业管理</v>
      </c>
      <c r="AA38" s="1729">
        <f t="shared" si="3"/>
        <v>1</v>
      </c>
      <c r="AB38" s="1729">
        <f t="shared" si="4"/>
        <v>1</v>
      </c>
      <c r="AC38" s="1729">
        <f t="shared" si="5"/>
        <v>1</v>
      </c>
    </row>
    <row r="39" spans="1:29" ht="15">
      <c r="A39" s="1773"/>
      <c r="B39" s="1696" t="s">
        <v>2291</v>
      </c>
      <c r="C39" s="1756" t="s">
        <v>2918</v>
      </c>
      <c r="D39" s="1712">
        <v>100</v>
      </c>
      <c r="E39" s="1754" t="s">
        <v>2918</v>
      </c>
      <c r="F39" s="1755">
        <f>SUMIF(116:116,E39,117:117)-SUMIF(116:116,C39,117:117)+100</f>
        <v>100</v>
      </c>
      <c r="G39" s="1756" t="s">
        <v>2918</v>
      </c>
      <c r="H39" s="1712">
        <f>SUMIF(116:116,G39,117:117)-SUMIF(116:116,C39,117:117)+100</f>
        <v>100</v>
      </c>
      <c r="I39" s="1754" t="s">
        <v>2918</v>
      </c>
      <c r="J39" s="1712">
        <f>SUMIF(116:116,I39,117:117)-SUMIF(116:116,C39,117:117)+100</f>
        <v>100</v>
      </c>
      <c r="K39" s="1701"/>
      <c r="L39" s="3004"/>
      <c r="M39" s="3000"/>
      <c r="N39" s="3000"/>
      <c r="O39" s="3000"/>
      <c r="P39" s="3437"/>
      <c r="Q39" s="1616" t="str">
        <f t="shared" si="11"/>
        <v>市政基础设施</v>
      </c>
      <c r="R39" s="1726" t="s">
        <v>28</v>
      </c>
      <c r="S39" s="1727">
        <f t="shared" si="12"/>
        <v>100</v>
      </c>
      <c r="T39" s="1726" t="s">
        <v>28</v>
      </c>
      <c r="U39" s="1727">
        <f t="shared" si="13"/>
        <v>100</v>
      </c>
      <c r="V39" s="1726" t="s">
        <v>28</v>
      </c>
      <c r="W39" s="1727">
        <f t="shared" si="14"/>
        <v>100</v>
      </c>
      <c r="X39" s="1666"/>
      <c r="Y39" s="3439"/>
      <c r="Z39" s="1728" t="str">
        <f t="shared" si="15"/>
        <v>市政基础设施</v>
      </c>
      <c r="AA39" s="1729">
        <f t="shared" si="3"/>
        <v>1</v>
      </c>
      <c r="AB39" s="1729">
        <f t="shared" si="4"/>
        <v>1</v>
      </c>
      <c r="AC39" s="1729">
        <f t="shared" si="5"/>
        <v>1</v>
      </c>
    </row>
    <row r="40" spans="1:29" ht="15">
      <c r="A40" s="1773"/>
      <c r="B40" s="1696" t="s">
        <v>2292</v>
      </c>
      <c r="C40" s="1756" t="s">
        <v>2934</v>
      </c>
      <c r="D40" s="1712">
        <v>100</v>
      </c>
      <c r="E40" s="1754" t="s">
        <v>2934</v>
      </c>
      <c r="F40" s="1755">
        <f>SUMIF(118:118,E40,119:119)-SUMIF(118:118,C40,119:119)+100</f>
        <v>100</v>
      </c>
      <c r="G40" s="1756" t="s">
        <v>2934</v>
      </c>
      <c r="H40" s="1712">
        <f>SUMIF(118:118,G40,119:119)-SUMIF(118:118,C40,119:119)+100</f>
        <v>100</v>
      </c>
      <c r="I40" s="1754" t="s">
        <v>2934</v>
      </c>
      <c r="J40" s="1712">
        <f>SUMIF(118:118,I40,119:119)-SUMIF(118:118,C40,119:119)+100</f>
        <v>100</v>
      </c>
      <c r="K40" s="1701"/>
      <c r="L40" s="3004"/>
      <c r="M40" s="3000"/>
      <c r="N40" s="3000"/>
      <c r="O40" s="3000"/>
      <c r="P40" s="3437"/>
      <c r="Q40" s="1616" t="str">
        <f t="shared" si="11"/>
        <v>房型</v>
      </c>
      <c r="R40" s="1726" t="s">
        <v>28</v>
      </c>
      <c r="S40" s="1727">
        <f t="shared" si="12"/>
        <v>100</v>
      </c>
      <c r="T40" s="1726" t="s">
        <v>28</v>
      </c>
      <c r="U40" s="1727">
        <f t="shared" si="13"/>
        <v>100</v>
      </c>
      <c r="V40" s="1726" t="s">
        <v>28</v>
      </c>
      <c r="W40" s="1727">
        <f t="shared" si="14"/>
        <v>100</v>
      </c>
      <c r="X40" s="1666"/>
      <c r="Y40" s="3439"/>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7"/>
      <c r="Q41" s="1767" t="str">
        <f t="shared" si="11"/>
        <v>单套/主力户型建筑面积</v>
      </c>
      <c r="R41" s="1768" t="s">
        <v>28</v>
      </c>
      <c r="S41" s="1769">
        <f t="shared" si="12"/>
        <v>100</v>
      </c>
      <c r="T41" s="1768" t="s">
        <v>28</v>
      </c>
      <c r="U41" s="1769">
        <f t="shared" si="13"/>
        <v>100</v>
      </c>
      <c r="V41" s="1768" t="s">
        <v>28</v>
      </c>
      <c r="W41" s="1769">
        <f t="shared" si="14"/>
        <v>100</v>
      </c>
      <c r="X41" s="1770"/>
      <c r="Y41" s="3439"/>
      <c r="Z41" s="1771" t="str">
        <f t="shared" si="15"/>
        <v>单套/主力户型建筑面积</v>
      </c>
      <c r="AA41" s="1729">
        <f t="shared" si="3"/>
        <v>1</v>
      </c>
      <c r="AB41" s="1729">
        <f t="shared" si="4"/>
        <v>1</v>
      </c>
      <c r="AC41" s="1729">
        <f t="shared" si="5"/>
        <v>1</v>
      </c>
    </row>
    <row r="42" spans="1:29" ht="15.75" thickBot="1">
      <c r="A42" s="1773"/>
      <c r="B42" s="1696" t="s">
        <v>2294</v>
      </c>
      <c r="C42" s="1756" t="s">
        <v>2937</v>
      </c>
      <c r="D42" s="1712">
        <v>100</v>
      </c>
      <c r="E42" s="1754" t="s">
        <v>2929</v>
      </c>
      <c r="F42" s="1755">
        <f>SUMIF(122:122,E42,123:123)-SUMIF(122:122,C42,123:123)+100</f>
        <v>103</v>
      </c>
      <c r="G42" s="1756" t="s">
        <v>2929</v>
      </c>
      <c r="H42" s="1712">
        <f>SUMIF(122:122,G42,123:123)-SUMIF(122:122,C42,123:123)+100</f>
        <v>103</v>
      </c>
      <c r="I42" s="1754" t="s">
        <v>2929</v>
      </c>
      <c r="J42" s="1712">
        <f>SUMIF(122:122,I42,123:123)-SUMIF(122:122,C42,123:123)+100</f>
        <v>103</v>
      </c>
      <c r="K42" s="1701">
        <v>1.5</v>
      </c>
      <c r="L42" s="3004"/>
      <c r="M42" s="3000"/>
      <c r="N42" s="3000"/>
      <c r="O42" s="3000"/>
      <c r="P42" s="3437"/>
      <c r="Q42" s="1616" t="str">
        <f t="shared" si="11"/>
        <v>内部装修</v>
      </c>
      <c r="R42" s="1726" t="s">
        <v>28</v>
      </c>
      <c r="S42" s="1727">
        <f t="shared" si="12"/>
        <v>103</v>
      </c>
      <c r="T42" s="1726" t="s">
        <v>28</v>
      </c>
      <c r="U42" s="1727">
        <f t="shared" si="13"/>
        <v>103</v>
      </c>
      <c r="V42" s="1726" t="s">
        <v>28</v>
      </c>
      <c r="W42" s="1727">
        <f t="shared" si="14"/>
        <v>103</v>
      </c>
      <c r="X42" s="1666"/>
      <c r="Y42" s="3439"/>
      <c r="Z42" s="1728" t="str">
        <f t="shared" si="15"/>
        <v>内部装修</v>
      </c>
      <c r="AA42" s="1729">
        <f t="shared" si="3"/>
        <v>0.970873786407767</v>
      </c>
      <c r="AB42" s="1729">
        <f t="shared" si="4"/>
        <v>0.970873786407767</v>
      </c>
      <c r="AC42" s="1729">
        <f t="shared" si="5"/>
        <v>0.970873786407767</v>
      </c>
    </row>
    <row r="43" spans="1:29" ht="15" hidden="1">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37"/>
      <c r="Q43" s="1616" t="str">
        <f t="shared" si="11"/>
        <v>内部装修维护情况</v>
      </c>
      <c r="R43" s="1726" t="s">
        <v>28</v>
      </c>
      <c r="S43" s="1727">
        <f t="shared" si="12"/>
        <v>100</v>
      </c>
      <c r="T43" s="1726" t="s">
        <v>28</v>
      </c>
      <c r="U43" s="1727">
        <f t="shared" si="13"/>
        <v>100</v>
      </c>
      <c r="V43" s="1726" t="s">
        <v>28</v>
      </c>
      <c r="W43" s="1727">
        <f t="shared" si="14"/>
        <v>100</v>
      </c>
      <c r="X43" s="1666"/>
      <c r="Y43" s="3439"/>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37"/>
      <c r="Q44" s="1635">
        <f t="shared" si="11"/>
        <v>111</v>
      </c>
      <c r="R44" s="1681" t="s">
        <v>28</v>
      </c>
      <c r="S44" s="1682">
        <f t="shared" si="12"/>
        <v>100</v>
      </c>
      <c r="T44" s="1681" t="s">
        <v>28</v>
      </c>
      <c r="U44" s="1682">
        <f t="shared" si="13"/>
        <v>100</v>
      </c>
      <c r="V44" s="1681" t="s">
        <v>28</v>
      </c>
      <c r="W44" s="1682">
        <f t="shared" si="14"/>
        <v>100</v>
      </c>
      <c r="X44" s="1683"/>
      <c r="Y44" s="3439"/>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7"/>
      <c r="Q45" s="1616">
        <f t="shared" si="11"/>
        <v>111</v>
      </c>
      <c r="R45" s="1726" t="s">
        <v>28</v>
      </c>
      <c r="S45" s="1727">
        <f t="shared" si="12"/>
        <v>100</v>
      </c>
      <c r="T45" s="1726" t="s">
        <v>28</v>
      </c>
      <c r="U45" s="1727">
        <f t="shared" si="13"/>
        <v>100</v>
      </c>
      <c r="V45" s="1726" t="s">
        <v>28</v>
      </c>
      <c r="W45" s="1727">
        <f t="shared" si="14"/>
        <v>100</v>
      </c>
      <c r="X45" s="1666"/>
      <c r="Y45" s="3439"/>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8"/>
      <c r="Q46" s="1616">
        <f t="shared" si="11"/>
        <v>111</v>
      </c>
      <c r="R46" s="1726" t="s">
        <v>27</v>
      </c>
      <c r="S46" s="1727">
        <f t="shared" si="12"/>
        <v>100</v>
      </c>
      <c r="T46" s="1726" t="s">
        <v>27</v>
      </c>
      <c r="U46" s="1727">
        <f t="shared" si="13"/>
        <v>100</v>
      </c>
      <c r="V46" s="1726" t="s">
        <v>27</v>
      </c>
      <c r="W46" s="1727">
        <f t="shared" si="14"/>
        <v>100</v>
      </c>
      <c r="X46" s="1666"/>
      <c r="Y46" s="3440"/>
      <c r="Z46" s="1728">
        <f t="shared" si="15"/>
        <v>111</v>
      </c>
      <c r="AA46" s="1729">
        <f t="shared" si="3"/>
        <v>1</v>
      </c>
      <c r="AB46" s="1729">
        <f t="shared" si="4"/>
        <v>1</v>
      </c>
      <c r="AC46" s="1729">
        <f t="shared" si="5"/>
        <v>1</v>
      </c>
    </row>
    <row r="47" spans="1:29" ht="15">
      <c r="A47" s="1782" t="s">
        <v>2296</v>
      </c>
      <c r="B47" s="1783"/>
      <c r="C47" s="1784" t="s">
        <v>26</v>
      </c>
      <c r="D47" s="1785"/>
      <c r="E47" s="1786">
        <v>40396</v>
      </c>
      <c r="F47" s="1787"/>
      <c r="G47" s="1788">
        <v>38660</v>
      </c>
      <c r="H47" s="1789"/>
      <c r="I47" s="1786">
        <v>40818</v>
      </c>
      <c r="J47" s="1789"/>
      <c r="K47" s="1790"/>
      <c r="L47" s="3005"/>
      <c r="N47" s="3000"/>
      <c r="P47" s="3431" t="str">
        <f>A47</f>
        <v>成交单价（元/平方米）</v>
      </c>
      <c r="Q47" s="3431"/>
      <c r="R47" s="3427">
        <f>E47</f>
        <v>40396</v>
      </c>
      <c r="S47" s="3427"/>
      <c r="T47" s="3427">
        <f>G47</f>
        <v>38660</v>
      </c>
      <c r="U47" s="3427"/>
      <c r="V47" s="3427">
        <f>I47</f>
        <v>40818</v>
      </c>
      <c r="W47" s="3427"/>
      <c r="X47" s="1792"/>
      <c r="Y47" s="1793"/>
      <c r="Z47" s="1792"/>
      <c r="AA47" s="1792"/>
      <c r="AB47" s="1792"/>
      <c r="AC47" s="1792"/>
    </row>
    <row r="48" spans="1:29" ht="15.75" thickBot="1">
      <c r="A48" s="1794" t="s">
        <v>2297</v>
      </c>
      <c r="B48" s="1795"/>
      <c r="C48" s="1796">
        <f>R49</f>
        <v>39074</v>
      </c>
      <c r="D48" s="1797" t="s">
        <v>2754</v>
      </c>
      <c r="E48" s="1798">
        <f>R48</f>
        <v>39235</v>
      </c>
      <c r="F48" s="1799"/>
      <c r="G48" s="1796">
        <f>T48</f>
        <v>37549</v>
      </c>
      <c r="H48" s="1799"/>
      <c r="I48" s="1798">
        <f>V48</f>
        <v>40438</v>
      </c>
      <c r="J48" s="1799"/>
      <c r="K48" s="2514">
        <f>F48+H48+J48</f>
        <v>0</v>
      </c>
      <c r="L48" s="3005"/>
      <c r="P48" s="3431" t="str">
        <f>A48</f>
        <v>比较价值（元/平方米）</v>
      </c>
      <c r="Q48" s="3431"/>
      <c r="R48" s="3427">
        <f>IF(E1="售价",ROUND(PRODUCT(R47,AA7:AA46),0),ROUND(PRODUCT(R47,AA7:AA46),1))</f>
        <v>39235</v>
      </c>
      <c r="S48" s="3427"/>
      <c r="T48" s="3425">
        <f>IF(E1="售价",ROUND(PRODUCT(T47,AB7:AB46),0),ROUND(PRODUCT(T47,AB7:AB46),1))</f>
        <v>37549</v>
      </c>
      <c r="U48" s="3426"/>
      <c r="V48" s="3427">
        <f>IF(E1="售价",ROUND(PRODUCT(V47,AC7:AC46),0),ROUND(PRODUCT(V47,AC7:AC46),1))</f>
        <v>40438</v>
      </c>
      <c r="W48" s="3427"/>
      <c r="X48" s="1792"/>
      <c r="Y48" s="1792"/>
      <c r="Z48" s="1792"/>
      <c r="AA48" s="1792"/>
      <c r="AB48" s="1792"/>
      <c r="AC48" s="1792"/>
    </row>
    <row r="49" spans="1:29" ht="15.75" thickBot="1">
      <c r="A49" s="1800" t="s">
        <v>2298</v>
      </c>
      <c r="B49" s="1801"/>
      <c r="C49" s="1802">
        <f>R49</f>
        <v>39074</v>
      </c>
      <c r="D49" s="1803"/>
      <c r="E49" s="1803"/>
      <c r="F49" s="1803"/>
      <c r="G49" s="1803"/>
      <c r="H49" s="1803"/>
      <c r="I49" s="1803"/>
      <c r="J49" s="1803"/>
      <c r="K49" s="1804"/>
      <c r="L49" s="3005"/>
      <c r="P49" s="3428" t="str">
        <f>A49</f>
        <v>估价对象XX用房的比较价值（楼面单价，元/平方米）</v>
      </c>
      <c r="Q49" s="3429"/>
      <c r="R49" s="3430">
        <f>IF(E1="售价",ROUND(IF(D48="简单平均",AVERAGE(R48:V48),R48*F48+T48*H48+V48*J48),0),ROUND(IF(D48="简单平均",AVERAGE(R48:V48),R48*F48+T48*H48+V48*J48),1))</f>
        <v>39074</v>
      </c>
      <c r="S49" s="3430"/>
      <c r="T49" s="3430"/>
      <c r="U49" s="3430"/>
      <c r="V49" s="3430"/>
      <c r="W49" s="3430"/>
      <c r="X49" s="1792"/>
      <c r="Y49" s="1792"/>
      <c r="Z49" s="1792"/>
      <c r="AA49" s="1792"/>
      <c r="AB49" s="1792"/>
      <c r="AC49" s="1792"/>
    </row>
    <row r="50" spans="1:29">
      <c r="G50" s="3009"/>
    </row>
    <row r="52" spans="1:29" ht="13.5" customHeight="1">
      <c r="C52" s="383" t="s">
        <v>2299</v>
      </c>
      <c r="D52" s="1808"/>
      <c r="E52" s="1809">
        <f>IF(E47&lt;E48,E48/E47-1,E47/E48-1)</f>
        <v>2.9590926468714196E-2</v>
      </c>
      <c r="F52" s="1810" t="str">
        <f>IF(OR(E52&gt;=0.3,E52&lt;=-0.3),"超过30%","")</f>
        <v/>
      </c>
      <c r="G52" s="1809">
        <f>IF(G47&lt;G48,G48/G47-1,G47/G48-1)</f>
        <v>2.9588005006791152E-2</v>
      </c>
      <c r="H52" s="1810" t="str">
        <f>IF(OR(G52&gt;=0.3,G52&lt;=-0.3),"超过30%","")</f>
        <v/>
      </c>
      <c r="I52" s="1809">
        <f>IF(I47&lt;I48,I48/I47-1,I47/I48-1)</f>
        <v>9.3971017359908426E-3</v>
      </c>
      <c r="J52" s="1810" t="str">
        <f>IF(OR(I52&gt;=0.3,I52&lt;=-0.3),"超过30%","")</f>
        <v/>
      </c>
    </row>
    <row r="53" spans="1:29" ht="13.5" customHeight="1">
      <c r="C53" s="383" t="s">
        <v>2300</v>
      </c>
      <c r="D53" s="1811"/>
      <c r="E53" s="1809">
        <f>IF(E48&lt;G48,G48/E48-1,E48/G48-1)</f>
        <v>4.4901328930197826E-2</v>
      </c>
      <c r="F53" s="1810" t="str">
        <f>IF(OR(E53&gt;=0.2,E53&lt;=-0.2),"超过20%","")</f>
        <v/>
      </c>
      <c r="G53" s="1809">
        <f>IF(G48&lt;I48,I48/G48-1,G48/I48-1)</f>
        <v>7.6939465764733983E-2</v>
      </c>
      <c r="H53" s="1810" t="str">
        <f>IF(OR(G53&gt;=0.2,G53&lt;=-0.2),"超过20%","")</f>
        <v/>
      </c>
      <c r="I53" s="1809">
        <f>IF(I48&lt;E48,E48/I48-1,I48/E48-1)</f>
        <v>3.0661399260863975E-2</v>
      </c>
      <c r="J53" s="1810" t="str">
        <f>IF(OR(I53&gt;=0.2,I53&lt;=-0.2),"超过20%","")</f>
        <v/>
      </c>
    </row>
    <row r="54" spans="1:29" s="1814" customFormat="1" ht="13.5" customHeight="1">
      <c r="C54" s="383" t="s">
        <v>2301</v>
      </c>
      <c r="D54" s="1811"/>
      <c r="E54" s="1809">
        <f>IF(E47&lt;G47,G47/E47-1,E47/G47-1)</f>
        <v>4.4904293843766263E-2</v>
      </c>
      <c r="F54" s="1810" t="str">
        <f>IF(OR(E54&gt;=0.3,E54&lt;=-0.3),"超过30%","")</f>
        <v/>
      </c>
      <c r="G54" s="1809">
        <f>IF(G47&lt;I47,I47/G47-1,G47/I47-1)</f>
        <v>5.58199689601655E-2</v>
      </c>
      <c r="H54" s="1810" t="str">
        <f>IF(OR(G54&gt;=0.3,G54&lt;=-0.3),"超过30%","")</f>
        <v/>
      </c>
      <c r="I54" s="1809">
        <f>IF(I47&lt;E47,E47/I47-1,I47/E47-1)</f>
        <v>1.0446578869194978E-2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t="s">
        <v>2921</v>
      </c>
      <c r="D100" s="1850" t="s">
        <v>2923</v>
      </c>
      <c r="E100" s="3154" t="s">
        <v>2942</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5.75" thickTop="1">
      <c r="A102" s="1854"/>
      <c r="B102" s="1859" t="s">
        <v>2332</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t="s">
        <v>2924</v>
      </c>
      <c r="D105" s="468" t="s">
        <v>2926</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2337</v>
      </c>
      <c r="C114" s="468"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t="s">
        <v>2935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t="s">
        <v>2930</v>
      </c>
      <c r="D122" s="468" t="s">
        <v>2936</v>
      </c>
      <c r="E122" s="3153" t="s">
        <v>2938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90</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58" t="s">
        <v>2254</v>
      </c>
      <c r="D4" s="3459"/>
      <c r="E4" s="3460" t="s">
        <v>2255</v>
      </c>
      <c r="F4" s="3461"/>
      <c r="G4" s="3458" t="s">
        <v>2256</v>
      </c>
      <c r="H4" s="3459"/>
      <c r="I4" s="3458" t="s">
        <v>2257</v>
      </c>
      <c r="J4" s="3459"/>
      <c r="K4" s="1966" t="s">
        <v>2258</v>
      </c>
      <c r="L4" s="2999"/>
      <c r="M4" s="3000"/>
      <c r="N4" s="3000"/>
      <c r="O4" s="3000"/>
      <c r="P4" s="3462" t="s">
        <v>2259</v>
      </c>
      <c r="Q4" s="3463"/>
      <c r="R4" s="3447" t="s">
        <v>2255</v>
      </c>
      <c r="S4" s="3448"/>
      <c r="T4" s="3447" t="s">
        <v>2256</v>
      </c>
      <c r="U4" s="3448"/>
      <c r="V4" s="3468" t="s">
        <v>2257</v>
      </c>
      <c r="W4" s="3468"/>
      <c r="X4" s="2075"/>
      <c r="Y4" s="3447" t="s">
        <v>2259</v>
      </c>
      <c r="Z4" s="3448"/>
      <c r="AA4" s="3455" t="s">
        <v>2255</v>
      </c>
      <c r="AB4" s="3468" t="s">
        <v>2256</v>
      </c>
      <c r="AC4" s="3455" t="s">
        <v>2257</v>
      </c>
    </row>
    <row r="5" spans="1:29" ht="15">
      <c r="A5" s="1668"/>
      <c r="B5" s="1669"/>
      <c r="C5" s="3471" t="s">
        <v>2260</v>
      </c>
      <c r="D5" s="3444"/>
      <c r="E5" s="3474" t="s">
        <v>2261</v>
      </c>
      <c r="F5" s="3470"/>
      <c r="G5" s="3471" t="s">
        <v>2262</v>
      </c>
      <c r="H5" s="3444"/>
      <c r="I5" s="3471" t="s">
        <v>2263</v>
      </c>
      <c r="J5" s="3444"/>
      <c r="K5" s="1966"/>
      <c r="L5" s="2999"/>
      <c r="M5" s="3000"/>
      <c r="N5" s="3000"/>
      <c r="O5" s="3000"/>
      <c r="P5" s="3464"/>
      <c r="Q5" s="3465"/>
      <c r="R5" s="3449"/>
      <c r="S5" s="3450"/>
      <c r="T5" s="3449"/>
      <c r="U5" s="3450"/>
      <c r="V5" s="3468"/>
      <c r="W5" s="3468"/>
      <c r="X5" s="2075"/>
      <c r="Y5" s="3449"/>
      <c r="Z5" s="3450"/>
      <c r="AA5" s="3456"/>
      <c r="AB5" s="3468"/>
      <c r="AC5" s="3456"/>
    </row>
    <row r="6" spans="1:29" ht="15.75" thickBot="1">
      <c r="A6" s="1671"/>
      <c r="B6" s="1672"/>
      <c r="C6" s="3441" t="s">
        <v>2264</v>
      </c>
      <c r="D6" s="3442"/>
      <c r="E6" s="3472" t="s">
        <v>2264</v>
      </c>
      <c r="F6" s="3473"/>
      <c r="G6" s="3441" t="s">
        <v>2264</v>
      </c>
      <c r="H6" s="3442"/>
      <c r="I6" s="3441" t="s">
        <v>2264</v>
      </c>
      <c r="J6" s="3442"/>
      <c r="K6" s="1966" t="s">
        <v>2265</v>
      </c>
      <c r="L6" s="2999"/>
      <c r="M6" s="3000"/>
      <c r="N6" s="3000"/>
      <c r="O6" s="3000"/>
      <c r="P6" s="3466"/>
      <c r="Q6" s="3467"/>
      <c r="R6" s="3449"/>
      <c r="S6" s="3450"/>
      <c r="T6" s="3451"/>
      <c r="U6" s="3452"/>
      <c r="V6" s="3468"/>
      <c r="W6" s="3468"/>
      <c r="X6" s="2075"/>
      <c r="Y6" s="3451"/>
      <c r="Z6" s="3452"/>
      <c r="AA6" s="3457"/>
      <c r="AB6" s="3468"/>
      <c r="AC6" s="3457"/>
    </row>
    <row r="7" spans="1:29" s="1685" customFormat="1" ht="15.75" thickBot="1">
      <c r="A7" s="1673" t="s">
        <v>2266</v>
      </c>
      <c r="B7" s="1674"/>
      <c r="C7" s="1675">
        <f>'数据-取费表'!B2</f>
        <v>44235</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45" t="s">
        <v>2267</v>
      </c>
      <c r="Q7" s="3453"/>
      <c r="R7" s="1681" t="s">
        <v>25</v>
      </c>
      <c r="S7" s="1682">
        <f t="shared" ref="S7:S15" si="0">F7</f>
        <v>0</v>
      </c>
      <c r="T7" s="1681" t="s">
        <v>25</v>
      </c>
      <c r="U7" s="1682">
        <f t="shared" ref="U7:U15" si="1">H7</f>
        <v>0</v>
      </c>
      <c r="V7" s="1681" t="s">
        <v>25</v>
      </c>
      <c r="W7" s="1682">
        <f t="shared" ref="W7:W15" si="2">J7</f>
        <v>0</v>
      </c>
      <c r="X7" s="1683"/>
      <c r="Y7" s="3445" t="s">
        <v>2267</v>
      </c>
      <c r="Z7" s="344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45" t="s">
        <v>2270</v>
      </c>
      <c r="Q8" s="3446"/>
      <c r="R8" s="1681" t="s">
        <v>25</v>
      </c>
      <c r="S8" s="1682">
        <f t="shared" si="0"/>
        <v>0</v>
      </c>
      <c r="T8" s="1681" t="s">
        <v>25</v>
      </c>
      <c r="U8" s="1682">
        <f t="shared" si="1"/>
        <v>0</v>
      </c>
      <c r="V8" s="1681" t="s">
        <v>25</v>
      </c>
      <c r="W8" s="1682">
        <f t="shared" si="2"/>
        <v>0</v>
      </c>
      <c r="X8" s="1683"/>
      <c r="Y8" s="3445" t="s">
        <v>2270</v>
      </c>
      <c r="Z8" s="344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4" t="s">
        <v>2273</v>
      </c>
      <c r="Q9" s="2066"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4"/>
      <c r="Q10" s="2066"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4"/>
      <c r="Q11" s="2066"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4"/>
      <c r="Q12" s="2066">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4"/>
      <c r="Q13" s="2066">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4"/>
      <c r="Q14" s="2066">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32" t="s">
        <v>2278</v>
      </c>
      <c r="Q15" s="2072" t="str">
        <f t="shared" si="6"/>
        <v>商业繁华度</v>
      </c>
      <c r="R15" s="1726" t="s">
        <v>25</v>
      </c>
      <c r="S15" s="1727">
        <f t="shared" si="0"/>
        <v>100</v>
      </c>
      <c r="T15" s="1726" t="s">
        <v>25</v>
      </c>
      <c r="U15" s="1727">
        <f t="shared" si="1"/>
        <v>100</v>
      </c>
      <c r="V15" s="1726" t="s">
        <v>25</v>
      </c>
      <c r="W15" s="1727">
        <f t="shared" si="2"/>
        <v>100</v>
      </c>
      <c r="X15" s="2075"/>
      <c r="Y15" s="3434"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33"/>
      <c r="Q16" s="2072"/>
      <c r="R16" s="1726"/>
      <c r="S16" s="1727"/>
      <c r="T16" s="1726"/>
      <c r="U16" s="1727"/>
      <c r="V16" s="1726"/>
      <c r="W16" s="1727"/>
      <c r="X16" s="2075"/>
      <c r="Y16" s="3435"/>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33"/>
      <c r="Q17" s="2072" t="str">
        <f>B17</f>
        <v>交通便捷度</v>
      </c>
      <c r="R17" s="1726" t="s">
        <v>25</v>
      </c>
      <c r="S17" s="1727">
        <f>F17</f>
        <v>100</v>
      </c>
      <c r="T17" s="1726" t="s">
        <v>25</v>
      </c>
      <c r="U17" s="1727">
        <f>H17</f>
        <v>100</v>
      </c>
      <c r="V17" s="1726" t="s">
        <v>25</v>
      </c>
      <c r="W17" s="1727">
        <f>J17</f>
        <v>100</v>
      </c>
      <c r="X17" s="2075"/>
      <c r="Y17" s="343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33"/>
      <c r="Q18" s="2072"/>
      <c r="R18" s="1726"/>
      <c r="S18" s="1727"/>
      <c r="T18" s="1726"/>
      <c r="U18" s="1727"/>
      <c r="V18" s="1726"/>
      <c r="W18" s="1727"/>
      <c r="X18" s="2075"/>
      <c r="Y18" s="3435"/>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33"/>
      <c r="Q19" s="2072" t="str">
        <f>B19</f>
        <v>公共配套设施</v>
      </c>
      <c r="R19" s="1726" t="s">
        <v>25</v>
      </c>
      <c r="S19" s="1727">
        <f>F19</f>
        <v>100</v>
      </c>
      <c r="T19" s="1726" t="s">
        <v>25</v>
      </c>
      <c r="U19" s="1727">
        <f>H19</f>
        <v>100</v>
      </c>
      <c r="V19" s="1726" t="s">
        <v>25</v>
      </c>
      <c r="W19" s="1727">
        <f>J19</f>
        <v>100</v>
      </c>
      <c r="X19" s="2075"/>
      <c r="Y19" s="343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33"/>
      <c r="Q20" s="2072"/>
      <c r="R20" s="1726"/>
      <c r="S20" s="1727"/>
      <c r="T20" s="1726"/>
      <c r="U20" s="1727"/>
      <c r="V20" s="1726"/>
      <c r="W20" s="1727"/>
      <c r="X20" s="2075"/>
      <c r="Y20" s="3435"/>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33"/>
      <c r="Q21" s="2072" t="str">
        <f>B21</f>
        <v>基础设施水平</v>
      </c>
      <c r="R21" s="1726" t="s">
        <v>25</v>
      </c>
      <c r="S21" s="1727">
        <f>F21</f>
        <v>100</v>
      </c>
      <c r="T21" s="1726" t="s">
        <v>25</v>
      </c>
      <c r="U21" s="1727">
        <f>H21</f>
        <v>100</v>
      </c>
      <c r="V21" s="1726" t="s">
        <v>25</v>
      </c>
      <c r="W21" s="1727">
        <f>J21</f>
        <v>100</v>
      </c>
      <c r="X21" s="2075"/>
      <c r="Y21" s="343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33"/>
      <c r="Q22" s="2072"/>
      <c r="R22" s="1726"/>
      <c r="S22" s="1727"/>
      <c r="T22" s="1726"/>
      <c r="U22" s="1727"/>
      <c r="V22" s="1726"/>
      <c r="W22" s="1727"/>
      <c r="X22" s="2075"/>
      <c r="Y22" s="3435"/>
      <c r="Z22" s="2079"/>
      <c r="AA22" s="2070">
        <v>1</v>
      </c>
      <c r="AB22" s="2070">
        <v>1</v>
      </c>
      <c r="AC22" s="2070">
        <v>1</v>
      </c>
    </row>
    <row r="23" spans="1:29" ht="57">
      <c r="A23" s="1703"/>
      <c r="B23" s="1738" t="s">
        <v>1715</v>
      </c>
      <c r="C23" s="2478"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33"/>
      <c r="Q23" s="2072" t="str">
        <f>B23</f>
        <v>自然及人文环境</v>
      </c>
      <c r="R23" s="1726" t="s">
        <v>25</v>
      </c>
      <c r="S23" s="1727">
        <f>F23</f>
        <v>100</v>
      </c>
      <c r="T23" s="1726" t="s">
        <v>25</v>
      </c>
      <c r="U23" s="1727">
        <f>H23</f>
        <v>100</v>
      </c>
      <c r="V23" s="1726" t="s">
        <v>25</v>
      </c>
      <c r="W23" s="1727">
        <f>J23</f>
        <v>100</v>
      </c>
      <c r="X23" s="2075"/>
      <c r="Y23" s="343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33"/>
      <c r="Q24" s="2072"/>
      <c r="R24" s="1726"/>
      <c r="S24" s="1727"/>
      <c r="T24" s="1726"/>
      <c r="U24" s="1727"/>
      <c r="V24" s="1726"/>
      <c r="W24" s="1727"/>
      <c r="X24" s="2075"/>
      <c r="Y24" s="3435"/>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33"/>
      <c r="Q25" s="2072" t="str">
        <f t="shared" ref="Q25:Q46" si="11">B25</f>
        <v>临街状况</v>
      </c>
      <c r="R25" s="1726" t="s">
        <v>25</v>
      </c>
      <c r="S25" s="1727">
        <f>F25</f>
        <v>100</v>
      </c>
      <c r="T25" s="1726" t="s">
        <v>25</v>
      </c>
      <c r="U25" s="1727">
        <f>H25</f>
        <v>100</v>
      </c>
      <c r="V25" s="1726" t="s">
        <v>25</v>
      </c>
      <c r="W25" s="1727">
        <f>J25</f>
        <v>100</v>
      </c>
      <c r="X25" s="2075"/>
      <c r="Y25" s="3435"/>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33"/>
      <c r="Q26" s="2072" t="str">
        <f t="shared" si="11"/>
        <v>平面位置/可视性</v>
      </c>
      <c r="R26" s="1726" t="s">
        <v>25</v>
      </c>
      <c r="S26" s="1727">
        <f>F26</f>
        <v>100</v>
      </c>
      <c r="T26" s="1726" t="s">
        <v>25</v>
      </c>
      <c r="U26" s="1727">
        <f>H26</f>
        <v>100</v>
      </c>
      <c r="V26" s="1726" t="s">
        <v>25</v>
      </c>
      <c r="W26" s="1727">
        <f>J26</f>
        <v>100</v>
      </c>
      <c r="X26" s="2075"/>
      <c r="Y26" s="3435"/>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33"/>
      <c r="Q27" s="2066" t="str">
        <f t="shared" si="11"/>
        <v>人流量</v>
      </c>
      <c r="R27" s="1681" t="s">
        <v>25</v>
      </c>
      <c r="S27" s="1682">
        <f>F27</f>
        <v>100</v>
      </c>
      <c r="T27" s="1681" t="s">
        <v>25</v>
      </c>
      <c r="U27" s="1682">
        <f>H27</f>
        <v>100</v>
      </c>
      <c r="V27" s="1681" t="s">
        <v>25</v>
      </c>
      <c r="W27" s="1682">
        <f>J27</f>
        <v>100</v>
      </c>
      <c r="X27" s="1683"/>
      <c r="Y27" s="3435"/>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3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33"/>
      <c r="Q29" s="2072">
        <f t="shared" si="11"/>
        <v>111</v>
      </c>
      <c r="R29" s="1726" t="s">
        <v>25</v>
      </c>
      <c r="S29" s="1727">
        <f t="shared" si="12"/>
        <v>100</v>
      </c>
      <c r="T29" s="1726" t="s">
        <v>25</v>
      </c>
      <c r="U29" s="1727">
        <f t="shared" si="13"/>
        <v>100</v>
      </c>
      <c r="V29" s="1726" t="s">
        <v>25</v>
      </c>
      <c r="W29" s="1727">
        <f t="shared" si="14"/>
        <v>100</v>
      </c>
      <c r="X29" s="2075"/>
      <c r="Y29" s="343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33"/>
      <c r="Q30" s="2072">
        <f t="shared" si="11"/>
        <v>111</v>
      </c>
      <c r="R30" s="1726" t="s">
        <v>25</v>
      </c>
      <c r="S30" s="1727">
        <f t="shared" si="12"/>
        <v>100</v>
      </c>
      <c r="T30" s="1726" t="s">
        <v>25</v>
      </c>
      <c r="U30" s="1727">
        <f t="shared" si="13"/>
        <v>100</v>
      </c>
      <c r="V30" s="1726" t="s">
        <v>25</v>
      </c>
      <c r="W30" s="1727">
        <f t="shared" si="14"/>
        <v>100</v>
      </c>
      <c r="X30" s="2075"/>
      <c r="Y30" s="343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33"/>
      <c r="Q31" s="2072">
        <f t="shared" si="11"/>
        <v>111</v>
      </c>
      <c r="R31" s="1726" t="s">
        <v>25</v>
      </c>
      <c r="S31" s="1727">
        <f t="shared" si="12"/>
        <v>100</v>
      </c>
      <c r="T31" s="1726" t="s">
        <v>25</v>
      </c>
      <c r="U31" s="1727">
        <f t="shared" si="13"/>
        <v>100</v>
      </c>
      <c r="V31" s="1726" t="s">
        <v>25</v>
      </c>
      <c r="W31" s="1727">
        <f t="shared" si="14"/>
        <v>100</v>
      </c>
      <c r="X31" s="2075"/>
      <c r="Y31" s="3435"/>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36" t="s">
        <v>2284</v>
      </c>
      <c r="Q32" s="2072" t="str">
        <f t="shared" si="11"/>
        <v>商业类型</v>
      </c>
      <c r="R32" s="1726" t="s">
        <v>25</v>
      </c>
      <c r="S32" s="1727">
        <f t="shared" si="12"/>
        <v>100</v>
      </c>
      <c r="T32" s="1726" t="s">
        <v>25</v>
      </c>
      <c r="U32" s="1727">
        <f t="shared" si="13"/>
        <v>100</v>
      </c>
      <c r="V32" s="1726" t="s">
        <v>25</v>
      </c>
      <c r="W32" s="1727">
        <f t="shared" si="14"/>
        <v>100</v>
      </c>
      <c r="X32" s="2075"/>
      <c r="Y32" s="3439"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37"/>
      <c r="Q33" s="1767" t="str">
        <f t="shared" si="11"/>
        <v>项目建筑规模</v>
      </c>
      <c r="R33" s="1768" t="s">
        <v>25</v>
      </c>
      <c r="S33" s="1769" t="e">
        <f t="shared" si="12"/>
        <v>#N/A</v>
      </c>
      <c r="T33" s="1768" t="s">
        <v>25</v>
      </c>
      <c r="U33" s="1769" t="e">
        <f t="shared" si="13"/>
        <v>#N/A</v>
      </c>
      <c r="V33" s="1768" t="s">
        <v>25</v>
      </c>
      <c r="W33" s="1769" t="e">
        <f t="shared" si="14"/>
        <v>#N/A</v>
      </c>
      <c r="X33" s="1770"/>
      <c r="Y33" s="3439"/>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37"/>
      <c r="Q34" s="2072" t="str">
        <f t="shared" si="11"/>
        <v>建筑结构</v>
      </c>
      <c r="R34" s="1726" t="s">
        <v>25</v>
      </c>
      <c r="S34" s="1727">
        <f t="shared" si="12"/>
        <v>100</v>
      </c>
      <c r="T34" s="1726" t="s">
        <v>25</v>
      </c>
      <c r="U34" s="1727">
        <f t="shared" si="13"/>
        <v>100</v>
      </c>
      <c r="V34" s="1726" t="s">
        <v>25</v>
      </c>
      <c r="W34" s="1727">
        <f t="shared" si="14"/>
        <v>100</v>
      </c>
      <c r="X34" s="2075"/>
      <c r="Y34" s="3439"/>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37"/>
      <c r="Q35" s="2072" t="str">
        <f t="shared" si="11"/>
        <v>公共部分装修</v>
      </c>
      <c r="R35" s="1726" t="s">
        <v>25</v>
      </c>
      <c r="S35" s="1727">
        <f t="shared" si="12"/>
        <v>100</v>
      </c>
      <c r="T35" s="1726" t="s">
        <v>25</v>
      </c>
      <c r="U35" s="1727">
        <f t="shared" si="13"/>
        <v>100</v>
      </c>
      <c r="V35" s="1726" t="s">
        <v>25</v>
      </c>
      <c r="W35" s="1727">
        <f t="shared" si="14"/>
        <v>100</v>
      </c>
      <c r="X35" s="2075"/>
      <c r="Y35" s="3439"/>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37"/>
      <c r="Q36" s="2072" t="str">
        <f t="shared" si="11"/>
        <v>成新度</v>
      </c>
      <c r="R36" s="1726" t="s">
        <v>25</v>
      </c>
      <c r="S36" s="1727" t="e">
        <f t="shared" si="12"/>
        <v>#N/A</v>
      </c>
      <c r="T36" s="1726" t="s">
        <v>25</v>
      </c>
      <c r="U36" s="1727" t="e">
        <f t="shared" si="13"/>
        <v>#N/A</v>
      </c>
      <c r="V36" s="1726" t="s">
        <v>25</v>
      </c>
      <c r="W36" s="1727" t="e">
        <f t="shared" si="14"/>
        <v>#N/A</v>
      </c>
      <c r="X36" s="2075"/>
      <c r="Y36" s="3439"/>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37"/>
      <c r="Q37" s="2066" t="str">
        <f t="shared" si="11"/>
        <v>市政基础设施</v>
      </c>
      <c r="R37" s="1681" t="s">
        <v>25</v>
      </c>
      <c r="S37" s="1682">
        <f t="shared" si="12"/>
        <v>100</v>
      </c>
      <c r="T37" s="1681" t="s">
        <v>25</v>
      </c>
      <c r="U37" s="1682">
        <f t="shared" si="13"/>
        <v>100</v>
      </c>
      <c r="V37" s="1681" t="s">
        <v>25</v>
      </c>
      <c r="W37" s="1682">
        <f t="shared" si="14"/>
        <v>100</v>
      </c>
      <c r="X37" s="1683"/>
      <c r="Y37" s="3439"/>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37" t="s">
        <v>2284</v>
      </c>
      <c r="Q38" s="2072" t="str">
        <f t="shared" si="11"/>
        <v>业态</v>
      </c>
      <c r="R38" s="1726" t="s">
        <v>25</v>
      </c>
      <c r="S38" s="1727">
        <f t="shared" si="12"/>
        <v>100</v>
      </c>
      <c r="T38" s="1726" t="s">
        <v>25</v>
      </c>
      <c r="U38" s="1727">
        <f t="shared" si="13"/>
        <v>100</v>
      </c>
      <c r="V38" s="1726" t="s">
        <v>25</v>
      </c>
      <c r="W38" s="1727">
        <f t="shared" si="14"/>
        <v>100</v>
      </c>
      <c r="X38" s="2075"/>
      <c r="Y38" s="3439"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37"/>
      <c r="Q39" s="2072" t="str">
        <f t="shared" si="11"/>
        <v>层高</v>
      </c>
      <c r="R39" s="1726" t="s">
        <v>25</v>
      </c>
      <c r="S39" s="1727">
        <f t="shared" si="12"/>
        <v>100</v>
      </c>
      <c r="T39" s="1726" t="s">
        <v>25</v>
      </c>
      <c r="U39" s="1727">
        <f t="shared" si="13"/>
        <v>100</v>
      </c>
      <c r="V39" s="1726" t="s">
        <v>25</v>
      </c>
      <c r="W39" s="1727">
        <f t="shared" si="14"/>
        <v>100</v>
      </c>
      <c r="X39" s="2075"/>
      <c r="Y39" s="3439"/>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37"/>
      <c r="Q40" s="2072" t="str">
        <f t="shared" si="11"/>
        <v>单套建筑面积</v>
      </c>
      <c r="R40" s="1726" t="s">
        <v>25</v>
      </c>
      <c r="S40" s="1727">
        <f t="shared" si="12"/>
        <v>100</v>
      </c>
      <c r="T40" s="1726" t="s">
        <v>25</v>
      </c>
      <c r="U40" s="1727">
        <f t="shared" si="13"/>
        <v>100</v>
      </c>
      <c r="V40" s="1726" t="s">
        <v>25</v>
      </c>
      <c r="W40" s="1727">
        <f t="shared" si="14"/>
        <v>100</v>
      </c>
      <c r="X40" s="2075"/>
      <c r="Y40" s="3439"/>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37"/>
      <c r="Q41" s="1767" t="str">
        <f t="shared" si="11"/>
        <v>进深比</v>
      </c>
      <c r="R41" s="1768" t="s">
        <v>25</v>
      </c>
      <c r="S41" s="1769">
        <f t="shared" si="12"/>
        <v>100</v>
      </c>
      <c r="T41" s="1768" t="s">
        <v>25</v>
      </c>
      <c r="U41" s="1769">
        <f t="shared" si="13"/>
        <v>100</v>
      </c>
      <c r="V41" s="1768" t="s">
        <v>25</v>
      </c>
      <c r="W41" s="1769">
        <f t="shared" si="14"/>
        <v>100</v>
      </c>
      <c r="X41" s="1770"/>
      <c r="Y41" s="3439"/>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37"/>
      <c r="Q42" s="2072" t="str">
        <f t="shared" si="11"/>
        <v>内部装修</v>
      </c>
      <c r="R42" s="1726" t="s">
        <v>25</v>
      </c>
      <c r="S42" s="1727">
        <f t="shared" si="12"/>
        <v>100</v>
      </c>
      <c r="T42" s="1726" t="s">
        <v>25</v>
      </c>
      <c r="U42" s="1727">
        <f t="shared" si="13"/>
        <v>100</v>
      </c>
      <c r="V42" s="1726" t="s">
        <v>25</v>
      </c>
      <c r="W42" s="1727">
        <f t="shared" si="14"/>
        <v>100</v>
      </c>
      <c r="X42" s="2075"/>
      <c r="Y42" s="3439"/>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37"/>
      <c r="Q43" s="2072" t="str">
        <f t="shared" si="11"/>
        <v>内部装修维护情况</v>
      </c>
      <c r="R43" s="1726" t="s">
        <v>25</v>
      </c>
      <c r="S43" s="1727">
        <f t="shared" si="12"/>
        <v>100</v>
      </c>
      <c r="T43" s="1726" t="s">
        <v>25</v>
      </c>
      <c r="U43" s="1727">
        <f t="shared" si="13"/>
        <v>100</v>
      </c>
      <c r="V43" s="1726" t="s">
        <v>25</v>
      </c>
      <c r="W43" s="1727">
        <f t="shared" si="14"/>
        <v>100</v>
      </c>
      <c r="X43" s="2075"/>
      <c r="Y43" s="343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37"/>
      <c r="Q44" s="2066">
        <f t="shared" si="11"/>
        <v>111</v>
      </c>
      <c r="R44" s="1681" t="s">
        <v>25</v>
      </c>
      <c r="S44" s="1682">
        <f t="shared" si="12"/>
        <v>100</v>
      </c>
      <c r="T44" s="1681" t="s">
        <v>25</v>
      </c>
      <c r="U44" s="1682">
        <f t="shared" si="13"/>
        <v>100</v>
      </c>
      <c r="V44" s="1681" t="s">
        <v>25</v>
      </c>
      <c r="W44" s="1682">
        <f t="shared" si="14"/>
        <v>100</v>
      </c>
      <c r="X44" s="1683"/>
      <c r="Y44" s="343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37"/>
      <c r="Q45" s="2072">
        <f t="shared" si="11"/>
        <v>111</v>
      </c>
      <c r="R45" s="1726" t="s">
        <v>25</v>
      </c>
      <c r="S45" s="1727">
        <f t="shared" si="12"/>
        <v>100</v>
      </c>
      <c r="T45" s="1726" t="s">
        <v>25</v>
      </c>
      <c r="U45" s="1727">
        <f t="shared" si="13"/>
        <v>100</v>
      </c>
      <c r="V45" s="1726" t="s">
        <v>25</v>
      </c>
      <c r="W45" s="1727">
        <f t="shared" si="14"/>
        <v>100</v>
      </c>
      <c r="X45" s="2075"/>
      <c r="Y45" s="343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38"/>
      <c r="Q46" s="2072">
        <f t="shared" si="11"/>
        <v>111</v>
      </c>
      <c r="R46" s="1726" t="s">
        <v>25</v>
      </c>
      <c r="S46" s="1727">
        <f t="shared" si="12"/>
        <v>100</v>
      </c>
      <c r="T46" s="1726" t="s">
        <v>25</v>
      </c>
      <c r="U46" s="1727">
        <f t="shared" si="13"/>
        <v>100</v>
      </c>
      <c r="V46" s="1726" t="s">
        <v>25</v>
      </c>
      <c r="W46" s="1727">
        <f t="shared" si="14"/>
        <v>100</v>
      </c>
      <c r="X46" s="2075"/>
      <c r="Y46" s="3440"/>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31" t="str">
        <f>A47</f>
        <v>成交单价（元/平方米）</v>
      </c>
      <c r="Q47" s="3431"/>
      <c r="R47" s="3427">
        <f>E47</f>
        <v>0</v>
      </c>
      <c r="S47" s="3427"/>
      <c r="T47" s="3427">
        <f>G47</f>
        <v>0</v>
      </c>
      <c r="U47" s="3427"/>
      <c r="V47" s="3427">
        <f>I47</f>
        <v>0</v>
      </c>
      <c r="W47" s="3427"/>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3">
        <f>F48+H48+J48</f>
        <v>0</v>
      </c>
      <c r="L48" s="3005"/>
      <c r="N48" s="3000"/>
      <c r="P48" s="3431" t="str">
        <f>A48</f>
        <v>比较价值（元/平方米）</v>
      </c>
      <c r="Q48" s="3431"/>
      <c r="R48" s="3427" t="e">
        <f>IF(E1="售价",ROUND(PRODUCT(R47,AA7:AA46),0),ROUND(PRODUCT(R47,AA7:AA46),1))</f>
        <v>#DIV/0!</v>
      </c>
      <c r="S48" s="3427"/>
      <c r="T48" s="3427" t="e">
        <f>IF(E1="售价",ROUND(PRODUCT(T47,AB7:AB46),0),ROUND(PRODUCT(T47,AB7:AB46),1))</f>
        <v>#DIV/0!</v>
      </c>
      <c r="U48" s="3427"/>
      <c r="V48" s="3427" t="e">
        <f>IF(E1="售价",ROUND(PRODUCT(V47,AC7:AC46),0),ROUND(PRODUCT(V47,AC7:AC46),1))</f>
        <v>#DIV/0!</v>
      </c>
      <c r="W48" s="3427"/>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28" t="str">
        <f>A49</f>
        <v>估价对象XX用房的比较价值（楼面单价，元/平方米）</v>
      </c>
      <c r="Q49" s="3429"/>
      <c r="R49" s="3430" t="e">
        <f>IF(E1="售价",ROUND(IF(D48="简单平均",AVERAGE(R48:V48),R48*F48+T48*H48+V48*J48),0),ROUND(IF(D48="简单平均",AVERAGE(R48:V48),R48*F48+T48*H48+V48*J48),1))</f>
        <v>#DIV/0!</v>
      </c>
      <c r="S49" s="3430"/>
      <c r="T49" s="3430"/>
      <c r="U49" s="3430"/>
      <c r="V49" s="3430"/>
      <c r="W49" s="3430"/>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90</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58" t="s">
        <v>2254</v>
      </c>
      <c r="D4" s="3459"/>
      <c r="E4" s="3460" t="s">
        <v>2255</v>
      </c>
      <c r="F4" s="3461"/>
      <c r="G4" s="3458" t="s">
        <v>2256</v>
      </c>
      <c r="H4" s="3459"/>
      <c r="I4" s="3458" t="s">
        <v>2257</v>
      </c>
      <c r="J4" s="3459"/>
      <c r="K4" s="1966" t="s">
        <v>2258</v>
      </c>
      <c r="L4" s="2999"/>
      <c r="M4" s="3000"/>
      <c r="N4" s="3000"/>
      <c r="O4" s="3000"/>
      <c r="P4" s="3462" t="s">
        <v>2259</v>
      </c>
      <c r="Q4" s="3463"/>
      <c r="R4" s="3447" t="s">
        <v>2255</v>
      </c>
      <c r="S4" s="3448"/>
      <c r="T4" s="3447" t="s">
        <v>2256</v>
      </c>
      <c r="U4" s="3448"/>
      <c r="V4" s="3468" t="s">
        <v>2257</v>
      </c>
      <c r="W4" s="3468"/>
      <c r="X4" s="2075"/>
      <c r="Y4" s="3447" t="s">
        <v>2259</v>
      </c>
      <c r="Z4" s="3448"/>
      <c r="AA4" s="3455" t="s">
        <v>2255</v>
      </c>
      <c r="AB4" s="3455" t="s">
        <v>2256</v>
      </c>
      <c r="AC4" s="3455" t="s">
        <v>2257</v>
      </c>
    </row>
    <row r="5" spans="1:29" ht="15">
      <c r="A5" s="1668"/>
      <c r="B5" s="1669"/>
      <c r="C5" s="3471" t="s">
        <v>2260</v>
      </c>
      <c r="D5" s="3444"/>
      <c r="E5" s="3474" t="s">
        <v>2261</v>
      </c>
      <c r="F5" s="3470"/>
      <c r="G5" s="3471" t="s">
        <v>2262</v>
      </c>
      <c r="H5" s="3444"/>
      <c r="I5" s="3471" t="s">
        <v>2263</v>
      </c>
      <c r="J5" s="3444"/>
      <c r="K5" s="1966"/>
      <c r="L5" s="2999"/>
      <c r="M5" s="3000"/>
      <c r="N5" s="3000"/>
      <c r="O5" s="3000"/>
      <c r="P5" s="3464"/>
      <c r="Q5" s="3465"/>
      <c r="R5" s="3449"/>
      <c r="S5" s="3450"/>
      <c r="T5" s="3449"/>
      <c r="U5" s="3450"/>
      <c r="V5" s="3468"/>
      <c r="W5" s="3468"/>
      <c r="X5" s="2075"/>
      <c r="Y5" s="3449"/>
      <c r="Z5" s="3450"/>
      <c r="AA5" s="3456"/>
      <c r="AB5" s="3456"/>
      <c r="AC5" s="3456"/>
    </row>
    <row r="6" spans="1:29" ht="15.75" thickBot="1">
      <c r="A6" s="1671"/>
      <c r="B6" s="1672"/>
      <c r="C6" s="3441" t="s">
        <v>2264</v>
      </c>
      <c r="D6" s="3442"/>
      <c r="E6" s="3472" t="s">
        <v>2264</v>
      </c>
      <c r="F6" s="3473"/>
      <c r="G6" s="3441" t="s">
        <v>2264</v>
      </c>
      <c r="H6" s="3442"/>
      <c r="I6" s="3441" t="s">
        <v>2264</v>
      </c>
      <c r="J6" s="3442"/>
      <c r="K6" s="1966" t="s">
        <v>2265</v>
      </c>
      <c r="L6" s="2999"/>
      <c r="M6" s="3000"/>
      <c r="N6" s="3000"/>
      <c r="O6" s="3000"/>
      <c r="P6" s="3466"/>
      <c r="Q6" s="3467"/>
      <c r="R6" s="3449"/>
      <c r="S6" s="3450"/>
      <c r="T6" s="3451"/>
      <c r="U6" s="3452"/>
      <c r="V6" s="3468"/>
      <c r="W6" s="3468"/>
      <c r="X6" s="2075"/>
      <c r="Y6" s="3451"/>
      <c r="Z6" s="3452"/>
      <c r="AA6" s="3457"/>
      <c r="AB6" s="3457"/>
      <c r="AC6" s="3457"/>
    </row>
    <row r="7" spans="1:29" s="1685" customFormat="1" ht="15.75" thickBot="1">
      <c r="A7" s="1673" t="s">
        <v>2266</v>
      </c>
      <c r="B7" s="1674"/>
      <c r="C7" s="1675">
        <f>'数据-取费表'!B2</f>
        <v>44235</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45" t="s">
        <v>2267</v>
      </c>
      <c r="Q7" s="3453"/>
      <c r="R7" s="1681" t="s">
        <v>25</v>
      </c>
      <c r="S7" s="1682">
        <f t="shared" ref="S7:S15" si="0">F7</f>
        <v>0</v>
      </c>
      <c r="T7" s="1681" t="s">
        <v>25</v>
      </c>
      <c r="U7" s="1682">
        <f t="shared" ref="U7:U15" si="1">H7</f>
        <v>0</v>
      </c>
      <c r="V7" s="1681" t="s">
        <v>25</v>
      </c>
      <c r="W7" s="1682">
        <f t="shared" ref="W7:W15" si="2">J7</f>
        <v>0</v>
      </c>
      <c r="X7" s="1683"/>
      <c r="Y7" s="3445" t="s">
        <v>2267</v>
      </c>
      <c r="Z7" s="344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45" t="s">
        <v>2270</v>
      </c>
      <c r="Q8" s="3446"/>
      <c r="R8" s="1681" t="s">
        <v>25</v>
      </c>
      <c r="S8" s="1682">
        <f t="shared" si="0"/>
        <v>0</v>
      </c>
      <c r="T8" s="1681" t="s">
        <v>25</v>
      </c>
      <c r="U8" s="1682">
        <f t="shared" si="1"/>
        <v>0</v>
      </c>
      <c r="V8" s="1681" t="s">
        <v>25</v>
      </c>
      <c r="W8" s="1682">
        <f t="shared" si="2"/>
        <v>0</v>
      </c>
      <c r="X8" s="1683"/>
      <c r="Y8" s="3445" t="s">
        <v>2270</v>
      </c>
      <c r="Z8" s="344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31" t="s">
        <v>2273</v>
      </c>
      <c r="Q9" s="2917"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31"/>
      <c r="Q10" s="2917"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31"/>
      <c r="Q11" s="2917"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31"/>
      <c r="Q12" s="2917">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31"/>
      <c r="Q13" s="2917">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31"/>
      <c r="Q14" s="2917">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34" t="s">
        <v>2278</v>
      </c>
      <c r="Q15" s="2918" t="str">
        <f t="shared" si="6"/>
        <v>办公集聚程度</v>
      </c>
      <c r="R15" s="1726" t="s">
        <v>25</v>
      </c>
      <c r="S15" s="1727">
        <f t="shared" si="0"/>
        <v>100</v>
      </c>
      <c r="T15" s="1726" t="s">
        <v>25</v>
      </c>
      <c r="U15" s="1727">
        <f t="shared" si="1"/>
        <v>100</v>
      </c>
      <c r="V15" s="1726" t="s">
        <v>25</v>
      </c>
      <c r="W15" s="1727">
        <f t="shared" si="2"/>
        <v>100</v>
      </c>
      <c r="X15" s="2075"/>
      <c r="Y15" s="3434"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35"/>
      <c r="Q16" s="2918"/>
      <c r="R16" s="1726"/>
      <c r="S16" s="1727"/>
      <c r="T16" s="1726"/>
      <c r="U16" s="1727"/>
      <c r="V16" s="1726"/>
      <c r="W16" s="1727"/>
      <c r="X16" s="2075"/>
      <c r="Y16" s="3435"/>
      <c r="Z16" s="2079"/>
      <c r="AA16" s="2070">
        <v>1</v>
      </c>
      <c r="AB16" s="2070">
        <v>1</v>
      </c>
      <c r="AC16" s="2070">
        <v>1</v>
      </c>
    </row>
    <row r="17" spans="1:29" ht="85.5">
      <c r="A17" s="1703"/>
      <c r="B17" s="2497"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35"/>
      <c r="Q17" s="2918" t="str">
        <f>B17</f>
        <v>交通便捷度</v>
      </c>
      <c r="R17" s="1726" t="s">
        <v>25</v>
      </c>
      <c r="S17" s="1727">
        <f>F17</f>
        <v>100</v>
      </c>
      <c r="T17" s="1726" t="s">
        <v>25</v>
      </c>
      <c r="U17" s="1727">
        <f>H17</f>
        <v>100</v>
      </c>
      <c r="V17" s="1726" t="s">
        <v>25</v>
      </c>
      <c r="W17" s="1727">
        <f>J17</f>
        <v>100</v>
      </c>
      <c r="X17" s="2075"/>
      <c r="Y17" s="3435"/>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35"/>
      <c r="Q18" s="2918"/>
      <c r="R18" s="1726"/>
      <c r="S18" s="1727"/>
      <c r="T18" s="1726"/>
      <c r="U18" s="1727"/>
      <c r="V18" s="1726"/>
      <c r="W18" s="1727"/>
      <c r="X18" s="2075"/>
      <c r="Y18" s="3435"/>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35"/>
      <c r="Q19" s="2918" t="str">
        <f>B19</f>
        <v>公共配套设施</v>
      </c>
      <c r="R19" s="1726" t="s">
        <v>25</v>
      </c>
      <c r="S19" s="1727">
        <f>F19</f>
        <v>100</v>
      </c>
      <c r="T19" s="1726" t="s">
        <v>25</v>
      </c>
      <c r="U19" s="1727">
        <f>H19</f>
        <v>100</v>
      </c>
      <c r="V19" s="1726" t="s">
        <v>25</v>
      </c>
      <c r="W19" s="1727">
        <f>J19</f>
        <v>100</v>
      </c>
      <c r="X19" s="2075"/>
      <c r="Y19" s="3435"/>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35"/>
      <c r="Q20" s="2918"/>
      <c r="R20" s="1726"/>
      <c r="S20" s="1727"/>
      <c r="T20" s="1726"/>
      <c r="U20" s="1727"/>
      <c r="V20" s="1726"/>
      <c r="W20" s="1727"/>
      <c r="X20" s="2075"/>
      <c r="Y20" s="3435"/>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35"/>
      <c r="Q21" s="2918" t="str">
        <f>B21</f>
        <v>基础设施水平</v>
      </c>
      <c r="R21" s="1726" t="s">
        <v>25</v>
      </c>
      <c r="S21" s="1727">
        <f>F21</f>
        <v>100</v>
      </c>
      <c r="T21" s="1726" t="s">
        <v>25</v>
      </c>
      <c r="U21" s="1727">
        <f>H21</f>
        <v>100</v>
      </c>
      <c r="V21" s="1726" t="s">
        <v>25</v>
      </c>
      <c r="W21" s="1727">
        <f>J21</f>
        <v>100</v>
      </c>
      <c r="X21" s="2075"/>
      <c r="Y21" s="3435"/>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35"/>
      <c r="Q22" s="2918"/>
      <c r="R22" s="1726"/>
      <c r="S22" s="1727"/>
      <c r="T22" s="1726"/>
      <c r="U22" s="1727"/>
      <c r="V22" s="1726"/>
      <c r="W22" s="1727"/>
      <c r="X22" s="2075"/>
      <c r="Y22" s="3435"/>
      <c r="Z22" s="2079"/>
      <c r="AA22" s="2070">
        <v>1</v>
      </c>
      <c r="AB22" s="2070">
        <v>1</v>
      </c>
      <c r="AC22" s="2070">
        <v>1</v>
      </c>
    </row>
    <row r="23" spans="1:29" ht="57">
      <c r="A23" s="1703"/>
      <c r="B23" s="2497"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35"/>
      <c r="Q23" s="2918" t="str">
        <f>B23</f>
        <v>环境质量</v>
      </c>
      <c r="R23" s="1726" t="s">
        <v>25</v>
      </c>
      <c r="S23" s="1727">
        <f>F23</f>
        <v>100</v>
      </c>
      <c r="T23" s="1726" t="s">
        <v>25</v>
      </c>
      <c r="U23" s="1727">
        <f>H23</f>
        <v>100</v>
      </c>
      <c r="V23" s="1726" t="s">
        <v>25</v>
      </c>
      <c r="W23" s="1727">
        <f>J23</f>
        <v>100</v>
      </c>
      <c r="X23" s="2075"/>
      <c r="Y23" s="3435"/>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35"/>
      <c r="Q24" s="2918"/>
      <c r="R24" s="1726"/>
      <c r="S24" s="1727"/>
      <c r="T24" s="1726"/>
      <c r="U24" s="1727"/>
      <c r="V24" s="1726"/>
      <c r="W24" s="1727"/>
      <c r="X24" s="2075"/>
      <c r="Y24" s="3435"/>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35"/>
      <c r="Q25" s="2918" t="str">
        <f>B25</f>
        <v>毗邻道路的类型与等级</v>
      </c>
      <c r="R25" s="1726" t="s">
        <v>25</v>
      </c>
      <c r="S25" s="1727">
        <f>F25</f>
        <v>100</v>
      </c>
      <c r="T25" s="1726" t="s">
        <v>25</v>
      </c>
      <c r="U25" s="1727">
        <f>H25</f>
        <v>100</v>
      </c>
      <c r="V25" s="1726" t="s">
        <v>25</v>
      </c>
      <c r="W25" s="1727">
        <f>J25</f>
        <v>100</v>
      </c>
      <c r="X25" s="2075"/>
      <c r="Y25" s="3435"/>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35"/>
      <c r="Q26" s="2918"/>
      <c r="R26" s="1726"/>
      <c r="S26" s="1727"/>
      <c r="T26" s="1726"/>
      <c r="U26" s="1727"/>
      <c r="V26" s="1726"/>
      <c r="W26" s="1727"/>
      <c r="X26" s="2075"/>
      <c r="Y26" s="3435"/>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35"/>
      <c r="Q27" s="2918" t="str">
        <f t="shared" ref="Q27:Q47" si="11">B27</f>
        <v>楼层</v>
      </c>
      <c r="R27" s="1726" t="s">
        <v>25</v>
      </c>
      <c r="S27" s="1727">
        <f>F27</f>
        <v>100</v>
      </c>
      <c r="T27" s="1726" t="s">
        <v>25</v>
      </c>
      <c r="U27" s="1727">
        <f>H27</f>
        <v>100</v>
      </c>
      <c r="V27" s="1726" t="s">
        <v>25</v>
      </c>
      <c r="W27" s="1727">
        <f>J27</f>
        <v>100</v>
      </c>
      <c r="X27" s="2075"/>
      <c r="Y27" s="3435"/>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35"/>
      <c r="Q28" s="2917" t="str">
        <f t="shared" si="11"/>
        <v>朝向</v>
      </c>
      <c r="R28" s="1681" t="s">
        <v>25</v>
      </c>
      <c r="S28" s="1682">
        <f>F28</f>
        <v>100</v>
      </c>
      <c r="T28" s="1681" t="s">
        <v>25</v>
      </c>
      <c r="U28" s="1682">
        <f>H28</f>
        <v>100</v>
      </c>
      <c r="V28" s="1681" t="s">
        <v>25</v>
      </c>
      <c r="W28" s="1682">
        <f>J28</f>
        <v>100</v>
      </c>
      <c r="X28" s="1683"/>
      <c r="Y28" s="3435"/>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35"/>
      <c r="Q29" s="2918">
        <f t="shared" si="11"/>
        <v>111</v>
      </c>
      <c r="R29" s="1726" t="s">
        <v>25</v>
      </c>
      <c r="S29" s="1727">
        <f t="shared" ref="S29:S47" si="12">F29</f>
        <v>100</v>
      </c>
      <c r="T29" s="1726" t="s">
        <v>25</v>
      </c>
      <c r="U29" s="1727">
        <f t="shared" ref="U29:U47" si="13">H29</f>
        <v>100</v>
      </c>
      <c r="V29" s="1726" t="s">
        <v>25</v>
      </c>
      <c r="W29" s="1727">
        <f t="shared" ref="W29:W47" si="14">J29</f>
        <v>100</v>
      </c>
      <c r="X29" s="2075"/>
      <c r="Y29" s="3435"/>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35"/>
      <c r="Q30" s="2918">
        <f t="shared" si="11"/>
        <v>111</v>
      </c>
      <c r="R30" s="1726" t="s">
        <v>25</v>
      </c>
      <c r="S30" s="1727">
        <f t="shared" si="12"/>
        <v>100</v>
      </c>
      <c r="T30" s="1726" t="s">
        <v>25</v>
      </c>
      <c r="U30" s="1727">
        <f t="shared" si="13"/>
        <v>100</v>
      </c>
      <c r="V30" s="1726" t="s">
        <v>25</v>
      </c>
      <c r="W30" s="1727">
        <f t="shared" si="14"/>
        <v>100</v>
      </c>
      <c r="X30" s="2075"/>
      <c r="Y30" s="3435"/>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35"/>
      <c r="Q31" s="2918">
        <f t="shared" si="11"/>
        <v>111</v>
      </c>
      <c r="R31" s="1726" t="s">
        <v>25</v>
      </c>
      <c r="S31" s="1727">
        <f t="shared" si="12"/>
        <v>100</v>
      </c>
      <c r="T31" s="1726" t="s">
        <v>25</v>
      </c>
      <c r="U31" s="1727">
        <f t="shared" si="13"/>
        <v>100</v>
      </c>
      <c r="V31" s="1726" t="s">
        <v>25</v>
      </c>
      <c r="W31" s="1727">
        <f t="shared" si="14"/>
        <v>100</v>
      </c>
      <c r="X31" s="2075"/>
      <c r="Y31" s="3435"/>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35"/>
      <c r="Q32" s="2918">
        <f t="shared" si="11"/>
        <v>111</v>
      </c>
      <c r="R32" s="1726" t="s">
        <v>25</v>
      </c>
      <c r="S32" s="1727">
        <f t="shared" si="12"/>
        <v>100</v>
      </c>
      <c r="T32" s="1726" t="s">
        <v>25</v>
      </c>
      <c r="U32" s="1727">
        <f t="shared" si="13"/>
        <v>100</v>
      </c>
      <c r="V32" s="1726" t="s">
        <v>25</v>
      </c>
      <c r="W32" s="1727">
        <f t="shared" si="14"/>
        <v>100</v>
      </c>
      <c r="X32" s="2075"/>
      <c r="Y32" s="3435"/>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75" t="s">
        <v>2284</v>
      </c>
      <c r="Q33" s="2918" t="str">
        <f t="shared" si="11"/>
        <v>建筑类型</v>
      </c>
      <c r="R33" s="1726" t="s">
        <v>25</v>
      </c>
      <c r="S33" s="1727">
        <f t="shared" si="12"/>
        <v>100</v>
      </c>
      <c r="T33" s="1726" t="s">
        <v>25</v>
      </c>
      <c r="U33" s="1727">
        <f t="shared" si="13"/>
        <v>100</v>
      </c>
      <c r="V33" s="1726" t="s">
        <v>25</v>
      </c>
      <c r="W33" s="1727">
        <f t="shared" si="14"/>
        <v>100</v>
      </c>
      <c r="X33" s="2075"/>
      <c r="Y33" s="3439"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39"/>
      <c r="Q34" s="1767" t="str">
        <f t="shared" si="11"/>
        <v>项目建筑规模</v>
      </c>
      <c r="R34" s="1768" t="s">
        <v>25</v>
      </c>
      <c r="S34" s="1769" t="e">
        <f t="shared" si="12"/>
        <v>#N/A</v>
      </c>
      <c r="T34" s="1768" t="s">
        <v>25</v>
      </c>
      <c r="U34" s="1769" t="e">
        <f t="shared" si="13"/>
        <v>#N/A</v>
      </c>
      <c r="V34" s="1768" t="s">
        <v>25</v>
      </c>
      <c r="W34" s="1769" t="e">
        <f t="shared" si="14"/>
        <v>#N/A</v>
      </c>
      <c r="X34" s="1770"/>
      <c r="Y34" s="3439"/>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39"/>
      <c r="Q35" s="2918" t="str">
        <f t="shared" si="11"/>
        <v>建筑结构</v>
      </c>
      <c r="R35" s="1726" t="s">
        <v>25</v>
      </c>
      <c r="S35" s="1727">
        <f t="shared" si="12"/>
        <v>100</v>
      </c>
      <c r="T35" s="1726" t="s">
        <v>25</v>
      </c>
      <c r="U35" s="1727">
        <f t="shared" si="13"/>
        <v>100</v>
      </c>
      <c r="V35" s="1726" t="s">
        <v>25</v>
      </c>
      <c r="W35" s="1727">
        <f t="shared" si="14"/>
        <v>100</v>
      </c>
      <c r="X35" s="2075"/>
      <c r="Y35" s="3439"/>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39"/>
      <c r="Q36" s="2918" t="str">
        <f t="shared" si="11"/>
        <v>公共部分装修</v>
      </c>
      <c r="R36" s="1726" t="s">
        <v>25</v>
      </c>
      <c r="S36" s="1727">
        <f t="shared" si="12"/>
        <v>100</v>
      </c>
      <c r="T36" s="1726" t="s">
        <v>25</v>
      </c>
      <c r="U36" s="1727">
        <f t="shared" si="13"/>
        <v>100</v>
      </c>
      <c r="V36" s="1726" t="s">
        <v>25</v>
      </c>
      <c r="W36" s="1727">
        <f t="shared" si="14"/>
        <v>100</v>
      </c>
      <c r="X36" s="2075"/>
      <c r="Y36" s="3439"/>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39"/>
      <c r="Q37" s="2918" t="str">
        <f t="shared" si="11"/>
        <v>成新度</v>
      </c>
      <c r="R37" s="1726" t="s">
        <v>25</v>
      </c>
      <c r="S37" s="1727" t="e">
        <f t="shared" si="12"/>
        <v>#N/A</v>
      </c>
      <c r="T37" s="1726" t="s">
        <v>25</v>
      </c>
      <c r="U37" s="1727" t="e">
        <f t="shared" si="13"/>
        <v>#N/A</v>
      </c>
      <c r="V37" s="1726" t="s">
        <v>25</v>
      </c>
      <c r="W37" s="1727" t="e">
        <f t="shared" si="14"/>
        <v>#N/A</v>
      </c>
      <c r="X37" s="2075"/>
      <c r="Y37" s="3439"/>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39"/>
      <c r="Q38" s="2917" t="str">
        <f t="shared" si="11"/>
        <v>写字楼等级</v>
      </c>
      <c r="R38" s="1681" t="s">
        <v>25</v>
      </c>
      <c r="S38" s="1682">
        <f t="shared" si="12"/>
        <v>100</v>
      </c>
      <c r="T38" s="1681" t="s">
        <v>25</v>
      </c>
      <c r="U38" s="1682">
        <f t="shared" si="13"/>
        <v>100</v>
      </c>
      <c r="V38" s="1681" t="s">
        <v>25</v>
      </c>
      <c r="W38" s="1682">
        <f t="shared" si="14"/>
        <v>100</v>
      </c>
      <c r="X38" s="1683"/>
      <c r="Y38" s="3439"/>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39" t="s">
        <v>2284</v>
      </c>
      <c r="Q39" s="2918" t="str">
        <f t="shared" si="11"/>
        <v>物业管理</v>
      </c>
      <c r="R39" s="1726" t="s">
        <v>25</v>
      </c>
      <c r="S39" s="1727">
        <f t="shared" si="12"/>
        <v>100</v>
      </c>
      <c r="T39" s="1726" t="s">
        <v>25</v>
      </c>
      <c r="U39" s="1727">
        <f t="shared" si="13"/>
        <v>100</v>
      </c>
      <c r="V39" s="1726" t="s">
        <v>25</v>
      </c>
      <c r="W39" s="1727">
        <f t="shared" si="14"/>
        <v>100</v>
      </c>
      <c r="X39" s="2075"/>
      <c r="Y39" s="3439"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39"/>
      <c r="Q40" s="2918" t="str">
        <f t="shared" si="11"/>
        <v>市政基础设施</v>
      </c>
      <c r="R40" s="1726" t="s">
        <v>25</v>
      </c>
      <c r="S40" s="1727">
        <f t="shared" si="12"/>
        <v>100</v>
      </c>
      <c r="T40" s="1726" t="s">
        <v>25</v>
      </c>
      <c r="U40" s="1727">
        <f t="shared" si="13"/>
        <v>100</v>
      </c>
      <c r="V40" s="1726" t="s">
        <v>25</v>
      </c>
      <c r="W40" s="1727">
        <f t="shared" si="14"/>
        <v>100</v>
      </c>
      <c r="X40" s="2075"/>
      <c r="Y40" s="3439"/>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39"/>
      <c r="Q41" s="2918" t="str">
        <f t="shared" si="11"/>
        <v>层高</v>
      </c>
      <c r="R41" s="1726" t="s">
        <v>25</v>
      </c>
      <c r="S41" s="1727">
        <f t="shared" si="12"/>
        <v>100</v>
      </c>
      <c r="T41" s="1726" t="s">
        <v>25</v>
      </c>
      <c r="U41" s="1727">
        <f t="shared" si="13"/>
        <v>100</v>
      </c>
      <c r="V41" s="1726" t="s">
        <v>25</v>
      </c>
      <c r="W41" s="1727">
        <f t="shared" si="14"/>
        <v>100</v>
      </c>
      <c r="X41" s="2075"/>
      <c r="Y41" s="3439"/>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39"/>
      <c r="Q42" s="1767" t="str">
        <f t="shared" si="11"/>
        <v>单套建筑面积</v>
      </c>
      <c r="R42" s="1768" t="s">
        <v>25</v>
      </c>
      <c r="S42" s="1769">
        <f t="shared" si="12"/>
        <v>100</v>
      </c>
      <c r="T42" s="1768" t="s">
        <v>25</v>
      </c>
      <c r="U42" s="1769">
        <f t="shared" si="13"/>
        <v>100</v>
      </c>
      <c r="V42" s="1768" t="s">
        <v>25</v>
      </c>
      <c r="W42" s="1769">
        <f t="shared" si="14"/>
        <v>100</v>
      </c>
      <c r="X42" s="1770"/>
      <c r="Y42" s="3439"/>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39"/>
      <c r="Q43" s="2918" t="str">
        <f t="shared" si="11"/>
        <v>内部装修</v>
      </c>
      <c r="R43" s="1726" t="s">
        <v>25</v>
      </c>
      <c r="S43" s="1727">
        <f t="shared" si="12"/>
        <v>100</v>
      </c>
      <c r="T43" s="1726" t="s">
        <v>25</v>
      </c>
      <c r="U43" s="1727">
        <f t="shared" si="13"/>
        <v>100</v>
      </c>
      <c r="V43" s="1726" t="s">
        <v>25</v>
      </c>
      <c r="W43" s="1727">
        <f t="shared" si="14"/>
        <v>100</v>
      </c>
      <c r="X43" s="2075"/>
      <c r="Y43" s="3439"/>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39"/>
      <c r="Q44" s="2918" t="str">
        <f t="shared" si="11"/>
        <v>内部装修维护情况</v>
      </c>
      <c r="R44" s="1726" t="s">
        <v>25</v>
      </c>
      <c r="S44" s="1727">
        <f t="shared" si="12"/>
        <v>100</v>
      </c>
      <c r="T44" s="1726" t="s">
        <v>25</v>
      </c>
      <c r="U44" s="1727">
        <f t="shared" si="13"/>
        <v>100</v>
      </c>
      <c r="V44" s="1726" t="s">
        <v>25</v>
      </c>
      <c r="W44" s="1727">
        <f t="shared" si="14"/>
        <v>100</v>
      </c>
      <c r="X44" s="2075"/>
      <c r="Y44" s="343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39"/>
      <c r="Q45" s="2917">
        <f t="shared" si="11"/>
        <v>111</v>
      </c>
      <c r="R45" s="1681" t="s">
        <v>25</v>
      </c>
      <c r="S45" s="1682">
        <f t="shared" si="12"/>
        <v>100</v>
      </c>
      <c r="T45" s="1681" t="s">
        <v>25</v>
      </c>
      <c r="U45" s="1682">
        <f t="shared" si="13"/>
        <v>100</v>
      </c>
      <c r="V45" s="1681" t="s">
        <v>25</v>
      </c>
      <c r="W45" s="1682">
        <f t="shared" si="14"/>
        <v>100</v>
      </c>
      <c r="X45" s="1683"/>
      <c r="Y45" s="343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39"/>
      <c r="Q46" s="2918">
        <f t="shared" si="11"/>
        <v>111</v>
      </c>
      <c r="R46" s="1726" t="s">
        <v>25</v>
      </c>
      <c r="S46" s="1727">
        <f t="shared" si="12"/>
        <v>100</v>
      </c>
      <c r="T46" s="1726" t="s">
        <v>25</v>
      </c>
      <c r="U46" s="1727">
        <f t="shared" si="13"/>
        <v>100</v>
      </c>
      <c r="V46" s="1726" t="s">
        <v>25</v>
      </c>
      <c r="W46" s="1727">
        <f t="shared" si="14"/>
        <v>100</v>
      </c>
      <c r="X46" s="2075"/>
      <c r="Y46" s="343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40"/>
      <c r="Q47" s="2918">
        <f t="shared" si="11"/>
        <v>111</v>
      </c>
      <c r="R47" s="1726" t="s">
        <v>25</v>
      </c>
      <c r="S47" s="1727">
        <f t="shared" si="12"/>
        <v>100</v>
      </c>
      <c r="T47" s="1726" t="s">
        <v>25</v>
      </c>
      <c r="U47" s="1727">
        <f t="shared" si="13"/>
        <v>100</v>
      </c>
      <c r="V47" s="1726" t="s">
        <v>25</v>
      </c>
      <c r="W47" s="1727">
        <f t="shared" si="14"/>
        <v>100</v>
      </c>
      <c r="X47" s="2075"/>
      <c r="Y47" s="3440"/>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31" t="str">
        <f>A48</f>
        <v>成交单价（元/平方米）</v>
      </c>
      <c r="Q48" s="3431"/>
      <c r="R48" s="3427">
        <f>E48</f>
        <v>0</v>
      </c>
      <c r="S48" s="3427"/>
      <c r="T48" s="3427">
        <f>G48</f>
        <v>0</v>
      </c>
      <c r="U48" s="3427"/>
      <c r="V48" s="3427">
        <f>I48</f>
        <v>0</v>
      </c>
      <c r="W48" s="3427"/>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3">
        <f>F49+H49+J49</f>
        <v>0</v>
      </c>
      <c r="L49" s="3005"/>
      <c r="M49" s="3000"/>
      <c r="N49" s="3000"/>
      <c r="O49" s="3000"/>
      <c r="P49" s="3431" t="str">
        <f>A49</f>
        <v>比较价值（元/平方米）</v>
      </c>
      <c r="Q49" s="3431"/>
      <c r="R49" s="3427" t="e">
        <f>IF(E1="售价",ROUND(PRODUCT(R48,AA7:AA47),0),ROUND(PRODUCT(R48,AA7:AA47),1))</f>
        <v>#DIV/0!</v>
      </c>
      <c r="S49" s="3427"/>
      <c r="T49" s="3427" t="e">
        <f>IF(E1="售价",ROUND(PRODUCT(T48,AB7:AB47),0),ROUND(PRODUCT(T48,AB7:AB47),1))</f>
        <v>#DIV/0!</v>
      </c>
      <c r="U49" s="3427"/>
      <c r="V49" s="3427" t="e">
        <f>IF(E1="售价",ROUND(PRODUCT(V48,AC7:AC47),0),ROUND(PRODUCT(V48,AC7:AC47),1))</f>
        <v>#DIV/0!</v>
      </c>
      <c r="W49" s="3427"/>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28" t="str">
        <f>A50</f>
        <v>估价对象XX用房的比较价值（楼面单价，元/平方米）</v>
      </c>
      <c r="Q50" s="3429"/>
      <c r="R50" s="3430" t="e">
        <f>IF(E1="售价",ROUND(IF(D49="简单平均",AVERAGE(R49:V49),R49*F49+T49*H49+V49*J49),0),ROUND(IF(D49="简单平均",AVERAGE(R49:V49),R49*F49+T49*H49+V49*J49),1))</f>
        <v>#DIV/0!</v>
      </c>
      <c r="S50" s="3430"/>
      <c r="T50" s="3430"/>
      <c r="U50" s="3430"/>
      <c r="V50" s="3430"/>
      <c r="W50" s="3430"/>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7" priority="20" stopIfTrue="1" operator="containsText" text="超过">
      <formula>NOT(ISERROR(SEARCH("超过",F53)))</formula>
    </cfRule>
  </conditionalFormatting>
  <conditionalFormatting sqref="H55">
    <cfRule type="containsText" dxfId="136" priority="19" stopIfTrue="1" operator="containsText" text="超过">
      <formula>NOT(ISERROR(SEARCH("超过",H55)))</formula>
    </cfRule>
  </conditionalFormatting>
  <conditionalFormatting sqref="F55">
    <cfRule type="containsText" dxfId="135" priority="18" stopIfTrue="1" operator="containsText" text="超过">
      <formula>NOT(ISERROR(SEARCH("超过",F55)))</formula>
    </cfRule>
  </conditionalFormatting>
  <conditionalFormatting sqref="F54 H54">
    <cfRule type="containsText" dxfId="134" priority="17" stopIfTrue="1" operator="containsText" text="超过">
      <formula>NOT(ISERROR(SEARCH("超过",F54)))</formula>
    </cfRule>
  </conditionalFormatting>
  <conditionalFormatting sqref="E53">
    <cfRule type="expression" dxfId="133" priority="16" stopIfTrue="1">
      <formula>$F$53="超过30%"</formula>
    </cfRule>
  </conditionalFormatting>
  <conditionalFormatting sqref="E54">
    <cfRule type="expression" dxfId="132" priority="15" stopIfTrue="1">
      <formula>$F$54="超过20%"</formula>
    </cfRule>
  </conditionalFormatting>
  <conditionalFormatting sqref="E55">
    <cfRule type="expression" dxfId="131" priority="14" stopIfTrue="1">
      <formula>$F$55="超过30%"</formula>
    </cfRule>
  </conditionalFormatting>
  <conditionalFormatting sqref="G55">
    <cfRule type="expression" dxfId="130" priority="13" stopIfTrue="1">
      <formula>$H$55="超过30%"</formula>
    </cfRule>
  </conditionalFormatting>
  <conditionalFormatting sqref="G53">
    <cfRule type="expression" dxfId="129" priority="12" stopIfTrue="1">
      <formula>$H$53="超过30%"</formula>
    </cfRule>
  </conditionalFormatting>
  <conditionalFormatting sqref="G54">
    <cfRule type="expression" dxfId="128" priority="11" stopIfTrue="1">
      <formula>$H$54="超过20%"</formula>
    </cfRule>
  </conditionalFormatting>
  <conditionalFormatting sqref="J53">
    <cfRule type="containsText" dxfId="127" priority="10" stopIfTrue="1" operator="containsText" text="超过">
      <formula>NOT(ISERROR(SEARCH("超过",J53)))</formula>
    </cfRule>
  </conditionalFormatting>
  <conditionalFormatting sqref="J55">
    <cfRule type="containsText" dxfId="126" priority="9" stopIfTrue="1" operator="containsText" text="超过">
      <formula>NOT(ISERROR(SEARCH("超过",J55)))</formula>
    </cfRule>
  </conditionalFormatting>
  <conditionalFormatting sqref="J54">
    <cfRule type="containsText" dxfId="125" priority="8" stopIfTrue="1" operator="containsText" text="超过">
      <formula>NOT(ISERROR(SEARCH("超过",J54)))</formula>
    </cfRule>
  </conditionalFormatting>
  <conditionalFormatting sqref="I53">
    <cfRule type="expression" dxfId="124" priority="7" stopIfTrue="1">
      <formula>$J$53="超过30%"</formula>
    </cfRule>
  </conditionalFormatting>
  <conditionalFormatting sqref="I54">
    <cfRule type="expression" dxfId="123" priority="6" stopIfTrue="1">
      <formula>$J$53+$J$54="超过20%"</formula>
    </cfRule>
  </conditionalFormatting>
  <conditionalFormatting sqref="I55">
    <cfRule type="expression" dxfId="122" priority="5" stopIfTrue="1">
      <formula>$J$55="超过30%"</formula>
    </cfRule>
  </conditionalFormatting>
  <conditionalFormatting sqref="F49">
    <cfRule type="expression" dxfId="121" priority="4">
      <formula>$D$49="简单平均"</formula>
    </cfRule>
  </conditionalFormatting>
  <conditionalFormatting sqref="H49">
    <cfRule type="expression" dxfId="120" priority="3">
      <formula>$D$49="简单平均"</formula>
    </cfRule>
  </conditionalFormatting>
  <conditionalFormatting sqref="J49">
    <cfRule type="expression" dxfId="119" priority="2">
      <formula>$D$49="简单平均"</formula>
    </cfRule>
  </conditionalFormatting>
  <conditionalFormatting sqref="F7:F47 H7:H47 J7:J47">
    <cfRule type="cellIs" dxfId="11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84" t="s">
        <v>2267</v>
      </c>
      <c r="Q7" s="3492"/>
      <c r="R7" s="627" t="s">
        <v>25</v>
      </c>
      <c r="S7" s="628">
        <f t="shared" ref="S7:S15" si="0">F7</f>
        <v>0</v>
      </c>
      <c r="T7" s="627" t="s">
        <v>25</v>
      </c>
      <c r="U7" s="628">
        <f t="shared" ref="U7:U15" si="1">H7</f>
        <v>0</v>
      </c>
      <c r="V7" s="627" t="s">
        <v>25</v>
      </c>
      <c r="W7" s="628">
        <f t="shared" ref="W7:W15" si="2">J7</f>
        <v>0</v>
      </c>
      <c r="X7" s="629"/>
      <c r="Y7" s="3484" t="s">
        <v>2267</v>
      </c>
      <c r="Z7" s="3485"/>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6" t="s">
        <v>2273</v>
      </c>
      <c r="Q9" s="1327" t="str">
        <f t="shared" ref="Q9:Q15" si="6">B9</f>
        <v>用途</v>
      </c>
      <c r="R9" s="627" t="s">
        <v>25</v>
      </c>
      <c r="S9" s="628">
        <f t="shared" si="0"/>
        <v>100</v>
      </c>
      <c r="T9" s="627" t="s">
        <v>25</v>
      </c>
      <c r="U9" s="628">
        <f t="shared" si="1"/>
        <v>100</v>
      </c>
      <c r="V9" s="627" t="s">
        <v>25</v>
      </c>
      <c r="W9" s="628">
        <f t="shared" si="2"/>
        <v>100</v>
      </c>
      <c r="X9" s="629"/>
      <c r="Y9" s="349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6"/>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6"/>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3" t="s">
        <v>2278</v>
      </c>
      <c r="Q15" s="1334" t="str">
        <f t="shared" si="6"/>
        <v>产业集聚程度</v>
      </c>
      <c r="R15" s="631" t="s">
        <v>25</v>
      </c>
      <c r="S15" s="632">
        <f t="shared" si="0"/>
        <v>100</v>
      </c>
      <c r="T15" s="631" t="s">
        <v>25</v>
      </c>
      <c r="U15" s="632">
        <f t="shared" si="1"/>
        <v>100</v>
      </c>
      <c r="V15" s="631" t="s">
        <v>25</v>
      </c>
      <c r="W15" s="632">
        <f t="shared" si="2"/>
        <v>100</v>
      </c>
      <c r="X15" s="1335"/>
      <c r="Y15" s="349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94"/>
      <c r="Q16" s="1334"/>
      <c r="R16" s="631"/>
      <c r="S16" s="632"/>
      <c r="T16" s="631"/>
      <c r="U16" s="632"/>
      <c r="V16" s="631"/>
      <c r="W16" s="632"/>
      <c r="X16" s="1335"/>
      <c r="Y16" s="349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94"/>
      <c r="Q18" s="1334"/>
      <c r="R18" s="631"/>
      <c r="S18" s="632"/>
      <c r="T18" s="631"/>
      <c r="U18" s="632"/>
      <c r="V18" s="631"/>
      <c r="W18" s="632"/>
      <c r="X18" s="1335"/>
      <c r="Y18" s="349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4"/>
      <c r="Q19" s="1334" t="str">
        <f>B19</f>
        <v>公共配套设施</v>
      </c>
      <c r="R19" s="631" t="s">
        <v>25</v>
      </c>
      <c r="S19" s="632">
        <f>F19</f>
        <v>100</v>
      </c>
      <c r="T19" s="631" t="s">
        <v>25</v>
      </c>
      <c r="U19" s="632">
        <f>H19</f>
        <v>100</v>
      </c>
      <c r="V19" s="631" t="s">
        <v>25</v>
      </c>
      <c r="W19" s="632">
        <f>J19</f>
        <v>100</v>
      </c>
      <c r="X19" s="1335"/>
      <c r="Y19" s="349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94"/>
      <c r="Q20" s="1334"/>
      <c r="R20" s="631"/>
      <c r="S20" s="632"/>
      <c r="T20" s="631"/>
      <c r="U20" s="632"/>
      <c r="V20" s="631"/>
      <c r="W20" s="632"/>
      <c r="X20" s="1335"/>
      <c r="Y20" s="349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4"/>
      <c r="Q21" s="1334" t="str">
        <f>B21</f>
        <v>基础设施水平</v>
      </c>
      <c r="R21" s="631" t="s">
        <v>25</v>
      </c>
      <c r="S21" s="632">
        <f>F21</f>
        <v>100</v>
      </c>
      <c r="T21" s="631" t="s">
        <v>25</v>
      </c>
      <c r="U21" s="632">
        <f>H21</f>
        <v>100</v>
      </c>
      <c r="V21" s="631" t="s">
        <v>25</v>
      </c>
      <c r="W21" s="632">
        <f>J21</f>
        <v>100</v>
      </c>
      <c r="X21" s="1335"/>
      <c r="Y21" s="349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94"/>
      <c r="Q22" s="1334"/>
      <c r="R22" s="631"/>
      <c r="S22" s="632"/>
      <c r="T22" s="631"/>
      <c r="U22" s="632"/>
      <c r="V22" s="631"/>
      <c r="W22" s="632"/>
      <c r="X22" s="1335"/>
      <c r="Y22" s="349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4"/>
      <c r="Q23" s="1334" t="str">
        <f>B23</f>
        <v>环境质量</v>
      </c>
      <c r="R23" s="631" t="s">
        <v>25</v>
      </c>
      <c r="S23" s="632">
        <f>F23</f>
        <v>100</v>
      </c>
      <c r="T23" s="631" t="s">
        <v>25</v>
      </c>
      <c r="U23" s="632">
        <f>H23</f>
        <v>100</v>
      </c>
      <c r="V23" s="631" t="s">
        <v>25</v>
      </c>
      <c r="W23" s="632">
        <f>J23</f>
        <v>100</v>
      </c>
      <c r="X23" s="1335"/>
      <c r="Y23" s="349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94"/>
      <c r="Q24" s="1334"/>
      <c r="R24" s="631"/>
      <c r="S24" s="632"/>
      <c r="T24" s="631"/>
      <c r="U24" s="632"/>
      <c r="V24" s="631"/>
      <c r="W24" s="632"/>
      <c r="X24" s="1335"/>
      <c r="Y24" s="349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4"/>
      <c r="Q25" s="1334">
        <f>B25</f>
        <v>111</v>
      </c>
      <c r="R25" s="631" t="s">
        <v>25</v>
      </c>
      <c r="S25" s="632">
        <f>F25</f>
        <v>100</v>
      </c>
      <c r="T25" s="631" t="s">
        <v>25</v>
      </c>
      <c r="U25" s="632">
        <f>H25</f>
        <v>100</v>
      </c>
      <c r="V25" s="631" t="s">
        <v>25</v>
      </c>
      <c r="W25" s="632">
        <f>J25</f>
        <v>100</v>
      </c>
      <c r="X25" s="1335"/>
      <c r="Y25" s="349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4"/>
      <c r="Q26" s="1334">
        <f t="shared" ref="Q26:Q40" si="11">B26</f>
        <v>111</v>
      </c>
      <c r="R26" s="631" t="s">
        <v>25</v>
      </c>
      <c r="S26" s="632">
        <f>F26</f>
        <v>100</v>
      </c>
      <c r="T26" s="631" t="s">
        <v>25</v>
      </c>
      <c r="U26" s="632">
        <f>H26</f>
        <v>100</v>
      </c>
      <c r="V26" s="631" t="s">
        <v>25</v>
      </c>
      <c r="W26" s="632">
        <f>J26</f>
        <v>100</v>
      </c>
      <c r="X26" s="1335"/>
      <c r="Y26" s="349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4"/>
      <c r="Q27" s="1327">
        <f t="shared" si="11"/>
        <v>111</v>
      </c>
      <c r="R27" s="627" t="s">
        <v>25</v>
      </c>
      <c r="S27" s="628">
        <f>F27</f>
        <v>100</v>
      </c>
      <c r="T27" s="627" t="s">
        <v>25</v>
      </c>
      <c r="U27" s="628">
        <f>H27</f>
        <v>100</v>
      </c>
      <c r="V27" s="627" t="s">
        <v>25</v>
      </c>
      <c r="W27" s="628">
        <f>J27</f>
        <v>100</v>
      </c>
      <c r="X27" s="629"/>
      <c r="Y27" s="349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4"/>
      <c r="Q28" s="1334">
        <f t="shared" si="11"/>
        <v>111</v>
      </c>
      <c r="R28" s="631" t="s">
        <v>25</v>
      </c>
      <c r="S28" s="632">
        <f t="shared" ref="S28:S40" si="12">F28</f>
        <v>100</v>
      </c>
      <c r="T28" s="631" t="s">
        <v>25</v>
      </c>
      <c r="U28" s="632">
        <f t="shared" ref="U28:U40" si="13">H28</f>
        <v>100</v>
      </c>
      <c r="V28" s="631" t="s">
        <v>25</v>
      </c>
      <c r="W28" s="632">
        <f t="shared" ref="W28:W40" si="14">J28</f>
        <v>100</v>
      </c>
      <c r="X28" s="1335"/>
      <c r="Y28" s="3494"/>
      <c r="Z28" s="1336">
        <f t="shared" ref="Z28:Z40" si="15">Q28</f>
        <v>111</v>
      </c>
      <c r="AA28" s="1337">
        <f t="shared" si="3"/>
        <v>1</v>
      </c>
      <c r="AB28" s="1337">
        <f t="shared" si="4"/>
        <v>1</v>
      </c>
      <c r="AC28" s="1337">
        <f t="shared" si="5"/>
        <v>1</v>
      </c>
    </row>
    <row r="29" spans="1:29" ht="29.2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81" t="s">
        <v>2284</v>
      </c>
      <c r="Q29" s="1334" t="str">
        <f t="shared" si="11"/>
        <v>建筑类型</v>
      </c>
      <c r="R29" s="631" t="s">
        <v>25</v>
      </c>
      <c r="S29" s="632">
        <f t="shared" si="12"/>
        <v>100</v>
      </c>
      <c r="T29" s="631" t="s">
        <v>25</v>
      </c>
      <c r="U29" s="632">
        <f t="shared" si="13"/>
        <v>100</v>
      </c>
      <c r="V29" s="631" t="s">
        <v>25</v>
      </c>
      <c r="W29" s="632">
        <f t="shared" si="14"/>
        <v>100</v>
      </c>
      <c r="X29" s="1335"/>
      <c r="Y29" s="3482"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82"/>
      <c r="Q30" s="633" t="str">
        <f t="shared" si="11"/>
        <v>项目建筑规模</v>
      </c>
      <c r="R30" s="634" t="s">
        <v>25</v>
      </c>
      <c r="S30" s="635" t="e">
        <f t="shared" si="12"/>
        <v>#N/A</v>
      </c>
      <c r="T30" s="634" t="s">
        <v>25</v>
      </c>
      <c r="U30" s="635" t="e">
        <f t="shared" si="13"/>
        <v>#N/A</v>
      </c>
      <c r="V30" s="634" t="s">
        <v>25</v>
      </c>
      <c r="W30" s="635" t="e">
        <f t="shared" si="14"/>
        <v>#N/A</v>
      </c>
      <c r="X30" s="636"/>
      <c r="Y30" s="3482"/>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82"/>
      <c r="Q31" s="1334" t="str">
        <f t="shared" si="11"/>
        <v>建筑结构</v>
      </c>
      <c r="R31" s="631" t="s">
        <v>25</v>
      </c>
      <c r="S31" s="632">
        <f t="shared" si="12"/>
        <v>100</v>
      </c>
      <c r="T31" s="631" t="s">
        <v>25</v>
      </c>
      <c r="U31" s="632">
        <f t="shared" si="13"/>
        <v>100</v>
      </c>
      <c r="V31" s="631" t="s">
        <v>25</v>
      </c>
      <c r="W31" s="632">
        <f t="shared" si="14"/>
        <v>100</v>
      </c>
      <c r="X31" s="1335"/>
      <c r="Y31" s="3482"/>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82"/>
      <c r="Q32" s="1334" t="str">
        <f t="shared" si="11"/>
        <v>公共部分装修</v>
      </c>
      <c r="R32" s="631" t="s">
        <v>25</v>
      </c>
      <c r="S32" s="632">
        <f t="shared" si="12"/>
        <v>100</v>
      </c>
      <c r="T32" s="631" t="s">
        <v>25</v>
      </c>
      <c r="U32" s="632">
        <f t="shared" si="13"/>
        <v>100</v>
      </c>
      <c r="V32" s="631" t="s">
        <v>25</v>
      </c>
      <c r="W32" s="632">
        <f t="shared" si="14"/>
        <v>100</v>
      </c>
      <c r="X32" s="1335"/>
      <c r="Y32" s="3482"/>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82"/>
      <c r="Q33" s="1334" t="str">
        <f t="shared" si="11"/>
        <v>成新度</v>
      </c>
      <c r="R33" s="631" t="s">
        <v>25</v>
      </c>
      <c r="S33" s="632" t="e">
        <f t="shared" si="12"/>
        <v>#N/A</v>
      </c>
      <c r="T33" s="631" t="s">
        <v>25</v>
      </c>
      <c r="U33" s="632" t="e">
        <f t="shared" si="13"/>
        <v>#N/A</v>
      </c>
      <c r="V33" s="631" t="s">
        <v>25</v>
      </c>
      <c r="W33" s="632" t="e">
        <f t="shared" si="14"/>
        <v>#N/A</v>
      </c>
      <c r="X33" s="1335"/>
      <c r="Y33" s="3482"/>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82"/>
      <c r="Q34" s="1327" t="str">
        <f t="shared" si="11"/>
        <v>物业管理</v>
      </c>
      <c r="R34" s="627" t="s">
        <v>25</v>
      </c>
      <c r="S34" s="628">
        <f t="shared" si="12"/>
        <v>100</v>
      </c>
      <c r="T34" s="627" t="s">
        <v>25</v>
      </c>
      <c r="U34" s="628">
        <f t="shared" si="13"/>
        <v>100</v>
      </c>
      <c r="V34" s="627" t="s">
        <v>25</v>
      </c>
      <c r="W34" s="628">
        <f t="shared" si="14"/>
        <v>100</v>
      </c>
      <c r="X34" s="629"/>
      <c r="Y34" s="3482"/>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82" t="s">
        <v>2284</v>
      </c>
      <c r="Q35" s="1334" t="str">
        <f t="shared" si="11"/>
        <v>市政基础设施</v>
      </c>
      <c r="R35" s="631" t="s">
        <v>25</v>
      </c>
      <c r="S35" s="632">
        <f t="shared" si="12"/>
        <v>100</v>
      </c>
      <c r="T35" s="631" t="s">
        <v>25</v>
      </c>
      <c r="U35" s="632">
        <f t="shared" si="13"/>
        <v>100</v>
      </c>
      <c r="V35" s="631" t="s">
        <v>25</v>
      </c>
      <c r="W35" s="632">
        <f t="shared" si="14"/>
        <v>100</v>
      </c>
      <c r="X35" s="1335"/>
      <c r="Y35" s="3482"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82"/>
      <c r="Q36" s="1334" t="str">
        <f t="shared" si="11"/>
        <v>内部装修</v>
      </c>
      <c r="R36" s="631" t="s">
        <v>25</v>
      </c>
      <c r="S36" s="632">
        <f t="shared" si="12"/>
        <v>100</v>
      </c>
      <c r="T36" s="631" t="s">
        <v>25</v>
      </c>
      <c r="U36" s="632">
        <f t="shared" si="13"/>
        <v>100</v>
      </c>
      <c r="V36" s="631" t="s">
        <v>25</v>
      </c>
      <c r="W36" s="632">
        <f t="shared" si="14"/>
        <v>100</v>
      </c>
      <c r="X36" s="1335"/>
      <c r="Y36" s="3482"/>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82"/>
      <c r="Q37" s="1334" t="str">
        <f t="shared" si="11"/>
        <v>内部装修状况</v>
      </c>
      <c r="R37" s="631" t="s">
        <v>25</v>
      </c>
      <c r="S37" s="632">
        <f t="shared" si="12"/>
        <v>100</v>
      </c>
      <c r="T37" s="631" t="s">
        <v>25</v>
      </c>
      <c r="U37" s="632">
        <f t="shared" si="13"/>
        <v>100</v>
      </c>
      <c r="V37" s="631" t="s">
        <v>25</v>
      </c>
      <c r="W37" s="632">
        <f t="shared" si="14"/>
        <v>100</v>
      </c>
      <c r="X37" s="1335"/>
      <c r="Y37" s="348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82"/>
      <c r="Q38" s="633">
        <f t="shared" si="11"/>
        <v>111</v>
      </c>
      <c r="R38" s="634" t="s">
        <v>25</v>
      </c>
      <c r="S38" s="635">
        <f t="shared" si="12"/>
        <v>100</v>
      </c>
      <c r="T38" s="634" t="s">
        <v>25</v>
      </c>
      <c r="U38" s="635">
        <f t="shared" si="13"/>
        <v>100</v>
      </c>
      <c r="V38" s="634" t="s">
        <v>25</v>
      </c>
      <c r="W38" s="635">
        <f t="shared" si="14"/>
        <v>100</v>
      </c>
      <c r="X38" s="636"/>
      <c r="Y38" s="348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82"/>
      <c r="Q39" s="1334">
        <f t="shared" si="11"/>
        <v>111</v>
      </c>
      <c r="R39" s="631" t="s">
        <v>25</v>
      </c>
      <c r="S39" s="632">
        <f t="shared" si="12"/>
        <v>100</v>
      </c>
      <c r="T39" s="631" t="s">
        <v>25</v>
      </c>
      <c r="U39" s="632">
        <f t="shared" si="13"/>
        <v>100</v>
      </c>
      <c r="V39" s="631" t="s">
        <v>25</v>
      </c>
      <c r="W39" s="632">
        <f t="shared" si="14"/>
        <v>100</v>
      </c>
      <c r="X39" s="1335"/>
      <c r="Y39" s="348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83"/>
      <c r="Q40" s="1334">
        <f t="shared" si="11"/>
        <v>111</v>
      </c>
      <c r="R40" s="631" t="s">
        <v>25</v>
      </c>
      <c r="S40" s="632">
        <f t="shared" si="12"/>
        <v>100</v>
      </c>
      <c r="T40" s="631" t="s">
        <v>25</v>
      </c>
      <c r="U40" s="632">
        <f t="shared" si="13"/>
        <v>100</v>
      </c>
      <c r="V40" s="631" t="s">
        <v>25</v>
      </c>
      <c r="W40" s="632">
        <f t="shared" si="14"/>
        <v>100</v>
      </c>
      <c r="X40" s="1335"/>
      <c r="Y40" s="3483"/>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76" t="str">
        <f>A41</f>
        <v>成交单价（元/平方米）</v>
      </c>
      <c r="Q41" s="3476"/>
      <c r="R41" s="3477">
        <f>E41</f>
        <v>0</v>
      </c>
      <c r="S41" s="3477"/>
      <c r="T41" s="3477">
        <f>G41</f>
        <v>0</v>
      </c>
      <c r="U41" s="3477"/>
      <c r="V41" s="3477">
        <f>I41</f>
        <v>0</v>
      </c>
      <c r="W41" s="3477"/>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3">
        <f>F42+H42+J42</f>
        <v>0</v>
      </c>
      <c r="L42" s="3039"/>
      <c r="N42" s="3028"/>
      <c r="P42" s="3476" t="str">
        <f>A42</f>
        <v>比较价值（元/平方米）</v>
      </c>
      <c r="Q42" s="3476"/>
      <c r="R42" s="3477" t="e">
        <f>IF(E1="售价",ROUND(PRODUCT(R41,AA7:AA40),0),ROUND(PRODUCT(R41,AA7:AA40),1))</f>
        <v>#DIV/0!</v>
      </c>
      <c r="S42" s="3477"/>
      <c r="T42" s="3477" t="e">
        <f>IF(E1="售价",ROUND(PRODUCT(T41,AB7:AB40),0),ROUND(PRODUCT(T41,AB7:AB40),1))</f>
        <v>#DIV/0!</v>
      </c>
      <c r="U42" s="3477"/>
      <c r="V42" s="3477" t="e">
        <f>IF(E1="售价",ROUND(PRODUCT(V41,AC7:AC40),0),ROUND(PRODUCT(V41,AC7:AC40),1))</f>
        <v>#DIV/0!</v>
      </c>
      <c r="W42" s="347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478" t="str">
        <f>A43</f>
        <v>估价对象XX用房的比较价值（楼面单价，元/平方米）</v>
      </c>
      <c r="Q43" s="3479"/>
      <c r="R43" s="3480" t="e">
        <f>IF(E1="售价",ROUND(IF(D42="简单平均",AVERAGE(R42:V42),R42*F42+T42*H42+V42*J42),0),ROUND(IF(D42="简单平均",AVERAGE(R42:V42),R42*F42+T42*H42+V42*J42),1))</f>
        <v>#DIV/0!</v>
      </c>
      <c r="S43" s="3480"/>
      <c r="T43" s="3480"/>
      <c r="U43" s="3480"/>
      <c r="V43" s="3480"/>
      <c r="W43" s="3480"/>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90</v>
      </c>
      <c r="E3" s="839" t="s">
        <v>2414</v>
      </c>
      <c r="F3" s="293">
        <f>'数据-取费表'!B42</f>
        <v>90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44235</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84" t="s">
        <v>2267</v>
      </c>
      <c r="Q7" s="3492"/>
      <c r="R7" s="627" t="s">
        <v>25</v>
      </c>
      <c r="S7" s="628">
        <f t="shared" ref="S7:S14" si="0">F7</f>
        <v>0</v>
      </c>
      <c r="T7" s="627" t="s">
        <v>25</v>
      </c>
      <c r="U7" s="628">
        <f t="shared" ref="U7:U14" si="1">H7</f>
        <v>0</v>
      </c>
      <c r="V7" s="627" t="s">
        <v>25</v>
      </c>
      <c r="W7" s="628">
        <f t="shared" ref="W7:W14" si="2">J7</f>
        <v>0</v>
      </c>
      <c r="X7" s="629"/>
      <c r="Y7" s="3484" t="s">
        <v>2267</v>
      </c>
      <c r="Z7" s="3485"/>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6" t="s">
        <v>2273</v>
      </c>
      <c r="Q9" s="1327" t="str">
        <f t="shared" ref="Q9:Q14" si="6">B9</f>
        <v>用途</v>
      </c>
      <c r="R9" s="627" t="s">
        <v>25</v>
      </c>
      <c r="S9" s="628">
        <f t="shared" si="0"/>
        <v>100</v>
      </c>
      <c r="T9" s="627" t="s">
        <v>25</v>
      </c>
      <c r="U9" s="628">
        <f t="shared" si="1"/>
        <v>100</v>
      </c>
      <c r="V9" s="627" t="s">
        <v>25</v>
      </c>
      <c r="W9" s="628">
        <f t="shared" si="2"/>
        <v>100</v>
      </c>
      <c r="X9" s="629"/>
      <c r="Y9" s="349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6"/>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3" t="s">
        <v>2278</v>
      </c>
      <c r="Q14" s="1334" t="str">
        <f t="shared" si="6"/>
        <v>交通便捷度</v>
      </c>
      <c r="R14" s="631" t="s">
        <v>25</v>
      </c>
      <c r="S14" s="632">
        <f t="shared" si="0"/>
        <v>100</v>
      </c>
      <c r="T14" s="631" t="s">
        <v>25</v>
      </c>
      <c r="U14" s="632">
        <f t="shared" si="1"/>
        <v>100</v>
      </c>
      <c r="V14" s="631" t="s">
        <v>25</v>
      </c>
      <c r="W14" s="632">
        <f t="shared" si="2"/>
        <v>100</v>
      </c>
      <c r="X14" s="1335"/>
      <c r="Y14" s="349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94"/>
      <c r="Q15" s="1334"/>
      <c r="R15" s="631"/>
      <c r="S15" s="632"/>
      <c r="T15" s="631"/>
      <c r="U15" s="632"/>
      <c r="V15" s="631"/>
      <c r="W15" s="632"/>
      <c r="X15" s="1335"/>
      <c r="Y15" s="349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94"/>
      <c r="Q17" s="1334"/>
      <c r="R17" s="631"/>
      <c r="S17" s="632"/>
      <c r="T17" s="631"/>
      <c r="U17" s="632"/>
      <c r="V17" s="631"/>
      <c r="W17" s="632"/>
      <c r="X17" s="1335"/>
      <c r="Y17" s="3494"/>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94"/>
      <c r="Q19" s="1334"/>
      <c r="R19" s="631"/>
      <c r="S19" s="632"/>
      <c r="T19" s="631"/>
      <c r="U19" s="632"/>
      <c r="V19" s="631"/>
      <c r="W19" s="632"/>
      <c r="X19" s="1335"/>
      <c r="Y19" s="3494"/>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94"/>
      <c r="Q21" s="1334"/>
      <c r="R21" s="631"/>
      <c r="S21" s="632"/>
      <c r="T21" s="631"/>
      <c r="U21" s="632"/>
      <c r="V21" s="631"/>
      <c r="W21" s="632"/>
      <c r="X21" s="1335"/>
      <c r="Y21" s="349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4"/>
      <c r="Q24" s="1334">
        <f t="shared" ref="Q24:Q36"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9.2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81"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2"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82"/>
      <c r="Q27" s="633" t="str">
        <f t="shared" si="11"/>
        <v>项目停车位配比</v>
      </c>
      <c r="R27" s="634" t="s">
        <v>25</v>
      </c>
      <c r="S27" s="635">
        <f t="shared" si="12"/>
        <v>100</v>
      </c>
      <c r="T27" s="634" t="s">
        <v>25</v>
      </c>
      <c r="U27" s="635">
        <f t="shared" si="13"/>
        <v>100</v>
      </c>
      <c r="V27" s="634" t="s">
        <v>25</v>
      </c>
      <c r="W27" s="635">
        <f t="shared" si="14"/>
        <v>100</v>
      </c>
      <c r="X27" s="636"/>
      <c r="Y27" s="3482"/>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82"/>
      <c r="Q28" s="1334" t="str">
        <f t="shared" si="11"/>
        <v>公共部分装修</v>
      </c>
      <c r="R28" s="631" t="s">
        <v>25</v>
      </c>
      <c r="S28" s="632">
        <f t="shared" si="12"/>
        <v>100</v>
      </c>
      <c r="T28" s="631" t="s">
        <v>25</v>
      </c>
      <c r="U28" s="632">
        <f t="shared" si="13"/>
        <v>100</v>
      </c>
      <c r="V28" s="631" t="s">
        <v>25</v>
      </c>
      <c r="W28" s="632">
        <f t="shared" si="14"/>
        <v>100</v>
      </c>
      <c r="X28" s="1335"/>
      <c r="Y28" s="3482"/>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82"/>
      <c r="Q29" s="1334" t="str">
        <f t="shared" si="11"/>
        <v>成新率</v>
      </c>
      <c r="R29" s="631" t="s">
        <v>25</v>
      </c>
      <c r="S29" s="632" t="e">
        <f t="shared" si="12"/>
        <v>#N/A</v>
      </c>
      <c r="T29" s="631" t="s">
        <v>25</v>
      </c>
      <c r="U29" s="632" t="e">
        <f t="shared" si="13"/>
        <v>#N/A</v>
      </c>
      <c r="V29" s="631" t="s">
        <v>25</v>
      </c>
      <c r="W29" s="632" t="e">
        <f t="shared" si="14"/>
        <v>#N/A</v>
      </c>
      <c r="X29" s="1335"/>
      <c r="Y29" s="3482"/>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82"/>
      <c r="Q30" s="1334" t="str">
        <f t="shared" si="11"/>
        <v>物业等级</v>
      </c>
      <c r="R30" s="631" t="s">
        <v>25</v>
      </c>
      <c r="S30" s="632">
        <f t="shared" si="12"/>
        <v>100</v>
      </c>
      <c r="T30" s="631" t="s">
        <v>25</v>
      </c>
      <c r="U30" s="632">
        <f t="shared" si="13"/>
        <v>100</v>
      </c>
      <c r="V30" s="631" t="s">
        <v>25</v>
      </c>
      <c r="W30" s="632">
        <f t="shared" si="14"/>
        <v>100</v>
      </c>
      <c r="X30" s="1335"/>
      <c r="Y30" s="3482"/>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82"/>
      <c r="Q31" s="1327" t="str">
        <f t="shared" si="11"/>
        <v>停车位面积</v>
      </c>
      <c r="R31" s="627" t="s">
        <v>25</v>
      </c>
      <c r="S31" s="628" t="e">
        <f t="shared" si="12"/>
        <v>#N/A</v>
      </c>
      <c r="T31" s="627" t="s">
        <v>25</v>
      </c>
      <c r="U31" s="628" t="e">
        <f t="shared" si="13"/>
        <v>#N/A</v>
      </c>
      <c r="V31" s="627" t="s">
        <v>25</v>
      </c>
      <c r="W31" s="628" t="e">
        <f t="shared" si="14"/>
        <v>#N/A</v>
      </c>
      <c r="X31" s="629"/>
      <c r="Y31" s="3482"/>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82" t="s">
        <v>2284</v>
      </c>
      <c r="Q32" s="1334" t="str">
        <f t="shared" si="11"/>
        <v>车位类型</v>
      </c>
      <c r="R32" s="631" t="s">
        <v>25</v>
      </c>
      <c r="S32" s="632">
        <f t="shared" si="12"/>
        <v>100</v>
      </c>
      <c r="T32" s="631" t="s">
        <v>25</v>
      </c>
      <c r="U32" s="632">
        <f t="shared" si="13"/>
        <v>100</v>
      </c>
      <c r="V32" s="631" t="s">
        <v>25</v>
      </c>
      <c r="W32" s="632">
        <f t="shared" si="14"/>
        <v>100</v>
      </c>
      <c r="X32" s="1335"/>
      <c r="Y32" s="3482"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82"/>
      <c r="Q33" s="1334" t="str">
        <f t="shared" si="11"/>
        <v>是否直接入户</v>
      </c>
      <c r="R33" s="631" t="s">
        <v>25</v>
      </c>
      <c r="S33" s="632">
        <f t="shared" si="12"/>
        <v>100</v>
      </c>
      <c r="T33" s="631" t="s">
        <v>25</v>
      </c>
      <c r="U33" s="632">
        <f t="shared" si="13"/>
        <v>100</v>
      </c>
      <c r="V33" s="631" t="s">
        <v>25</v>
      </c>
      <c r="W33" s="632">
        <f t="shared" si="14"/>
        <v>100</v>
      </c>
      <c r="X33" s="1335"/>
      <c r="Y33" s="348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82"/>
      <c r="Q34" s="1334">
        <f t="shared" si="11"/>
        <v>111</v>
      </c>
      <c r="R34" s="631" t="s">
        <v>25</v>
      </c>
      <c r="S34" s="632">
        <f t="shared" si="12"/>
        <v>100</v>
      </c>
      <c r="T34" s="631" t="s">
        <v>25</v>
      </c>
      <c r="U34" s="632">
        <f t="shared" si="13"/>
        <v>100</v>
      </c>
      <c r="V34" s="631" t="s">
        <v>25</v>
      </c>
      <c r="W34" s="632">
        <f t="shared" si="14"/>
        <v>100</v>
      </c>
      <c r="X34" s="1335"/>
      <c r="Y34" s="348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82"/>
      <c r="Q35" s="633">
        <f t="shared" si="11"/>
        <v>111</v>
      </c>
      <c r="R35" s="634" t="s">
        <v>25</v>
      </c>
      <c r="S35" s="635">
        <f t="shared" si="12"/>
        <v>100</v>
      </c>
      <c r="T35" s="634" t="s">
        <v>25</v>
      </c>
      <c r="U35" s="635">
        <f t="shared" si="13"/>
        <v>100</v>
      </c>
      <c r="V35" s="634" t="s">
        <v>25</v>
      </c>
      <c r="W35" s="635">
        <f t="shared" si="14"/>
        <v>100</v>
      </c>
      <c r="X35" s="636"/>
      <c r="Y35" s="348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82"/>
      <c r="Q36" s="1334">
        <f t="shared" si="11"/>
        <v>111</v>
      </c>
      <c r="R36" s="631" t="s">
        <v>25</v>
      </c>
      <c r="S36" s="632">
        <f t="shared" si="12"/>
        <v>100</v>
      </c>
      <c r="T36" s="631" t="s">
        <v>25</v>
      </c>
      <c r="U36" s="632">
        <f t="shared" si="13"/>
        <v>100</v>
      </c>
      <c r="V36" s="631" t="s">
        <v>25</v>
      </c>
      <c r="W36" s="632">
        <f t="shared" si="14"/>
        <v>100</v>
      </c>
      <c r="X36" s="1335"/>
      <c r="Y36" s="3482"/>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76" t="str">
        <f>A37</f>
        <v>成交单价</v>
      </c>
      <c r="Q37" s="3476"/>
      <c r="R37" s="3477">
        <f>E37</f>
        <v>0</v>
      </c>
      <c r="S37" s="3477"/>
      <c r="T37" s="3477">
        <f>G37</f>
        <v>0</v>
      </c>
      <c r="U37" s="3477"/>
      <c r="V37" s="3477">
        <f>I37</f>
        <v>0</v>
      </c>
      <c r="W37" s="3477"/>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3">
        <f>F38+H38+J38</f>
        <v>0</v>
      </c>
      <c r="L38" s="3039"/>
      <c r="P38" s="3476" t="str">
        <f>A38</f>
        <v>比较价值</v>
      </c>
      <c r="Q38" s="3476"/>
      <c r="R38" s="3477" t="e">
        <f>IF(E1="售价",ROUND(PRODUCT(R37,AA7:AA36),0),ROUND(PRODUCT(R37,AA7:AA36),1))</f>
        <v>#DIV/0!</v>
      </c>
      <c r="S38" s="3477"/>
      <c r="T38" s="3477" t="e">
        <f>IF(E1="售价",ROUND(PRODUCT(T37,AB7:AB36),0),ROUND(PRODUCT(T37,AB7:AB36),1))</f>
        <v>#DIV/0!</v>
      </c>
      <c r="U38" s="3477"/>
      <c r="V38" s="3477" t="e">
        <f>IF(E1="售价",ROUND(PRODUCT(V37,AC7:AC36),0),ROUND(PRODUCT(V37,AC7:AC36),1))</f>
        <v>#DIV/0!</v>
      </c>
      <c r="W38" s="3477"/>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478" t="str">
        <f>A39</f>
        <v>估价对象XX用房的比较价值（楼面单价，元/平方米）</v>
      </c>
      <c r="Q39" s="3479"/>
      <c r="R39" s="3480" t="e">
        <f>IF(E1="售价",ROUND(IF(D38="简单平均",AVERAGE(R38:W38),R38*F38+T38*H38+V38*J38),0),ROUND(IF(D38="简单平均",AVERAGE(R38:V38),R38*F38+T38*H38+V38*J38),1))</f>
        <v>#DIV/0!</v>
      </c>
      <c r="S39" s="3480"/>
      <c r="T39" s="3480"/>
      <c r="U39" s="3480"/>
      <c r="V39" s="3480"/>
      <c r="W39" s="3480"/>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84" t="s">
        <v>2267</v>
      </c>
      <c r="Q7" s="3492"/>
      <c r="R7" s="627" t="s">
        <v>25</v>
      </c>
      <c r="S7" s="628">
        <f t="shared" ref="S7:S14" si="0">F7</f>
        <v>0</v>
      </c>
      <c r="T7" s="627" t="s">
        <v>25</v>
      </c>
      <c r="U7" s="628">
        <f t="shared" ref="U7:U14" si="1">H7</f>
        <v>0</v>
      </c>
      <c r="V7" s="627" t="s">
        <v>25</v>
      </c>
      <c r="W7" s="628">
        <f t="shared" ref="W7:W14" si="2">J7</f>
        <v>0</v>
      </c>
      <c r="X7" s="629"/>
      <c r="Y7" s="3484" t="s">
        <v>2267</v>
      </c>
      <c r="Z7" s="3485"/>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6" t="s">
        <v>2273</v>
      </c>
      <c r="Q9" s="1327" t="str">
        <f t="shared" ref="Q9:Q14" si="6">B9</f>
        <v>用途</v>
      </c>
      <c r="R9" s="627" t="s">
        <v>25</v>
      </c>
      <c r="S9" s="628">
        <f t="shared" si="0"/>
        <v>100</v>
      </c>
      <c r="T9" s="627" t="s">
        <v>25</v>
      </c>
      <c r="U9" s="628">
        <f t="shared" si="1"/>
        <v>100</v>
      </c>
      <c r="V9" s="627" t="s">
        <v>25</v>
      </c>
      <c r="W9" s="628">
        <f t="shared" si="2"/>
        <v>100</v>
      </c>
      <c r="X9" s="629"/>
      <c r="Y9" s="349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6"/>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3" t="s">
        <v>2278</v>
      </c>
      <c r="Q14" s="1334" t="str">
        <f t="shared" si="6"/>
        <v>交通便捷度</v>
      </c>
      <c r="R14" s="631" t="s">
        <v>25</v>
      </c>
      <c r="S14" s="632">
        <f t="shared" si="0"/>
        <v>100</v>
      </c>
      <c r="T14" s="631" t="s">
        <v>25</v>
      </c>
      <c r="U14" s="632">
        <f t="shared" si="1"/>
        <v>100</v>
      </c>
      <c r="V14" s="631" t="s">
        <v>25</v>
      </c>
      <c r="W14" s="632">
        <f t="shared" si="2"/>
        <v>100</v>
      </c>
      <c r="X14" s="1335"/>
      <c r="Y14" s="349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94"/>
      <c r="Q15" s="1334"/>
      <c r="R15" s="631"/>
      <c r="S15" s="632"/>
      <c r="T15" s="631"/>
      <c r="U15" s="632"/>
      <c r="V15" s="631"/>
      <c r="W15" s="632"/>
      <c r="X15" s="1335"/>
      <c r="Y15" s="349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94"/>
      <c r="Q17" s="1334"/>
      <c r="R17" s="631"/>
      <c r="S17" s="632"/>
      <c r="T17" s="631"/>
      <c r="U17" s="632"/>
      <c r="V17" s="631"/>
      <c r="W17" s="632"/>
      <c r="X17" s="1335"/>
      <c r="Y17" s="3494"/>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94"/>
      <c r="Q19" s="1334"/>
      <c r="R19" s="631"/>
      <c r="S19" s="632"/>
      <c r="T19" s="631"/>
      <c r="U19" s="632"/>
      <c r="V19" s="631"/>
      <c r="W19" s="632"/>
      <c r="X19" s="1335"/>
      <c r="Y19" s="3494"/>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94"/>
      <c r="Q21" s="1334"/>
      <c r="R21" s="631"/>
      <c r="S21" s="632"/>
      <c r="T21" s="631"/>
      <c r="U21" s="632"/>
      <c r="V21" s="631"/>
      <c r="W21" s="632"/>
      <c r="X21" s="1335"/>
      <c r="Y21" s="349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4"/>
      <c r="Q24" s="1334">
        <f t="shared" ref="Q24:Q34"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9.2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81"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2"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82"/>
      <c r="Q27" s="633" t="str">
        <f t="shared" si="11"/>
        <v>成新率</v>
      </c>
      <c r="R27" s="634" t="s">
        <v>25</v>
      </c>
      <c r="S27" s="635" t="e">
        <f t="shared" si="12"/>
        <v>#N/A</v>
      </c>
      <c r="T27" s="634" t="s">
        <v>25</v>
      </c>
      <c r="U27" s="635" t="e">
        <f t="shared" si="13"/>
        <v>#N/A</v>
      </c>
      <c r="V27" s="634" t="s">
        <v>25</v>
      </c>
      <c r="W27" s="635" t="e">
        <f t="shared" si="14"/>
        <v>#N/A</v>
      </c>
      <c r="X27" s="636"/>
      <c r="Y27" s="3482"/>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82"/>
      <c r="Q28" s="1334" t="str">
        <f t="shared" si="11"/>
        <v>物业等级</v>
      </c>
      <c r="R28" s="631" t="s">
        <v>25</v>
      </c>
      <c r="S28" s="632">
        <f t="shared" si="12"/>
        <v>100</v>
      </c>
      <c r="T28" s="631" t="s">
        <v>25</v>
      </c>
      <c r="U28" s="632">
        <f t="shared" si="13"/>
        <v>100</v>
      </c>
      <c r="V28" s="631" t="s">
        <v>25</v>
      </c>
      <c r="W28" s="632">
        <f t="shared" si="14"/>
        <v>100</v>
      </c>
      <c r="X28" s="1335"/>
      <c r="Y28" s="3482"/>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82"/>
      <c r="Q29" s="1334" t="str">
        <f t="shared" si="11"/>
        <v>有无电梯</v>
      </c>
      <c r="R29" s="631" t="s">
        <v>25</v>
      </c>
      <c r="S29" s="632">
        <f t="shared" si="12"/>
        <v>100</v>
      </c>
      <c r="T29" s="631" t="s">
        <v>25</v>
      </c>
      <c r="U29" s="632">
        <f t="shared" si="13"/>
        <v>100</v>
      </c>
      <c r="V29" s="631" t="s">
        <v>25</v>
      </c>
      <c r="W29" s="632">
        <f t="shared" si="14"/>
        <v>100</v>
      </c>
      <c r="X29" s="1335"/>
      <c r="Y29" s="3482"/>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82"/>
      <c r="Q30" s="1334" t="str">
        <f t="shared" si="11"/>
        <v>建筑面积</v>
      </c>
      <c r="R30" s="631" t="s">
        <v>25</v>
      </c>
      <c r="S30" s="632" t="e">
        <f t="shared" si="12"/>
        <v>#N/A</v>
      </c>
      <c r="T30" s="631" t="s">
        <v>25</v>
      </c>
      <c r="U30" s="632" t="e">
        <f t="shared" si="13"/>
        <v>#N/A</v>
      </c>
      <c r="V30" s="631" t="s">
        <v>25</v>
      </c>
      <c r="W30" s="632" t="e">
        <f t="shared" si="14"/>
        <v>#N/A</v>
      </c>
      <c r="X30" s="1335"/>
      <c r="Y30" s="3482"/>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82"/>
      <c r="Q31" s="1327" t="str">
        <f t="shared" si="11"/>
        <v>是否封闭</v>
      </c>
      <c r="R31" s="627" t="s">
        <v>25</v>
      </c>
      <c r="S31" s="628">
        <f t="shared" si="12"/>
        <v>100</v>
      </c>
      <c r="T31" s="627" t="s">
        <v>25</v>
      </c>
      <c r="U31" s="628">
        <f t="shared" si="13"/>
        <v>100</v>
      </c>
      <c r="V31" s="627" t="s">
        <v>25</v>
      </c>
      <c r="W31" s="628">
        <f t="shared" si="14"/>
        <v>100</v>
      </c>
      <c r="X31" s="629"/>
      <c r="Y31" s="348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82" t="s">
        <v>2284</v>
      </c>
      <c r="Q32" s="1334">
        <f t="shared" si="11"/>
        <v>111</v>
      </c>
      <c r="R32" s="631" t="s">
        <v>25</v>
      </c>
      <c r="S32" s="632">
        <f t="shared" si="12"/>
        <v>100</v>
      </c>
      <c r="T32" s="631" t="s">
        <v>25</v>
      </c>
      <c r="U32" s="632">
        <f t="shared" si="13"/>
        <v>100</v>
      </c>
      <c r="V32" s="631" t="s">
        <v>25</v>
      </c>
      <c r="W32" s="632">
        <f t="shared" si="14"/>
        <v>100</v>
      </c>
      <c r="X32" s="1335"/>
      <c r="Y32" s="3482"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82"/>
      <c r="Q33" s="1334">
        <f t="shared" si="11"/>
        <v>111</v>
      </c>
      <c r="R33" s="631" t="s">
        <v>25</v>
      </c>
      <c r="S33" s="632">
        <f t="shared" si="12"/>
        <v>100</v>
      </c>
      <c r="T33" s="631" t="s">
        <v>25</v>
      </c>
      <c r="U33" s="632">
        <f t="shared" si="13"/>
        <v>100</v>
      </c>
      <c r="V33" s="631" t="s">
        <v>25</v>
      </c>
      <c r="W33" s="632">
        <f t="shared" si="14"/>
        <v>100</v>
      </c>
      <c r="X33" s="1335"/>
      <c r="Y33" s="348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82"/>
      <c r="Q34" s="1334">
        <f t="shared" si="11"/>
        <v>111</v>
      </c>
      <c r="R34" s="631" t="s">
        <v>25</v>
      </c>
      <c r="S34" s="632">
        <f t="shared" si="12"/>
        <v>100</v>
      </c>
      <c r="T34" s="631" t="s">
        <v>25</v>
      </c>
      <c r="U34" s="632">
        <f t="shared" si="13"/>
        <v>100</v>
      </c>
      <c r="V34" s="631" t="s">
        <v>25</v>
      </c>
      <c r="W34" s="632">
        <f t="shared" si="14"/>
        <v>100</v>
      </c>
      <c r="X34" s="1335"/>
      <c r="Y34" s="3482"/>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76" t="str">
        <f>A35</f>
        <v>成交单价（元/平方米）</v>
      </c>
      <c r="Q35" s="3476"/>
      <c r="R35" s="3477">
        <f>E35</f>
        <v>0</v>
      </c>
      <c r="S35" s="3477"/>
      <c r="T35" s="3477">
        <f>G35</f>
        <v>0</v>
      </c>
      <c r="U35" s="3477"/>
      <c r="V35" s="3477">
        <f>I35</f>
        <v>0</v>
      </c>
      <c r="W35" s="3477"/>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3">
        <f>F36+H36+J36</f>
        <v>0</v>
      </c>
      <c r="L36" s="3039"/>
      <c r="N36" s="3028"/>
      <c r="P36" s="3476" t="str">
        <f>A36</f>
        <v>比较价值（元/平方米）</v>
      </c>
      <c r="Q36" s="3476"/>
      <c r="R36" s="3477" t="e">
        <f>IF(E1="售价",ROUND(PRODUCT(R35,AA7:AA34),0),ROUND(PRODUCT(R35,AA7:AA34),1))</f>
        <v>#DIV/0!</v>
      </c>
      <c r="S36" s="3477"/>
      <c r="T36" s="3477" t="e">
        <f>IF(E1="售价",ROUND(PRODUCT(T35,AB7:AB34),0),ROUND(PRODUCT(T35,AB7:AB34),1))</f>
        <v>#DIV/0!</v>
      </c>
      <c r="U36" s="3477"/>
      <c r="V36" s="3477" t="e">
        <f>IF(E1="售价",ROUND(PRODUCT(V35,AC7:AC34),0),ROUND(PRODUCT(V35,AC7:AC34),1))</f>
        <v>#DIV/0!</v>
      </c>
      <c r="W36" s="347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478" t="str">
        <f>A37</f>
        <v>估价对象XX用房的比较价值（楼面单价，元/平方米）</v>
      </c>
      <c r="Q37" s="3479"/>
      <c r="R37" s="3480" t="e">
        <f>IF(E1="售价",ROUND(IF(D36="简单平均",AVERAGE(R36:W36),R36*F36+T36*H36+V36*J36),0),ROUND(IF(D36="简单平均",AVERAGE(R36:V36),R36*F36+T36*H36+V36*J36),1))</f>
        <v>#DIV/0!</v>
      </c>
      <c r="S37" s="3480"/>
      <c r="T37" s="3480"/>
      <c r="U37" s="3480"/>
      <c r="V37" s="3480"/>
      <c r="W37" s="3480"/>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58" t="s">
        <v>2254</v>
      </c>
      <c r="D4" s="3459"/>
      <c r="E4" s="3460" t="s">
        <v>2255</v>
      </c>
      <c r="F4" s="3461"/>
      <c r="G4" s="3458" t="s">
        <v>2256</v>
      </c>
      <c r="H4" s="3459"/>
      <c r="I4" s="3458" t="s">
        <v>2257</v>
      </c>
      <c r="J4" s="3459"/>
      <c r="K4" s="1966" t="s">
        <v>2258</v>
      </c>
      <c r="L4" s="2999"/>
      <c r="M4" s="3000"/>
      <c r="N4" s="3000"/>
      <c r="O4" s="3000"/>
      <c r="P4" s="3462" t="s">
        <v>2259</v>
      </c>
      <c r="Q4" s="3463"/>
      <c r="R4" s="3447" t="s">
        <v>2255</v>
      </c>
      <c r="S4" s="3448"/>
      <c r="T4" s="3447" t="s">
        <v>2256</v>
      </c>
      <c r="U4" s="3448"/>
      <c r="V4" s="3468" t="s">
        <v>2257</v>
      </c>
      <c r="W4" s="3468"/>
      <c r="X4" s="1666"/>
      <c r="Y4" s="3447" t="s">
        <v>2259</v>
      </c>
      <c r="Z4" s="3448"/>
      <c r="AA4" s="3455" t="s">
        <v>2255</v>
      </c>
      <c r="AB4" s="3456" t="s">
        <v>2256</v>
      </c>
      <c r="AC4" s="3455" t="s">
        <v>2257</v>
      </c>
    </row>
    <row r="5" spans="1:30" ht="15">
      <c r="A5" s="1668"/>
      <c r="B5" s="1669"/>
      <c r="C5" s="3471" t="s">
        <v>2260</v>
      </c>
      <c r="D5" s="3444"/>
      <c r="E5" s="3474" t="s">
        <v>2261</v>
      </c>
      <c r="F5" s="3470"/>
      <c r="G5" s="3471" t="s">
        <v>2262</v>
      </c>
      <c r="H5" s="3444"/>
      <c r="I5" s="3471" t="s">
        <v>2263</v>
      </c>
      <c r="J5" s="3444"/>
      <c r="K5" s="1966"/>
      <c r="L5" s="2999"/>
      <c r="M5" s="3000"/>
      <c r="N5" s="3000"/>
      <c r="O5" s="3000"/>
      <c r="P5" s="3464"/>
      <c r="Q5" s="3465"/>
      <c r="R5" s="3449"/>
      <c r="S5" s="3450"/>
      <c r="T5" s="3449"/>
      <c r="U5" s="3450"/>
      <c r="V5" s="3468"/>
      <c r="W5" s="3468"/>
      <c r="X5" s="1666"/>
      <c r="Y5" s="3449"/>
      <c r="Z5" s="3450"/>
      <c r="AA5" s="3456"/>
      <c r="AB5" s="3456"/>
      <c r="AC5" s="3456"/>
    </row>
    <row r="6" spans="1:30" ht="15.75" thickBot="1">
      <c r="A6" s="1671"/>
      <c r="B6" s="1672"/>
      <c r="C6" s="3441" t="s">
        <v>2264</v>
      </c>
      <c r="D6" s="3442"/>
      <c r="E6" s="3472" t="s">
        <v>2264</v>
      </c>
      <c r="F6" s="3473"/>
      <c r="G6" s="3441" t="s">
        <v>2264</v>
      </c>
      <c r="H6" s="3442"/>
      <c r="I6" s="3441" t="s">
        <v>2264</v>
      </c>
      <c r="J6" s="3442"/>
      <c r="K6" s="1966" t="s">
        <v>2265</v>
      </c>
      <c r="L6" s="2999"/>
      <c r="M6" s="3000"/>
      <c r="N6" s="3000"/>
      <c r="O6" s="3000"/>
      <c r="P6" s="3466"/>
      <c r="Q6" s="3467"/>
      <c r="R6" s="3449"/>
      <c r="S6" s="3450"/>
      <c r="T6" s="3451"/>
      <c r="U6" s="3452"/>
      <c r="V6" s="3468"/>
      <c r="W6" s="3468"/>
      <c r="X6" s="1666"/>
      <c r="Y6" s="3451"/>
      <c r="Z6" s="3452"/>
      <c r="AA6" s="3457"/>
      <c r="AB6" s="3457"/>
      <c r="AC6" s="3457"/>
    </row>
    <row r="7" spans="1:30" s="1685" customFormat="1" ht="15.75" thickBot="1">
      <c r="A7" s="1673" t="s">
        <v>2266</v>
      </c>
      <c r="B7" s="1674"/>
      <c r="C7" s="1675">
        <f>'数据-取费表'!B2</f>
        <v>44235</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45" t="s">
        <v>2267</v>
      </c>
      <c r="Q7" s="3453"/>
      <c r="R7" s="1681" t="s">
        <v>25</v>
      </c>
      <c r="S7" s="1682">
        <f t="shared" ref="S7:S15" si="0">F7</f>
        <v>0</v>
      </c>
      <c r="T7" s="1681" t="s">
        <v>25</v>
      </c>
      <c r="U7" s="1682">
        <f t="shared" ref="U7:U15" si="1">H7</f>
        <v>0</v>
      </c>
      <c r="V7" s="1681" t="s">
        <v>25</v>
      </c>
      <c r="W7" s="1682">
        <f t="shared" ref="W7:W15" si="2">J7</f>
        <v>0</v>
      </c>
      <c r="X7" s="1683"/>
      <c r="Y7" s="3445" t="s">
        <v>2267</v>
      </c>
      <c r="Z7" s="344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45" t="s">
        <v>2270</v>
      </c>
      <c r="Q8" s="3446"/>
      <c r="R8" s="1681" t="s">
        <v>25</v>
      </c>
      <c r="S8" s="1682">
        <f t="shared" si="0"/>
        <v>0</v>
      </c>
      <c r="T8" s="1681" t="s">
        <v>25</v>
      </c>
      <c r="U8" s="1682">
        <f t="shared" si="1"/>
        <v>0</v>
      </c>
      <c r="V8" s="1681" t="s">
        <v>25</v>
      </c>
      <c r="W8" s="1682">
        <f t="shared" si="2"/>
        <v>0</v>
      </c>
      <c r="X8" s="1683"/>
      <c r="Y8" s="3445" t="s">
        <v>2270</v>
      </c>
      <c r="Z8" s="344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31" t="s">
        <v>2273</v>
      </c>
      <c r="Q9" s="1635"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101</v>
      </c>
      <c r="G10" s="1758"/>
      <c r="H10" s="1698">
        <f>ROUND(100/'数据-取费表'!B14,0)</f>
        <v>101</v>
      </c>
      <c r="I10" s="1758"/>
      <c r="J10" s="1698">
        <f>ROUND(100/'数据-取费表'!B14,0)</f>
        <v>101</v>
      </c>
      <c r="K10" s="1970"/>
      <c r="L10" s="3001"/>
      <c r="M10" s="3002"/>
      <c r="N10" s="3002"/>
      <c r="O10" s="3047"/>
      <c r="P10" s="3431"/>
      <c r="Q10" s="1635" t="str">
        <f t="shared" si="6"/>
        <v>土地使用年限（年）</v>
      </c>
      <c r="R10" s="1681" t="s">
        <v>25</v>
      </c>
      <c r="S10" s="1682">
        <f t="shared" si="0"/>
        <v>101</v>
      </c>
      <c r="T10" s="1681" t="s">
        <v>25</v>
      </c>
      <c r="U10" s="1682">
        <f t="shared" si="1"/>
        <v>101</v>
      </c>
      <c r="V10" s="1681" t="s">
        <v>25</v>
      </c>
      <c r="W10" s="1682">
        <f t="shared" si="2"/>
        <v>101</v>
      </c>
      <c r="X10" s="1683"/>
      <c r="Y10" s="3292"/>
      <c r="Z10" s="1694" t="str">
        <f t="shared" si="7"/>
        <v>土地使用年限（年）</v>
      </c>
      <c r="AA10" s="1684">
        <f t="shared" si="3"/>
        <v>0.99009900990099009</v>
      </c>
      <c r="AB10" s="1684">
        <f t="shared" si="4"/>
        <v>0.99009900990099009</v>
      </c>
      <c r="AC10" s="1684">
        <f t="shared" si="5"/>
        <v>0.99009900990099009</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31"/>
      <c r="Q11" s="1635"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31"/>
      <c r="Q12" s="1635" t="str">
        <f t="shared" si="6"/>
        <v>配建</v>
      </c>
      <c r="R12" s="1681" t="s">
        <v>25</v>
      </c>
      <c r="S12" s="1682">
        <f t="shared" si="0"/>
        <v>100</v>
      </c>
      <c r="T12" s="1681" t="s">
        <v>25</v>
      </c>
      <c r="U12" s="1682">
        <f t="shared" si="1"/>
        <v>100</v>
      </c>
      <c r="V12" s="1681" t="s">
        <v>25</v>
      </c>
      <c r="W12" s="1682">
        <f t="shared" si="2"/>
        <v>100</v>
      </c>
      <c r="X12" s="1683"/>
      <c r="Y12" s="329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31"/>
      <c r="Q13" s="1635">
        <f t="shared" si="6"/>
        <v>111</v>
      </c>
      <c r="R13" s="1681" t="s">
        <v>25</v>
      </c>
      <c r="S13" s="1682">
        <f t="shared" si="0"/>
        <v>100</v>
      </c>
      <c r="T13" s="1681" t="s">
        <v>25</v>
      </c>
      <c r="U13" s="1682">
        <f t="shared" si="1"/>
        <v>100</v>
      </c>
      <c r="V13" s="1681" t="s">
        <v>25</v>
      </c>
      <c r="W13" s="1682">
        <f t="shared" si="2"/>
        <v>100</v>
      </c>
      <c r="X13" s="1683"/>
      <c r="Y13" s="329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31"/>
      <c r="Q14" s="1635">
        <f t="shared" si="6"/>
        <v>111</v>
      </c>
      <c r="R14" s="1681" t="s">
        <v>25</v>
      </c>
      <c r="S14" s="1682">
        <f t="shared" si="0"/>
        <v>100</v>
      </c>
      <c r="T14" s="1681" t="s">
        <v>25</v>
      </c>
      <c r="U14" s="1682">
        <f t="shared" si="1"/>
        <v>100</v>
      </c>
      <c r="V14" s="1681" t="s">
        <v>25</v>
      </c>
      <c r="W14" s="1682">
        <f t="shared" si="2"/>
        <v>100</v>
      </c>
      <c r="X14" s="1683"/>
      <c r="Y14" s="3292"/>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34" t="s">
        <v>2278</v>
      </c>
      <c r="Q15" s="1616" t="str">
        <f t="shared" si="6"/>
        <v>居住社区成熟度</v>
      </c>
      <c r="R15" s="1726" t="s">
        <v>25</v>
      </c>
      <c r="S15" s="1727">
        <f t="shared" si="0"/>
        <v>100</v>
      </c>
      <c r="T15" s="1726" t="s">
        <v>25</v>
      </c>
      <c r="U15" s="1727">
        <f t="shared" si="1"/>
        <v>100</v>
      </c>
      <c r="V15" s="1726" t="s">
        <v>25</v>
      </c>
      <c r="W15" s="1727">
        <f t="shared" si="2"/>
        <v>100</v>
      </c>
      <c r="X15" s="1666"/>
      <c r="Y15" s="3434"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35"/>
      <c r="Q16" s="1616"/>
      <c r="R16" s="1726"/>
      <c r="S16" s="1727"/>
      <c r="T16" s="1726"/>
      <c r="U16" s="1727"/>
      <c r="V16" s="1726"/>
      <c r="W16" s="1727"/>
      <c r="X16" s="1666"/>
      <c r="Y16" s="3435"/>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35"/>
      <c r="Q17" s="1616" t="str">
        <f>B17</f>
        <v>商业繁华度</v>
      </c>
      <c r="R17" s="1726" t="s">
        <v>25</v>
      </c>
      <c r="S17" s="1727">
        <f>F17</f>
        <v>100</v>
      </c>
      <c r="T17" s="1726" t="s">
        <v>25</v>
      </c>
      <c r="U17" s="1727">
        <f>H17</f>
        <v>100</v>
      </c>
      <c r="V17" s="1726" t="s">
        <v>25</v>
      </c>
      <c r="W17" s="1727">
        <f>J17</f>
        <v>100</v>
      </c>
      <c r="X17" s="1666"/>
      <c r="Y17" s="343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35"/>
      <c r="Q18" s="1616"/>
      <c r="R18" s="1726"/>
      <c r="S18" s="1727"/>
      <c r="T18" s="1726"/>
      <c r="U18" s="1727"/>
      <c r="V18" s="1726"/>
      <c r="W18" s="1727"/>
      <c r="X18" s="1666"/>
      <c r="Y18" s="3435"/>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35"/>
      <c r="Q19" s="1616" t="str">
        <f>B19</f>
        <v>办公集聚程度</v>
      </c>
      <c r="R19" s="1726" t="s">
        <v>25</v>
      </c>
      <c r="S19" s="1727">
        <f>F19</f>
        <v>100</v>
      </c>
      <c r="T19" s="1726" t="s">
        <v>25</v>
      </c>
      <c r="U19" s="1727">
        <f>H19</f>
        <v>100</v>
      </c>
      <c r="V19" s="1726" t="s">
        <v>25</v>
      </c>
      <c r="W19" s="1727">
        <f>J19</f>
        <v>100</v>
      </c>
      <c r="X19" s="1666"/>
      <c r="Y19" s="343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35"/>
      <c r="Q20" s="1616"/>
      <c r="R20" s="1726"/>
      <c r="S20" s="1727"/>
      <c r="T20" s="1726"/>
      <c r="U20" s="1727"/>
      <c r="V20" s="1726"/>
      <c r="W20" s="1727"/>
      <c r="X20" s="1666"/>
      <c r="Y20" s="3435"/>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35"/>
      <c r="Q21" s="1616" t="str">
        <f>B21</f>
        <v>交通便捷度</v>
      </c>
      <c r="R21" s="1726" t="s">
        <v>25</v>
      </c>
      <c r="S21" s="1727">
        <f>F21</f>
        <v>100</v>
      </c>
      <c r="T21" s="1726" t="s">
        <v>25</v>
      </c>
      <c r="U21" s="1727">
        <f>H21</f>
        <v>100</v>
      </c>
      <c r="V21" s="1726" t="s">
        <v>25</v>
      </c>
      <c r="W21" s="1727">
        <f>J21</f>
        <v>100</v>
      </c>
      <c r="X21" s="1666"/>
      <c r="Y21" s="343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35"/>
      <c r="Q22" s="1616"/>
      <c r="R22" s="1726"/>
      <c r="S22" s="1727"/>
      <c r="T22" s="1726"/>
      <c r="U22" s="1727"/>
      <c r="V22" s="1726"/>
      <c r="W22" s="1727"/>
      <c r="X22" s="1666"/>
      <c r="Y22" s="3435"/>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35"/>
      <c r="Q23" s="1616" t="str">
        <f t="shared" ref="Q23:Q37" si="8">B23</f>
        <v>区域土地利用方向</v>
      </c>
      <c r="R23" s="1726" t="s">
        <v>25</v>
      </c>
      <c r="S23" s="1727">
        <f>F23</f>
        <v>100</v>
      </c>
      <c r="T23" s="1726" t="s">
        <v>25</v>
      </c>
      <c r="U23" s="1727">
        <f>H23</f>
        <v>100</v>
      </c>
      <c r="V23" s="1726" t="s">
        <v>25</v>
      </c>
      <c r="W23" s="1727">
        <f>J23</f>
        <v>100</v>
      </c>
      <c r="X23" s="1666"/>
      <c r="Y23" s="343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35"/>
      <c r="Q24" s="1616"/>
      <c r="R24" s="1726"/>
      <c r="S24" s="1727"/>
      <c r="T24" s="1726"/>
      <c r="U24" s="1727"/>
      <c r="V24" s="1726"/>
      <c r="W24" s="1727"/>
      <c r="X24" s="1666"/>
      <c r="Y24" s="3435"/>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35"/>
      <c r="Q25" s="1616" t="str">
        <f t="shared" si="8"/>
        <v>自然及人文环境状况</v>
      </c>
      <c r="R25" s="1726" t="s">
        <v>25</v>
      </c>
      <c r="S25" s="1727">
        <f>F25</f>
        <v>100</v>
      </c>
      <c r="T25" s="1726" t="s">
        <v>25</v>
      </c>
      <c r="U25" s="1727">
        <f>H25</f>
        <v>100</v>
      </c>
      <c r="V25" s="1726" t="s">
        <v>25</v>
      </c>
      <c r="W25" s="1727">
        <f>J25</f>
        <v>100</v>
      </c>
      <c r="X25" s="1666"/>
      <c r="Y25" s="343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35"/>
      <c r="Q26" s="1616"/>
      <c r="R26" s="1726"/>
      <c r="S26" s="1727"/>
      <c r="T26" s="1726"/>
      <c r="U26" s="1727"/>
      <c r="V26" s="1726"/>
      <c r="W26" s="1727"/>
      <c r="X26" s="1666"/>
      <c r="Y26" s="3435"/>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35"/>
      <c r="Q27" s="1635" t="str">
        <f t="shared" ref="Q27" si="9">B27</f>
        <v>公共配套设施</v>
      </c>
      <c r="R27" s="1681" t="s">
        <v>25</v>
      </c>
      <c r="S27" s="1682">
        <f>F27</f>
        <v>100</v>
      </c>
      <c r="T27" s="1681" t="s">
        <v>25</v>
      </c>
      <c r="U27" s="1682">
        <f>H27</f>
        <v>100</v>
      </c>
      <c r="V27" s="1681" t="s">
        <v>25</v>
      </c>
      <c r="W27" s="1682">
        <f>J27</f>
        <v>100</v>
      </c>
      <c r="X27" s="1666"/>
      <c r="Y27" s="343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35"/>
      <c r="Q28" s="1616"/>
      <c r="R28" s="1726"/>
      <c r="S28" s="1727"/>
      <c r="T28" s="1726"/>
      <c r="U28" s="1727"/>
      <c r="V28" s="1726"/>
      <c r="W28" s="1727"/>
      <c r="X28" s="1666"/>
      <c r="Y28" s="3435"/>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35"/>
      <c r="Q29" s="1635" t="str">
        <f t="shared" si="8"/>
        <v>基础设施水平</v>
      </c>
      <c r="R29" s="1681" t="s">
        <v>25</v>
      </c>
      <c r="S29" s="1682">
        <f>F29</f>
        <v>100</v>
      </c>
      <c r="T29" s="1681" t="s">
        <v>25</v>
      </c>
      <c r="U29" s="1682">
        <f>H29</f>
        <v>100</v>
      </c>
      <c r="V29" s="1681" t="s">
        <v>25</v>
      </c>
      <c r="W29" s="1682">
        <f>J29</f>
        <v>100</v>
      </c>
      <c r="X29" s="1683"/>
      <c r="Y29" s="343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35"/>
      <c r="Q30" s="1635"/>
      <c r="R30" s="1681"/>
      <c r="S30" s="1682"/>
      <c r="T30" s="1681"/>
      <c r="U30" s="1682"/>
      <c r="V30" s="1681"/>
      <c r="W30" s="1682"/>
      <c r="X30" s="1683"/>
      <c r="Y30" s="3435"/>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3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5"/>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35"/>
      <c r="Q32" s="1616" t="str">
        <f t="shared" si="8"/>
        <v>毗邻道路的类型与等级</v>
      </c>
      <c r="R32" s="1726" t="s">
        <v>25</v>
      </c>
      <c r="S32" s="1727">
        <f t="shared" si="10"/>
        <v>100</v>
      </c>
      <c r="T32" s="1726" t="s">
        <v>25</v>
      </c>
      <c r="U32" s="1727">
        <f t="shared" si="11"/>
        <v>100</v>
      </c>
      <c r="V32" s="1726" t="s">
        <v>25</v>
      </c>
      <c r="W32" s="1727">
        <f t="shared" si="12"/>
        <v>100</v>
      </c>
      <c r="X32" s="1666"/>
      <c r="Y32" s="343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35"/>
      <c r="Q33" s="1616"/>
      <c r="R33" s="1726"/>
      <c r="S33" s="1727"/>
      <c r="T33" s="1726"/>
      <c r="U33" s="1727"/>
      <c r="V33" s="1726"/>
      <c r="W33" s="1727"/>
      <c r="X33" s="1666"/>
      <c r="Y33" s="3435"/>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35"/>
      <c r="Q34" s="1616" t="str">
        <f t="shared" si="8"/>
        <v>土地级别</v>
      </c>
      <c r="R34" s="1726" t="s">
        <v>25</v>
      </c>
      <c r="S34" s="1727">
        <f t="shared" si="10"/>
        <v>100</v>
      </c>
      <c r="T34" s="1726" t="s">
        <v>25</v>
      </c>
      <c r="U34" s="1727">
        <f t="shared" si="11"/>
        <v>100</v>
      </c>
      <c r="V34" s="1726" t="s">
        <v>25</v>
      </c>
      <c r="W34" s="1727">
        <f t="shared" si="12"/>
        <v>100</v>
      </c>
      <c r="X34" s="1666"/>
      <c r="Y34" s="343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35"/>
      <c r="Q35" s="1616">
        <f t="shared" si="8"/>
        <v>111</v>
      </c>
      <c r="R35" s="1726" t="s">
        <v>25</v>
      </c>
      <c r="S35" s="1727">
        <f t="shared" si="10"/>
        <v>100</v>
      </c>
      <c r="T35" s="1726" t="s">
        <v>25</v>
      </c>
      <c r="U35" s="1727">
        <f t="shared" si="11"/>
        <v>100</v>
      </c>
      <c r="V35" s="1726" t="s">
        <v>25</v>
      </c>
      <c r="W35" s="1727">
        <f t="shared" si="12"/>
        <v>100</v>
      </c>
      <c r="X35" s="1666"/>
      <c r="Y35" s="343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75" t="s">
        <v>2284</v>
      </c>
      <c r="Q36" s="1616">
        <f t="shared" si="8"/>
        <v>111</v>
      </c>
      <c r="R36" s="1726" t="s">
        <v>25</v>
      </c>
      <c r="S36" s="1727">
        <f t="shared" si="10"/>
        <v>100</v>
      </c>
      <c r="T36" s="1726" t="s">
        <v>25</v>
      </c>
      <c r="U36" s="1727">
        <f t="shared" si="11"/>
        <v>100</v>
      </c>
      <c r="V36" s="1726" t="s">
        <v>25</v>
      </c>
      <c r="W36" s="1727">
        <f t="shared" si="12"/>
        <v>100</v>
      </c>
      <c r="X36" s="1666"/>
      <c r="Y36" s="3439"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39"/>
      <c r="Q37" s="1616">
        <f t="shared" si="8"/>
        <v>111</v>
      </c>
      <c r="R37" s="1768" t="s">
        <v>25</v>
      </c>
      <c r="S37" s="1769">
        <f t="shared" si="10"/>
        <v>100</v>
      </c>
      <c r="T37" s="1768" t="s">
        <v>25</v>
      </c>
      <c r="U37" s="1769">
        <f t="shared" si="11"/>
        <v>100</v>
      </c>
      <c r="V37" s="1768" t="s">
        <v>25</v>
      </c>
      <c r="W37" s="1769">
        <f t="shared" si="12"/>
        <v>100</v>
      </c>
      <c r="X37" s="1770"/>
      <c r="Y37" s="3439"/>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39"/>
      <c r="Q38" s="1616" t="str">
        <f>B38</f>
        <v>宗地面积</v>
      </c>
      <c r="R38" s="1726" t="s">
        <v>25</v>
      </c>
      <c r="S38" s="1727" t="e">
        <f t="shared" si="10"/>
        <v>#N/A</v>
      </c>
      <c r="T38" s="1726" t="s">
        <v>25</v>
      </c>
      <c r="U38" s="1727" t="e">
        <f t="shared" si="11"/>
        <v>#N/A</v>
      </c>
      <c r="V38" s="1726" t="s">
        <v>25</v>
      </c>
      <c r="W38" s="1727" t="e">
        <f t="shared" si="12"/>
        <v>#N/A</v>
      </c>
      <c r="X38" s="1666"/>
      <c r="Y38" s="3439"/>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39"/>
      <c r="Q39" s="1616" t="str">
        <f t="shared" ref="Q39:Q45" si="14">B39</f>
        <v>宗地形状</v>
      </c>
      <c r="R39" s="1726" t="s">
        <v>25</v>
      </c>
      <c r="S39" s="1727">
        <f t="shared" si="10"/>
        <v>100</v>
      </c>
      <c r="T39" s="1726" t="s">
        <v>25</v>
      </c>
      <c r="U39" s="1727">
        <f t="shared" si="11"/>
        <v>100</v>
      </c>
      <c r="V39" s="1726" t="s">
        <v>25</v>
      </c>
      <c r="W39" s="1727">
        <f t="shared" si="12"/>
        <v>100</v>
      </c>
      <c r="X39" s="1666"/>
      <c r="Y39" s="3439"/>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39"/>
      <c r="Q40" s="1616" t="str">
        <f t="shared" si="14"/>
        <v>临街宽度及深度</v>
      </c>
      <c r="R40" s="1726" t="s">
        <v>25</v>
      </c>
      <c r="S40" s="1727">
        <f t="shared" si="10"/>
        <v>100</v>
      </c>
      <c r="T40" s="1726" t="s">
        <v>25</v>
      </c>
      <c r="U40" s="1727">
        <f t="shared" si="11"/>
        <v>100</v>
      </c>
      <c r="V40" s="1726" t="s">
        <v>25</v>
      </c>
      <c r="W40" s="1727">
        <f t="shared" si="12"/>
        <v>100</v>
      </c>
      <c r="X40" s="1666"/>
      <c r="Y40" s="3439"/>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39"/>
      <c r="Q41" s="1616" t="str">
        <f t="shared" si="14"/>
        <v>宗地开发程度</v>
      </c>
      <c r="R41" s="1681" t="s">
        <v>25</v>
      </c>
      <c r="S41" s="1682">
        <f t="shared" si="10"/>
        <v>100</v>
      </c>
      <c r="T41" s="1681" t="s">
        <v>25</v>
      </c>
      <c r="U41" s="1682">
        <f t="shared" si="11"/>
        <v>100</v>
      </c>
      <c r="V41" s="1681" t="s">
        <v>25</v>
      </c>
      <c r="W41" s="1682">
        <f t="shared" si="12"/>
        <v>100</v>
      </c>
      <c r="X41" s="1683"/>
      <c r="Y41" s="3439"/>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39" t="s">
        <v>2284</v>
      </c>
      <c r="Q42" s="1616" t="str">
        <f t="shared" si="14"/>
        <v>工程地质条件</v>
      </c>
      <c r="R42" s="1726" t="s">
        <v>25</v>
      </c>
      <c r="S42" s="1727">
        <f t="shared" si="10"/>
        <v>100</v>
      </c>
      <c r="T42" s="1726" t="s">
        <v>25</v>
      </c>
      <c r="U42" s="1727">
        <f t="shared" si="11"/>
        <v>100</v>
      </c>
      <c r="V42" s="1726" t="s">
        <v>25</v>
      </c>
      <c r="W42" s="1727">
        <f t="shared" si="12"/>
        <v>100</v>
      </c>
      <c r="X42" s="1666"/>
      <c r="Y42" s="3439"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39"/>
      <c r="Q43" s="1616">
        <f t="shared" si="14"/>
        <v>111</v>
      </c>
      <c r="R43" s="1726" t="s">
        <v>25</v>
      </c>
      <c r="S43" s="1727">
        <f t="shared" si="10"/>
        <v>100</v>
      </c>
      <c r="T43" s="1726" t="s">
        <v>25</v>
      </c>
      <c r="U43" s="1727">
        <f t="shared" si="11"/>
        <v>100</v>
      </c>
      <c r="V43" s="1726" t="s">
        <v>25</v>
      </c>
      <c r="W43" s="1727">
        <f t="shared" si="12"/>
        <v>100</v>
      </c>
      <c r="X43" s="1666"/>
      <c r="Y43" s="343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39"/>
      <c r="Q44" s="1616">
        <f t="shared" si="14"/>
        <v>111</v>
      </c>
      <c r="R44" s="1726" t="s">
        <v>25</v>
      </c>
      <c r="S44" s="1727">
        <f t="shared" si="10"/>
        <v>100</v>
      </c>
      <c r="T44" s="1726" t="s">
        <v>25</v>
      </c>
      <c r="U44" s="1727">
        <f t="shared" si="11"/>
        <v>100</v>
      </c>
      <c r="V44" s="1726" t="s">
        <v>25</v>
      </c>
      <c r="W44" s="1727">
        <f t="shared" si="12"/>
        <v>100</v>
      </c>
      <c r="X44" s="1666"/>
      <c r="Y44" s="3439"/>
      <c r="Z44" s="1728">
        <f t="shared" si="13"/>
        <v>111</v>
      </c>
      <c r="AA44" s="1729">
        <f t="shared" si="3"/>
        <v>1</v>
      </c>
      <c r="AB44" s="1729">
        <f t="shared" si="4"/>
        <v>1</v>
      </c>
      <c r="AC44" s="1729">
        <f t="shared" si="5"/>
        <v>1</v>
      </c>
    </row>
    <row r="45" spans="1:29" s="1772" customFormat="1" ht="15.75" thickBot="1">
      <c r="A45" s="1765"/>
      <c r="B45" s="2004">
        <v>111</v>
      </c>
      <c r="C45" s="2005"/>
      <c r="D45" s="3150">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39"/>
      <c r="Q45" s="1616">
        <f t="shared" si="14"/>
        <v>111</v>
      </c>
      <c r="R45" s="1768" t="s">
        <v>25</v>
      </c>
      <c r="S45" s="1769">
        <f t="shared" si="10"/>
        <v>100</v>
      </c>
      <c r="T45" s="1768" t="s">
        <v>25</v>
      </c>
      <c r="U45" s="1769">
        <f t="shared" si="11"/>
        <v>100</v>
      </c>
      <c r="V45" s="1768" t="s">
        <v>25</v>
      </c>
      <c r="W45" s="1769">
        <f t="shared" si="12"/>
        <v>100</v>
      </c>
      <c r="X45" s="1770"/>
      <c r="Y45" s="3439"/>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31" t="str">
        <f>A46</f>
        <v>成交单价</v>
      </c>
      <c r="Q46" s="3431"/>
      <c r="R46" s="3468">
        <f>E46</f>
        <v>0</v>
      </c>
      <c r="S46" s="3468"/>
      <c r="T46" s="3468">
        <f>G46</f>
        <v>0</v>
      </c>
      <c r="U46" s="3468"/>
      <c r="V46" s="3468">
        <f>I46</f>
        <v>0</v>
      </c>
      <c r="W46" s="3468"/>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3">
        <f>F47+H47+J47</f>
        <v>0</v>
      </c>
      <c r="L47" s="3005"/>
      <c r="P47" s="3431" t="str">
        <f>A47</f>
        <v>比较价值（元/平方米）</v>
      </c>
      <c r="Q47" s="3431"/>
      <c r="R47" s="3518" t="e">
        <f>ROUND(PRODUCT(R46,AA7:AA45),0)</f>
        <v>#DIV/0!</v>
      </c>
      <c r="S47" s="3518"/>
      <c r="T47" s="3518" t="e">
        <f>ROUND(PRODUCT(T46,AB7:AB45),0)</f>
        <v>#DIV/0!</v>
      </c>
      <c r="U47" s="3518"/>
      <c r="V47" s="3518" t="e">
        <f>ROUND(PRODUCT(V46,AC7:AC45),0)</f>
        <v>#DIV/0!</v>
      </c>
      <c r="W47" s="3518"/>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28" t="str">
        <f>A48</f>
        <v>估价对象XX用房的比较价值（楼面单价，元/平方米）</v>
      </c>
      <c r="Q48" s="3429"/>
      <c r="R48" s="3519" t="e">
        <f>ROUND(IF(D47="简单平均",AVERAGE(R47:W47),R47*F47+T47*H47+V47*J47),0)</f>
        <v>#DIV/0!</v>
      </c>
      <c r="S48" s="3519"/>
      <c r="T48" s="3519"/>
      <c r="U48" s="3519"/>
      <c r="V48" s="3519"/>
      <c r="W48" s="3519"/>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2475</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2476</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2477</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2478</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2479</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2480</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2481</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估价对象为北京市房地产，为XX所有。根据《不动产权证书》[]，估价对象建筑面积为90平方米，（分摊）出让国有建设用地使用权面积为平方米。估价对象用途为。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84" t="s">
        <v>2267</v>
      </c>
      <c r="Q7" s="3492"/>
      <c r="R7" s="627" t="s">
        <v>25</v>
      </c>
      <c r="S7" s="628">
        <f t="shared" ref="S7:S15" si="0">F7</f>
        <v>0</v>
      </c>
      <c r="T7" s="627" t="s">
        <v>25</v>
      </c>
      <c r="U7" s="628">
        <f t="shared" ref="U7:U15" si="1">H7</f>
        <v>0</v>
      </c>
      <c r="V7" s="627" t="s">
        <v>25</v>
      </c>
      <c r="W7" s="628">
        <f t="shared" ref="W7:W15" si="2">J7</f>
        <v>0</v>
      </c>
      <c r="X7" s="629"/>
      <c r="Y7" s="3484" t="s">
        <v>2267</v>
      </c>
      <c r="Z7" s="3485"/>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6" t="s">
        <v>2273</v>
      </c>
      <c r="Q9" s="1327" t="str">
        <f t="shared" ref="Q9:Q15" si="6">B9</f>
        <v>用途</v>
      </c>
      <c r="R9" s="627" t="s">
        <v>25</v>
      </c>
      <c r="S9" s="628">
        <f t="shared" si="0"/>
        <v>100</v>
      </c>
      <c r="T9" s="627" t="s">
        <v>25</v>
      </c>
      <c r="U9" s="628">
        <f t="shared" si="1"/>
        <v>100</v>
      </c>
      <c r="V9" s="627" t="s">
        <v>25</v>
      </c>
      <c r="W9" s="628">
        <f t="shared" si="2"/>
        <v>100</v>
      </c>
      <c r="X9" s="629"/>
      <c r="Y9" s="349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101</v>
      </c>
      <c r="G10" s="322"/>
      <c r="H10" s="29">
        <f>ROUND(100/'数据-取费表'!B14,0)</f>
        <v>101</v>
      </c>
      <c r="I10" s="322"/>
      <c r="J10" s="29">
        <f>ROUND(100/'数据-取费表'!B14,0)</f>
        <v>101</v>
      </c>
      <c r="K10" s="553"/>
      <c r="L10" s="3032"/>
      <c r="M10" s="3033"/>
      <c r="N10" s="3033"/>
      <c r="O10" s="3034"/>
      <c r="P10" s="3476"/>
      <c r="Q10" s="1327" t="str">
        <f t="shared" si="6"/>
        <v>土地使用年限（年）</v>
      </c>
      <c r="R10" s="627" t="s">
        <v>25</v>
      </c>
      <c r="S10" s="628">
        <f t="shared" si="0"/>
        <v>101</v>
      </c>
      <c r="T10" s="627" t="s">
        <v>25</v>
      </c>
      <c r="U10" s="628">
        <f t="shared" si="1"/>
        <v>101</v>
      </c>
      <c r="V10" s="627" t="s">
        <v>25</v>
      </c>
      <c r="W10" s="628">
        <f t="shared" si="2"/>
        <v>101</v>
      </c>
      <c r="X10" s="629"/>
      <c r="Y10" s="3495"/>
      <c r="Z10" s="19" t="str">
        <f t="shared" si="7"/>
        <v>土地使用年限（年）</v>
      </c>
      <c r="AA10" s="630">
        <f t="shared" si="3"/>
        <v>0.99009900990099009</v>
      </c>
      <c r="AB10" s="630">
        <f t="shared" si="4"/>
        <v>0.99009900990099009</v>
      </c>
      <c r="AC10" s="630">
        <f t="shared" si="5"/>
        <v>0.99009900990099009</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6"/>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6"/>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3" t="s">
        <v>2278</v>
      </c>
      <c r="Q15" s="1334" t="str">
        <f t="shared" si="6"/>
        <v>产业集聚程度</v>
      </c>
      <c r="R15" s="631" t="s">
        <v>25</v>
      </c>
      <c r="S15" s="632">
        <f t="shared" si="0"/>
        <v>100</v>
      </c>
      <c r="T15" s="631" t="s">
        <v>25</v>
      </c>
      <c r="U15" s="632">
        <f t="shared" si="1"/>
        <v>100</v>
      </c>
      <c r="V15" s="631" t="s">
        <v>25</v>
      </c>
      <c r="W15" s="632">
        <f t="shared" si="2"/>
        <v>100</v>
      </c>
      <c r="X15" s="1335"/>
      <c r="Y15" s="349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94"/>
      <c r="Q16" s="1334"/>
      <c r="R16" s="631"/>
      <c r="S16" s="632"/>
      <c r="T16" s="631"/>
      <c r="U16" s="632"/>
      <c r="V16" s="631"/>
      <c r="W16" s="632"/>
      <c r="X16" s="1335"/>
      <c r="Y16" s="349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94"/>
      <c r="Q18" s="1334"/>
      <c r="R18" s="631"/>
      <c r="S18" s="632"/>
      <c r="T18" s="631"/>
      <c r="U18" s="632"/>
      <c r="V18" s="631"/>
      <c r="W18" s="632"/>
      <c r="X18" s="1335"/>
      <c r="Y18" s="349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4"/>
      <c r="Q19" s="1334" t="str">
        <f t="shared" ref="Q19:Q33" si="8">B19</f>
        <v>区域土地利用方向</v>
      </c>
      <c r="R19" s="631" t="s">
        <v>25</v>
      </c>
      <c r="S19" s="632">
        <f>F19</f>
        <v>100</v>
      </c>
      <c r="T19" s="631" t="s">
        <v>25</v>
      </c>
      <c r="U19" s="632">
        <f>H19</f>
        <v>100</v>
      </c>
      <c r="V19" s="631" t="s">
        <v>25</v>
      </c>
      <c r="W19" s="632">
        <f>J19</f>
        <v>100</v>
      </c>
      <c r="X19" s="1335"/>
      <c r="Y19" s="349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94"/>
      <c r="Q20" s="1334"/>
      <c r="R20" s="631"/>
      <c r="S20" s="632"/>
      <c r="T20" s="631"/>
      <c r="U20" s="632"/>
      <c r="V20" s="631"/>
      <c r="W20" s="632"/>
      <c r="X20" s="1335"/>
      <c r="Y20" s="349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4"/>
      <c r="Q21" s="1334" t="str">
        <f t="shared" si="8"/>
        <v>环境状况</v>
      </c>
      <c r="R21" s="631" t="s">
        <v>25</v>
      </c>
      <c r="S21" s="632">
        <f>F21</f>
        <v>100</v>
      </c>
      <c r="T21" s="631" t="s">
        <v>25</v>
      </c>
      <c r="U21" s="632">
        <f>H21</f>
        <v>100</v>
      </c>
      <c r="V21" s="631" t="s">
        <v>25</v>
      </c>
      <c r="W21" s="632">
        <f>J21</f>
        <v>100</v>
      </c>
      <c r="X21" s="1335"/>
      <c r="Y21" s="349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94"/>
      <c r="Q22" s="1334"/>
      <c r="R22" s="631"/>
      <c r="S22" s="632"/>
      <c r="T22" s="631"/>
      <c r="U22" s="632"/>
      <c r="V22" s="631"/>
      <c r="W22" s="632"/>
      <c r="X22" s="1335"/>
      <c r="Y22" s="349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4"/>
      <c r="Q23" s="1327" t="str">
        <f t="shared" si="8"/>
        <v>公共配套设施</v>
      </c>
      <c r="R23" s="627" t="s">
        <v>25</v>
      </c>
      <c r="S23" s="628">
        <f>F23</f>
        <v>100</v>
      </c>
      <c r="T23" s="627" t="s">
        <v>25</v>
      </c>
      <c r="U23" s="628">
        <f>H23</f>
        <v>100</v>
      </c>
      <c r="V23" s="627" t="s">
        <v>25</v>
      </c>
      <c r="W23" s="628">
        <f>J23</f>
        <v>100</v>
      </c>
      <c r="X23" s="629"/>
      <c r="Y23" s="349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94"/>
      <c r="Q24" s="1327"/>
      <c r="R24" s="627"/>
      <c r="S24" s="628"/>
      <c r="T24" s="627"/>
      <c r="U24" s="628"/>
      <c r="V24" s="627"/>
      <c r="W24" s="628"/>
      <c r="X24" s="629"/>
      <c r="Y24" s="349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4"/>
      <c r="Q25" s="1327" t="str">
        <f t="shared" ref="Q25" si="9">B25</f>
        <v>基础设施水平</v>
      </c>
      <c r="R25" s="627" t="s">
        <v>25</v>
      </c>
      <c r="S25" s="628">
        <f>F25</f>
        <v>100</v>
      </c>
      <c r="T25" s="627" t="s">
        <v>25</v>
      </c>
      <c r="U25" s="628">
        <f>H25</f>
        <v>100</v>
      </c>
      <c r="V25" s="627" t="s">
        <v>25</v>
      </c>
      <c r="W25" s="628">
        <f>J25</f>
        <v>100</v>
      </c>
      <c r="X25" s="629"/>
      <c r="Y25" s="349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94"/>
      <c r="Q26" s="1327"/>
      <c r="R26" s="627"/>
      <c r="S26" s="628"/>
      <c r="T26" s="627"/>
      <c r="U26" s="628"/>
      <c r="V26" s="627"/>
      <c r="W26" s="628"/>
      <c r="X26" s="629"/>
      <c r="Y26" s="349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4"/>
      <c r="Q28" s="1334" t="str">
        <f t="shared" si="8"/>
        <v>毗邻道路的类型与等级</v>
      </c>
      <c r="R28" s="631" t="s">
        <v>25</v>
      </c>
      <c r="S28" s="632">
        <f t="shared" si="10"/>
        <v>100</v>
      </c>
      <c r="T28" s="631" t="s">
        <v>25</v>
      </c>
      <c r="U28" s="632">
        <f t="shared" si="11"/>
        <v>100</v>
      </c>
      <c r="V28" s="631" t="s">
        <v>25</v>
      </c>
      <c r="W28" s="632">
        <f t="shared" si="12"/>
        <v>100</v>
      </c>
      <c r="X28" s="1335"/>
      <c r="Y28" s="349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94"/>
      <c r="Q29" s="1334"/>
      <c r="R29" s="631"/>
      <c r="S29" s="632"/>
      <c r="T29" s="631"/>
      <c r="U29" s="632"/>
      <c r="V29" s="631"/>
      <c r="W29" s="632"/>
      <c r="X29" s="1335"/>
      <c r="Y29" s="349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4"/>
      <c r="Q30" s="1334" t="str">
        <f t="shared" si="8"/>
        <v>土地级别</v>
      </c>
      <c r="R30" s="631" t="s">
        <v>25</v>
      </c>
      <c r="S30" s="632">
        <f t="shared" si="10"/>
        <v>100</v>
      </c>
      <c r="T30" s="631" t="s">
        <v>25</v>
      </c>
      <c r="U30" s="632">
        <f t="shared" si="11"/>
        <v>100</v>
      </c>
      <c r="V30" s="631" t="s">
        <v>25</v>
      </c>
      <c r="W30" s="632">
        <f t="shared" si="12"/>
        <v>100</v>
      </c>
      <c r="X30" s="1335"/>
      <c r="Y30" s="349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4"/>
      <c r="Q31" s="1334">
        <f t="shared" si="8"/>
        <v>111</v>
      </c>
      <c r="R31" s="631" t="s">
        <v>25</v>
      </c>
      <c r="S31" s="632">
        <f t="shared" si="10"/>
        <v>100</v>
      </c>
      <c r="T31" s="631" t="s">
        <v>25</v>
      </c>
      <c r="U31" s="632">
        <f t="shared" si="11"/>
        <v>100</v>
      </c>
      <c r="V31" s="631" t="s">
        <v>25</v>
      </c>
      <c r="W31" s="632">
        <f t="shared" si="12"/>
        <v>100</v>
      </c>
      <c r="X31" s="1335"/>
      <c r="Y31" s="349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81" t="s">
        <v>2284</v>
      </c>
      <c r="Q32" s="1334">
        <f t="shared" si="8"/>
        <v>111</v>
      </c>
      <c r="R32" s="631" t="s">
        <v>25</v>
      </c>
      <c r="S32" s="632">
        <f t="shared" si="10"/>
        <v>100</v>
      </c>
      <c r="T32" s="631" t="s">
        <v>25</v>
      </c>
      <c r="U32" s="632">
        <f t="shared" si="11"/>
        <v>100</v>
      </c>
      <c r="V32" s="631" t="s">
        <v>25</v>
      </c>
      <c r="W32" s="632">
        <f t="shared" si="12"/>
        <v>100</v>
      </c>
      <c r="X32" s="1335"/>
      <c r="Y32" s="3482"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82"/>
      <c r="Q33" s="1334">
        <f t="shared" si="8"/>
        <v>111</v>
      </c>
      <c r="R33" s="634" t="s">
        <v>25</v>
      </c>
      <c r="S33" s="635">
        <f t="shared" si="10"/>
        <v>100</v>
      </c>
      <c r="T33" s="634" t="s">
        <v>25</v>
      </c>
      <c r="U33" s="635">
        <f t="shared" si="11"/>
        <v>100</v>
      </c>
      <c r="V33" s="634" t="s">
        <v>25</v>
      </c>
      <c r="W33" s="635">
        <f t="shared" si="12"/>
        <v>100</v>
      </c>
      <c r="X33" s="636"/>
      <c r="Y33" s="3482"/>
      <c r="Z33" s="637">
        <f t="shared" si="13"/>
        <v>111</v>
      </c>
      <c r="AA33" s="1337">
        <f t="shared" si="3"/>
        <v>1</v>
      </c>
      <c r="AB33" s="1337">
        <f t="shared" si="4"/>
        <v>1</v>
      </c>
      <c r="AC33" s="1337">
        <f t="shared" si="5"/>
        <v>1</v>
      </c>
    </row>
    <row r="34" spans="1:29" ht="29.2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82"/>
      <c r="Q34" s="1334" t="str">
        <f>B34</f>
        <v>宗地面积</v>
      </c>
      <c r="R34" s="631" t="s">
        <v>25</v>
      </c>
      <c r="S34" s="632" t="e">
        <f t="shared" si="10"/>
        <v>#N/A</v>
      </c>
      <c r="T34" s="631" t="s">
        <v>25</v>
      </c>
      <c r="U34" s="632" t="e">
        <f t="shared" si="11"/>
        <v>#N/A</v>
      </c>
      <c r="V34" s="631" t="s">
        <v>25</v>
      </c>
      <c r="W34" s="632" t="e">
        <f t="shared" si="12"/>
        <v>#N/A</v>
      </c>
      <c r="X34" s="1335"/>
      <c r="Y34" s="3482"/>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82"/>
      <c r="Q35" s="1334" t="str">
        <f t="shared" ref="Q35:Q40" si="14">B35</f>
        <v>宗地形状</v>
      </c>
      <c r="R35" s="631" t="s">
        <v>25</v>
      </c>
      <c r="S35" s="632">
        <f t="shared" si="10"/>
        <v>100</v>
      </c>
      <c r="T35" s="631" t="s">
        <v>25</v>
      </c>
      <c r="U35" s="632">
        <f t="shared" si="11"/>
        <v>100</v>
      </c>
      <c r="V35" s="631" t="s">
        <v>25</v>
      </c>
      <c r="W35" s="632">
        <f t="shared" si="12"/>
        <v>100</v>
      </c>
      <c r="X35" s="1335"/>
      <c r="Y35" s="3482"/>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82"/>
      <c r="Q36" s="1334" t="str">
        <f t="shared" si="14"/>
        <v>宗地开发程度</v>
      </c>
      <c r="R36" s="627" t="s">
        <v>25</v>
      </c>
      <c r="S36" s="628">
        <f t="shared" si="10"/>
        <v>100</v>
      </c>
      <c r="T36" s="627" t="s">
        <v>25</v>
      </c>
      <c r="U36" s="628">
        <f t="shared" si="11"/>
        <v>100</v>
      </c>
      <c r="V36" s="627" t="s">
        <v>25</v>
      </c>
      <c r="W36" s="628">
        <f t="shared" si="12"/>
        <v>100</v>
      </c>
      <c r="X36" s="629"/>
      <c r="Y36" s="3482"/>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82" t="s">
        <v>2284</v>
      </c>
      <c r="Q37" s="1334" t="str">
        <f t="shared" si="14"/>
        <v>工程地质条件</v>
      </c>
      <c r="R37" s="631" t="s">
        <v>25</v>
      </c>
      <c r="S37" s="632">
        <f t="shared" si="10"/>
        <v>100</v>
      </c>
      <c r="T37" s="631" t="s">
        <v>25</v>
      </c>
      <c r="U37" s="632">
        <f t="shared" si="11"/>
        <v>100</v>
      </c>
      <c r="V37" s="631" t="s">
        <v>25</v>
      </c>
      <c r="W37" s="632">
        <f t="shared" si="12"/>
        <v>100</v>
      </c>
      <c r="X37" s="1335"/>
      <c r="Y37" s="3482"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82"/>
      <c r="Q38" s="1334">
        <f t="shared" si="14"/>
        <v>111</v>
      </c>
      <c r="R38" s="631" t="s">
        <v>25</v>
      </c>
      <c r="S38" s="632">
        <f t="shared" si="10"/>
        <v>100</v>
      </c>
      <c r="T38" s="631" t="s">
        <v>25</v>
      </c>
      <c r="U38" s="632">
        <f t="shared" si="11"/>
        <v>100</v>
      </c>
      <c r="V38" s="631" t="s">
        <v>25</v>
      </c>
      <c r="W38" s="632">
        <f t="shared" si="12"/>
        <v>100</v>
      </c>
      <c r="X38" s="1335"/>
      <c r="Y38" s="348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82"/>
      <c r="Q39" s="1334">
        <f t="shared" si="14"/>
        <v>111</v>
      </c>
      <c r="R39" s="631" t="s">
        <v>25</v>
      </c>
      <c r="S39" s="632">
        <f t="shared" si="10"/>
        <v>100</v>
      </c>
      <c r="T39" s="631" t="s">
        <v>25</v>
      </c>
      <c r="U39" s="632">
        <f t="shared" si="11"/>
        <v>100</v>
      </c>
      <c r="V39" s="631" t="s">
        <v>25</v>
      </c>
      <c r="W39" s="632">
        <f t="shared" si="12"/>
        <v>100</v>
      </c>
      <c r="X39" s="1335"/>
      <c r="Y39" s="348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82"/>
      <c r="Q40" s="1334">
        <f t="shared" si="14"/>
        <v>111</v>
      </c>
      <c r="R40" s="634" t="s">
        <v>25</v>
      </c>
      <c r="S40" s="635">
        <f t="shared" si="10"/>
        <v>100</v>
      </c>
      <c r="T40" s="634" t="s">
        <v>25</v>
      </c>
      <c r="U40" s="635">
        <f t="shared" si="11"/>
        <v>100</v>
      </c>
      <c r="V40" s="634" t="s">
        <v>25</v>
      </c>
      <c r="W40" s="635">
        <f t="shared" si="12"/>
        <v>100</v>
      </c>
      <c r="X40" s="636"/>
      <c r="Y40" s="3482"/>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76" t="str">
        <f>A41</f>
        <v>成交单价</v>
      </c>
      <c r="Q41" s="3476"/>
      <c r="R41" s="3509">
        <f>E41</f>
        <v>0</v>
      </c>
      <c r="S41" s="3509"/>
      <c r="T41" s="3509">
        <f>G41</f>
        <v>0</v>
      </c>
      <c r="U41" s="3509"/>
      <c r="V41" s="3509">
        <f>I41</f>
        <v>0</v>
      </c>
      <c r="W41" s="3509"/>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3">
        <f>F42+H42+J42</f>
        <v>0</v>
      </c>
      <c r="L42" s="3039"/>
      <c r="M42" s="3028"/>
      <c r="N42" s="3028"/>
      <c r="P42" s="3476" t="str">
        <f>A42</f>
        <v>比较价值（元/平方米）</v>
      </c>
      <c r="Q42" s="3476"/>
      <c r="R42" s="3521" t="e">
        <f>ROUND(PRODUCT(R41,AA7:AA40),0)</f>
        <v>#DIV/0!</v>
      </c>
      <c r="S42" s="3521"/>
      <c r="T42" s="3521" t="e">
        <f>ROUND(PRODUCT(T41,AB7:AB40),0)</f>
        <v>#DIV/0!</v>
      </c>
      <c r="U42" s="3521"/>
      <c r="V42" s="3521" t="e">
        <f>ROUND(PRODUCT(V41,AC7:AC40),0)</f>
        <v>#DIV/0!</v>
      </c>
      <c r="W42" s="352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478" t="str">
        <f>A43</f>
        <v>估价对象XX用房的比较价值（楼面单价，元/平方米）</v>
      </c>
      <c r="Q43" s="3479"/>
      <c r="R43" s="3520" t="e">
        <f>ROUND(IF(D42="简单平均",AVERAGE(R42:W42),R42*F42+T42*H42+V42*J42),0)</f>
        <v>#DIV/0!</v>
      </c>
      <c r="S43" s="3520"/>
      <c r="T43" s="3520"/>
      <c r="U43" s="3520"/>
      <c r="V43" s="3520"/>
      <c r="W43" s="3520"/>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2475</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2476</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topLeftCell="A18" zoomScaleNormal="70" zoomScaleSheetLayoutView="100" workbookViewId="0">
      <selection activeCell="K33" sqref="K33"/>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2755</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3516660</v>
      </c>
      <c r="C2" s="1651" t="str">
        <f>'数据-取费表'!B3</f>
        <v>元</v>
      </c>
      <c r="D2" s="1652" t="s">
        <v>1240</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39074</v>
      </c>
      <c r="C3" s="1660" t="s">
        <v>2252</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58" t="s">
        <v>2254</v>
      </c>
      <c r="D4" s="3459"/>
      <c r="E4" s="3460" t="s">
        <v>2255</v>
      </c>
      <c r="F4" s="3461"/>
      <c r="G4" s="3458" t="s">
        <v>2256</v>
      </c>
      <c r="H4" s="3459"/>
      <c r="I4" s="3458" t="s">
        <v>2257</v>
      </c>
      <c r="J4" s="3459"/>
      <c r="K4" s="1665" t="s">
        <v>2258</v>
      </c>
      <c r="L4" s="2999"/>
      <c r="M4" s="3000"/>
      <c r="N4" s="3000"/>
      <c r="O4" s="3000"/>
      <c r="P4" s="3462" t="s">
        <v>2259</v>
      </c>
      <c r="Q4" s="3463"/>
      <c r="R4" s="3447" t="s">
        <v>2255</v>
      </c>
      <c r="S4" s="3448"/>
      <c r="T4" s="3447" t="s">
        <v>2256</v>
      </c>
      <c r="U4" s="3448"/>
      <c r="V4" s="3468" t="s">
        <v>2257</v>
      </c>
      <c r="W4" s="3468"/>
      <c r="X4" s="3161"/>
      <c r="Y4" s="3447" t="s">
        <v>2259</v>
      </c>
      <c r="Z4" s="3448"/>
      <c r="AA4" s="3455" t="s">
        <v>2255</v>
      </c>
      <c r="AB4" s="3455" t="s">
        <v>2256</v>
      </c>
      <c r="AC4" s="3455" t="s">
        <v>2257</v>
      </c>
    </row>
    <row r="5" spans="1:29" ht="15">
      <c r="A5" s="1668"/>
      <c r="B5" s="1669"/>
      <c r="C5" s="3471" t="s">
        <v>2260</v>
      </c>
      <c r="D5" s="3444"/>
      <c r="E5" s="3469" t="s">
        <v>2939</v>
      </c>
      <c r="F5" s="3470"/>
      <c r="G5" s="3443" t="s">
        <v>2940</v>
      </c>
      <c r="H5" s="3444"/>
      <c r="I5" s="3443" t="s">
        <v>2945</v>
      </c>
      <c r="J5" s="3444"/>
      <c r="K5" s="1670"/>
      <c r="L5" s="2999"/>
      <c r="M5" s="3000"/>
      <c r="N5" s="3000"/>
      <c r="O5" s="3000"/>
      <c r="P5" s="3464"/>
      <c r="Q5" s="3465"/>
      <c r="R5" s="3449"/>
      <c r="S5" s="3450"/>
      <c r="T5" s="3449"/>
      <c r="U5" s="3450"/>
      <c r="V5" s="3468"/>
      <c r="W5" s="3468"/>
      <c r="X5" s="3161"/>
      <c r="Y5" s="3449"/>
      <c r="Z5" s="3450"/>
      <c r="AA5" s="3456"/>
      <c r="AB5" s="3456"/>
      <c r="AC5" s="3456"/>
    </row>
    <row r="6" spans="1:29" ht="15.75" thickBot="1">
      <c r="A6" s="1671"/>
      <c r="B6" s="1672"/>
      <c r="C6" s="3441" t="s">
        <v>2264</v>
      </c>
      <c r="D6" s="3442"/>
      <c r="E6" s="3472" t="s">
        <v>2264</v>
      </c>
      <c r="F6" s="3473"/>
      <c r="G6" s="3441" t="s">
        <v>2264</v>
      </c>
      <c r="H6" s="3442"/>
      <c r="I6" s="3441" t="s">
        <v>2264</v>
      </c>
      <c r="J6" s="3442"/>
      <c r="K6" s="1670" t="s">
        <v>2265</v>
      </c>
      <c r="L6" s="2999"/>
      <c r="M6" s="3000"/>
      <c r="N6" s="3000"/>
      <c r="O6" s="3000"/>
      <c r="P6" s="3466"/>
      <c r="Q6" s="3467"/>
      <c r="R6" s="3449"/>
      <c r="S6" s="3450"/>
      <c r="T6" s="3451"/>
      <c r="U6" s="3452"/>
      <c r="V6" s="3468"/>
      <c r="W6" s="3468"/>
      <c r="X6" s="3161"/>
      <c r="Y6" s="3451"/>
      <c r="Z6" s="3452"/>
      <c r="AA6" s="3457"/>
      <c r="AB6" s="3457"/>
      <c r="AC6" s="3457"/>
    </row>
    <row r="7" spans="1:29" s="1685" customFormat="1" ht="15.75" thickBot="1">
      <c r="A7" s="1673" t="s">
        <v>2266</v>
      </c>
      <c r="B7" s="1674"/>
      <c r="C7" s="1675">
        <f>'数据-取费表'!B2</f>
        <v>44235</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45" t="s">
        <v>2267</v>
      </c>
      <c r="Q7" s="3453"/>
      <c r="R7" s="1681" t="s">
        <v>25</v>
      </c>
      <c r="S7" s="1682">
        <f t="shared" ref="S7:S15" si="0">F7</f>
        <v>100</v>
      </c>
      <c r="T7" s="1681" t="s">
        <v>25</v>
      </c>
      <c r="U7" s="1682">
        <f t="shared" ref="U7:U15" si="1">H7</f>
        <v>100</v>
      </c>
      <c r="V7" s="1681" t="s">
        <v>25</v>
      </c>
      <c r="W7" s="1682">
        <f t="shared" ref="W7:W15" si="2">J7</f>
        <v>100</v>
      </c>
      <c r="X7" s="1683"/>
      <c r="Y7" s="3445" t="s">
        <v>2267</v>
      </c>
      <c r="Z7" s="3446"/>
      <c r="AA7" s="1684">
        <f>D7/F7</f>
        <v>1</v>
      </c>
      <c r="AB7" s="1684">
        <f>D7/H7</f>
        <v>1</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45" t="s">
        <v>2270</v>
      </c>
      <c r="Q8" s="3446"/>
      <c r="R8" s="1681" t="s">
        <v>25</v>
      </c>
      <c r="S8" s="1682">
        <f t="shared" si="0"/>
        <v>100</v>
      </c>
      <c r="T8" s="1681" t="s">
        <v>25</v>
      </c>
      <c r="U8" s="1682">
        <f t="shared" si="1"/>
        <v>100</v>
      </c>
      <c r="V8" s="1681" t="s">
        <v>25</v>
      </c>
      <c r="W8" s="1682">
        <f t="shared" si="2"/>
        <v>100</v>
      </c>
      <c r="X8" s="1683"/>
      <c r="Y8" s="3445" t="s">
        <v>2270</v>
      </c>
      <c r="Z8" s="3446"/>
      <c r="AA8" s="1684">
        <f t="shared" ref="AA8:AA46" si="3">D8/F8</f>
        <v>1</v>
      </c>
      <c r="AB8" s="1684">
        <f t="shared" ref="AB8:AB46" si="4">D8/H8</f>
        <v>1</v>
      </c>
      <c r="AC8" s="1684">
        <f t="shared" ref="AC8:AC46" si="5">D8/J8</f>
        <v>1</v>
      </c>
    </row>
    <row r="9" spans="1:29" s="1685" customFormat="1">
      <c r="A9" s="3156" t="s">
        <v>2271</v>
      </c>
      <c r="B9" s="1688" t="s">
        <v>2272</v>
      </c>
      <c r="C9" s="1689" t="s">
        <v>2920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2999"/>
      <c r="M9" s="2972"/>
      <c r="N9" s="2972"/>
      <c r="O9" s="2972"/>
      <c r="P9" s="3454" t="s">
        <v>2273</v>
      </c>
      <c r="Q9" s="3155"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2919</v>
      </c>
      <c r="D10" s="1698">
        <v>100</v>
      </c>
      <c r="E10" s="1699" t="s">
        <v>2919</v>
      </c>
      <c r="F10" s="1700">
        <f>SUMIF(65:65,E10,66:66)-SUMIF(65:65,C10,66:66)+100</f>
        <v>100</v>
      </c>
      <c r="G10" s="1697" t="s">
        <v>2919</v>
      </c>
      <c r="H10" s="1698">
        <f>SUMIF(65:65,G10,66:66)-SUMIF(65:65,C10,66:66)+100</f>
        <v>100</v>
      </c>
      <c r="I10" s="1697" t="s">
        <v>2919</v>
      </c>
      <c r="J10" s="1698">
        <f>SUMIF(65:65,I10,66:66)-SUMIF(65:65,C10,66:66)+100</f>
        <v>100</v>
      </c>
      <c r="K10" s="1701"/>
      <c r="L10" s="3001"/>
      <c r="M10" s="3002"/>
      <c r="N10" s="3002"/>
      <c r="O10" s="3002"/>
      <c r="P10" s="3454"/>
      <c r="Q10" s="315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75" hidden="1" thickBot="1">
      <c r="A11" s="1703"/>
      <c r="B11" s="1696" t="s">
        <v>2276</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54"/>
      <c r="Q11" s="3155" t="str">
        <f t="shared" si="6"/>
        <v>容积率</v>
      </c>
      <c r="R11" s="1681" t="s">
        <v>28</v>
      </c>
      <c r="S11" s="1682">
        <f t="shared" si="0"/>
        <v>100</v>
      </c>
      <c r="T11" s="1681" t="s">
        <v>28</v>
      </c>
      <c r="U11" s="1682">
        <f t="shared" si="1"/>
        <v>100</v>
      </c>
      <c r="V11" s="1681" t="s">
        <v>28</v>
      </c>
      <c r="W11" s="1682">
        <f t="shared" si="2"/>
        <v>100</v>
      </c>
      <c r="X11" s="1683"/>
      <c r="Y11" s="3292"/>
      <c r="Z11" s="1694" t="str">
        <f t="shared" si="7"/>
        <v>容积率</v>
      </c>
      <c r="AA11" s="1684">
        <f t="shared" si="3"/>
        <v>1</v>
      </c>
      <c r="AB11" s="1684">
        <f t="shared" si="4"/>
        <v>1</v>
      </c>
      <c r="AC11" s="1684">
        <f t="shared" si="5"/>
        <v>1</v>
      </c>
    </row>
    <row r="12" spans="1:29" s="1685" customFormat="1" ht="15.75" hidden="1" thickBot="1">
      <c r="A12" s="3157"/>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4"/>
      <c r="Q12" s="3155">
        <f t="shared" si="6"/>
        <v>111</v>
      </c>
      <c r="R12" s="1681" t="s">
        <v>28</v>
      </c>
      <c r="S12" s="1682">
        <f t="shared" si="0"/>
        <v>100</v>
      </c>
      <c r="T12" s="1681" t="s">
        <v>28</v>
      </c>
      <c r="U12" s="1682">
        <f t="shared" si="1"/>
        <v>100</v>
      </c>
      <c r="V12" s="1681" t="s">
        <v>28</v>
      </c>
      <c r="W12" s="1682">
        <f t="shared" si="2"/>
        <v>100</v>
      </c>
      <c r="X12" s="1683"/>
      <c r="Y12" s="3292"/>
      <c r="Z12" s="1694">
        <f t="shared" si="7"/>
        <v>111</v>
      </c>
      <c r="AA12" s="1684">
        <f>D12/F12</f>
        <v>1</v>
      </c>
      <c r="AB12" s="1684">
        <f>D12/H12</f>
        <v>1</v>
      </c>
      <c r="AC12" s="1684">
        <f>D12/J12</f>
        <v>1</v>
      </c>
    </row>
    <row r="13" spans="1:29" ht="15.75" hidden="1" thickBot="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4"/>
      <c r="Q13" s="3155">
        <f t="shared" si="6"/>
        <v>111</v>
      </c>
      <c r="R13" s="1681" t="s">
        <v>28</v>
      </c>
      <c r="S13" s="1682">
        <f t="shared" si="0"/>
        <v>100</v>
      </c>
      <c r="T13" s="1681" t="s">
        <v>28</v>
      </c>
      <c r="U13" s="1682">
        <f t="shared" si="1"/>
        <v>100</v>
      </c>
      <c r="V13" s="1681" t="s">
        <v>28</v>
      </c>
      <c r="W13" s="1682">
        <f t="shared" si="2"/>
        <v>100</v>
      </c>
      <c r="X13" s="1683"/>
      <c r="Y13" s="3292"/>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4"/>
      <c r="Q14" s="3155">
        <f t="shared" si="6"/>
        <v>111</v>
      </c>
      <c r="R14" s="1681" t="s">
        <v>28</v>
      </c>
      <c r="S14" s="1682">
        <f t="shared" si="0"/>
        <v>100</v>
      </c>
      <c r="T14" s="1681" t="s">
        <v>28</v>
      </c>
      <c r="U14" s="1682">
        <f t="shared" si="1"/>
        <v>100</v>
      </c>
      <c r="V14" s="1681" t="s">
        <v>28</v>
      </c>
      <c r="W14" s="1682">
        <f t="shared" si="2"/>
        <v>100</v>
      </c>
      <c r="X14" s="1683"/>
      <c r="Y14" s="3292"/>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32" t="s">
        <v>2278</v>
      </c>
      <c r="Q15" s="3159" t="str">
        <f t="shared" si="6"/>
        <v>居住社区成熟度</v>
      </c>
      <c r="R15" s="1726" t="s">
        <v>28</v>
      </c>
      <c r="S15" s="1727">
        <f t="shared" si="0"/>
        <v>100</v>
      </c>
      <c r="T15" s="1726" t="s">
        <v>28</v>
      </c>
      <c r="U15" s="1727">
        <f t="shared" si="1"/>
        <v>100</v>
      </c>
      <c r="V15" s="1726" t="s">
        <v>28</v>
      </c>
      <c r="W15" s="1727">
        <f t="shared" si="2"/>
        <v>100</v>
      </c>
      <c r="X15" s="3161"/>
      <c r="Y15" s="3434" t="s">
        <v>2278</v>
      </c>
      <c r="Z15" s="3162" t="str">
        <f t="shared" si="7"/>
        <v>居住社区成熟度</v>
      </c>
      <c r="AA15" s="3158">
        <f t="shared" si="3"/>
        <v>1</v>
      </c>
      <c r="AB15" s="3158">
        <f t="shared" si="4"/>
        <v>1</v>
      </c>
      <c r="AC15" s="3158">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33"/>
      <c r="Q16" s="3159"/>
      <c r="R16" s="1726"/>
      <c r="S16" s="1727"/>
      <c r="T16" s="1726"/>
      <c r="U16" s="1727"/>
      <c r="V16" s="1726"/>
      <c r="W16" s="1727"/>
      <c r="X16" s="3161"/>
      <c r="Y16" s="3435"/>
      <c r="Z16" s="3162"/>
      <c r="AA16" s="3158">
        <v>1</v>
      </c>
      <c r="AB16" s="3158">
        <v>1</v>
      </c>
      <c r="AC16" s="3158">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33"/>
      <c r="Q17" s="3159" t="str">
        <f>B17</f>
        <v>交通便捷度</v>
      </c>
      <c r="R17" s="1726" t="s">
        <v>28</v>
      </c>
      <c r="S17" s="1727">
        <f>F17</f>
        <v>100</v>
      </c>
      <c r="T17" s="1726" t="s">
        <v>28</v>
      </c>
      <c r="U17" s="1727">
        <f>H17</f>
        <v>100</v>
      </c>
      <c r="V17" s="1726" t="s">
        <v>28</v>
      </c>
      <c r="W17" s="1727">
        <f>J17</f>
        <v>100</v>
      </c>
      <c r="X17" s="3161"/>
      <c r="Y17" s="3435"/>
      <c r="Z17" s="3162" t="str">
        <f>Q17</f>
        <v>交通便捷度</v>
      </c>
      <c r="AA17" s="3158">
        <f t="shared" si="3"/>
        <v>1</v>
      </c>
      <c r="AB17" s="3158">
        <f t="shared" si="4"/>
        <v>1</v>
      </c>
      <c r="AC17" s="3158">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33"/>
      <c r="Q18" s="3159"/>
      <c r="R18" s="1726"/>
      <c r="S18" s="1727"/>
      <c r="T18" s="1726"/>
      <c r="U18" s="1727"/>
      <c r="V18" s="1726"/>
      <c r="W18" s="1727"/>
      <c r="X18" s="3161"/>
      <c r="Y18" s="3435"/>
      <c r="Z18" s="3162"/>
      <c r="AA18" s="3158">
        <v>1</v>
      </c>
      <c r="AB18" s="3158">
        <v>1</v>
      </c>
      <c r="AC18" s="3158">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33"/>
      <c r="Q19" s="3159" t="str">
        <f>B19</f>
        <v>公共配套设施</v>
      </c>
      <c r="R19" s="1726" t="s">
        <v>28</v>
      </c>
      <c r="S19" s="1727">
        <f>F19</f>
        <v>100</v>
      </c>
      <c r="T19" s="1726" t="s">
        <v>28</v>
      </c>
      <c r="U19" s="1727">
        <f>H19</f>
        <v>100</v>
      </c>
      <c r="V19" s="1726" t="s">
        <v>28</v>
      </c>
      <c r="W19" s="1727">
        <f>J19</f>
        <v>100</v>
      </c>
      <c r="X19" s="3161"/>
      <c r="Y19" s="3435"/>
      <c r="Z19" s="3162" t="str">
        <f>Q19</f>
        <v>公共配套设施</v>
      </c>
      <c r="AA19" s="3158">
        <f t="shared" si="3"/>
        <v>1</v>
      </c>
      <c r="AB19" s="3158">
        <f t="shared" si="4"/>
        <v>1</v>
      </c>
      <c r="AC19" s="3158">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33"/>
      <c r="Q20" s="3159"/>
      <c r="R20" s="1726"/>
      <c r="S20" s="1727"/>
      <c r="T20" s="1726"/>
      <c r="U20" s="1727"/>
      <c r="V20" s="1726"/>
      <c r="W20" s="1727"/>
      <c r="X20" s="3161"/>
      <c r="Y20" s="3435"/>
      <c r="Z20" s="3162"/>
      <c r="AA20" s="3158">
        <v>1</v>
      </c>
      <c r="AB20" s="3158">
        <v>1</v>
      </c>
      <c r="AC20" s="3158">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33"/>
      <c r="Q21" s="3159" t="str">
        <f>B21</f>
        <v>基础设施水平</v>
      </c>
      <c r="R21" s="1726" t="s">
        <v>28</v>
      </c>
      <c r="S21" s="1727">
        <f>F21</f>
        <v>100</v>
      </c>
      <c r="T21" s="1726" t="s">
        <v>28</v>
      </c>
      <c r="U21" s="1727">
        <f>H21</f>
        <v>100</v>
      </c>
      <c r="V21" s="1726" t="s">
        <v>28</v>
      </c>
      <c r="W21" s="1727">
        <f>J21</f>
        <v>100</v>
      </c>
      <c r="X21" s="3161"/>
      <c r="Y21" s="3435"/>
      <c r="Z21" s="3162" t="str">
        <f>Q21</f>
        <v>基础设施水平</v>
      </c>
      <c r="AA21" s="3158">
        <f t="shared" ref="AA21" si="8">D21/F21</f>
        <v>1</v>
      </c>
      <c r="AB21" s="3158">
        <f t="shared" ref="AB21" si="9">D21/H21</f>
        <v>1</v>
      </c>
      <c r="AC21" s="3158">
        <f t="shared" ref="AC21" si="10">D21/J21</f>
        <v>1</v>
      </c>
    </row>
    <row r="22" spans="1:29" ht="15">
      <c r="A22" s="1703"/>
      <c r="B22" s="1751"/>
      <c r="C22" s="1745" t="s">
        <v>2918</v>
      </c>
      <c r="D22" s="1732"/>
      <c r="E22" s="1731" t="s">
        <v>2918</v>
      </c>
      <c r="F22" s="1734"/>
      <c r="G22" s="1731" t="s">
        <v>2918</v>
      </c>
      <c r="H22" s="1732"/>
      <c r="I22" s="1731" t="s">
        <v>2918</v>
      </c>
      <c r="J22" s="1732"/>
      <c r="K22" s="1752"/>
      <c r="L22" s="3004"/>
      <c r="M22" s="3000"/>
      <c r="N22" s="3000"/>
      <c r="O22" s="3000"/>
      <c r="P22" s="3433"/>
      <c r="Q22" s="3159"/>
      <c r="R22" s="1726"/>
      <c r="S22" s="1727"/>
      <c r="T22" s="1726"/>
      <c r="U22" s="1727"/>
      <c r="V22" s="1726"/>
      <c r="W22" s="1727"/>
      <c r="X22" s="3161"/>
      <c r="Y22" s="3435"/>
      <c r="Z22" s="3162"/>
      <c r="AA22" s="3158">
        <v>1</v>
      </c>
      <c r="AB22" s="3158">
        <v>1</v>
      </c>
      <c r="AC22" s="3158">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33"/>
      <c r="Q23" s="3159" t="str">
        <f>B23</f>
        <v>自然及人文环境</v>
      </c>
      <c r="R23" s="1726" t="s">
        <v>28</v>
      </c>
      <c r="S23" s="1727">
        <f>F23</f>
        <v>100</v>
      </c>
      <c r="T23" s="1726" t="s">
        <v>28</v>
      </c>
      <c r="U23" s="1727">
        <f>H23</f>
        <v>100</v>
      </c>
      <c r="V23" s="1726" t="s">
        <v>28</v>
      </c>
      <c r="W23" s="1727">
        <f>J23</f>
        <v>100</v>
      </c>
      <c r="X23" s="3161"/>
      <c r="Y23" s="3435"/>
      <c r="Z23" s="3162" t="str">
        <f>Q23</f>
        <v>自然及人文环境</v>
      </c>
      <c r="AA23" s="3158">
        <f t="shared" si="3"/>
        <v>1</v>
      </c>
      <c r="AB23" s="3158">
        <f t="shared" si="4"/>
        <v>1</v>
      </c>
      <c r="AC23" s="3158">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33"/>
      <c r="Q24" s="3159"/>
      <c r="R24" s="1726"/>
      <c r="S24" s="1727"/>
      <c r="T24" s="1726"/>
      <c r="U24" s="1727"/>
      <c r="V24" s="1726"/>
      <c r="W24" s="1727"/>
      <c r="X24" s="3161"/>
      <c r="Y24" s="3435"/>
      <c r="Z24" s="3162"/>
      <c r="AA24" s="3158">
        <v>1</v>
      </c>
      <c r="AB24" s="3158">
        <v>1</v>
      </c>
      <c r="AC24" s="3158">
        <v>1</v>
      </c>
    </row>
    <row r="25" spans="1:29" ht="15.75" hidden="1" thickBot="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33"/>
      <c r="Q25" s="3159" t="str">
        <f t="shared" ref="Q25:Q46" si="11">B25</f>
        <v>楼层-1</v>
      </c>
      <c r="R25" s="1726" t="s">
        <v>28</v>
      </c>
      <c r="S25" s="1727">
        <f>F25</f>
        <v>100</v>
      </c>
      <c r="T25" s="1726" t="s">
        <v>28</v>
      </c>
      <c r="U25" s="1727">
        <f>H25</f>
        <v>100</v>
      </c>
      <c r="V25" s="1726" t="s">
        <v>28</v>
      </c>
      <c r="W25" s="1727">
        <f>J25</f>
        <v>100</v>
      </c>
      <c r="X25" s="3161"/>
      <c r="Y25" s="3435"/>
      <c r="Z25" s="3162" t="str">
        <f>Q25</f>
        <v>楼层-1</v>
      </c>
      <c r="AA25" s="3158">
        <f t="shared" si="3"/>
        <v>1</v>
      </c>
      <c r="AB25" s="3158">
        <f t="shared" si="4"/>
        <v>1</v>
      </c>
      <c r="AC25" s="3158">
        <f t="shared" si="5"/>
        <v>1</v>
      </c>
    </row>
    <row r="26" spans="1:29" ht="15.75" hidden="1" thickBot="1">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33"/>
      <c r="Q26" s="3159" t="str">
        <f t="shared" si="11"/>
        <v>朝向</v>
      </c>
      <c r="R26" s="1726" t="s">
        <v>28</v>
      </c>
      <c r="S26" s="1727">
        <f>F26</f>
        <v>100</v>
      </c>
      <c r="T26" s="1726" t="s">
        <v>28</v>
      </c>
      <c r="U26" s="1727">
        <f>H26</f>
        <v>100</v>
      </c>
      <c r="V26" s="1726" t="s">
        <v>28</v>
      </c>
      <c r="W26" s="1727">
        <f>J26</f>
        <v>100</v>
      </c>
      <c r="X26" s="3161"/>
      <c r="Y26" s="3435"/>
      <c r="Z26" s="3162" t="str">
        <f>Q26</f>
        <v>朝向</v>
      </c>
      <c r="AA26" s="3158">
        <f t="shared" si="3"/>
        <v>1</v>
      </c>
      <c r="AB26" s="3158">
        <f t="shared" si="4"/>
        <v>1</v>
      </c>
      <c r="AC26" s="3158">
        <f t="shared" si="5"/>
        <v>1</v>
      </c>
    </row>
    <row r="27" spans="1:29" s="1685" customFormat="1" ht="15.75" hidden="1" thickBot="1">
      <c r="A27" s="3157"/>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33"/>
      <c r="Q27" s="3155" t="str">
        <f t="shared" si="11"/>
        <v>道路级别</v>
      </c>
      <c r="R27" s="1681" t="s">
        <v>28</v>
      </c>
      <c r="S27" s="1682">
        <f>F27</f>
        <v>100</v>
      </c>
      <c r="T27" s="1681" t="s">
        <v>28</v>
      </c>
      <c r="U27" s="1682">
        <f>H27</f>
        <v>100</v>
      </c>
      <c r="V27" s="1681" t="s">
        <v>28</v>
      </c>
      <c r="W27" s="1682">
        <f>J27</f>
        <v>100</v>
      </c>
      <c r="X27" s="1683"/>
      <c r="Y27" s="3435"/>
      <c r="Z27" s="1694" t="str">
        <f>Q27</f>
        <v>道路级别</v>
      </c>
      <c r="AA27" s="3158">
        <f>D27/F27</f>
        <v>1</v>
      </c>
      <c r="AB27" s="3158">
        <f>D27/H27</f>
        <v>1</v>
      </c>
      <c r="AC27" s="3158">
        <f>D27/J27</f>
        <v>1</v>
      </c>
    </row>
    <row r="28" spans="1:29" ht="15.75" hidden="1" thickBot="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33"/>
      <c r="Q28" s="3159">
        <f t="shared" si="11"/>
        <v>111</v>
      </c>
      <c r="R28" s="1726" t="s">
        <v>28</v>
      </c>
      <c r="S28" s="1727">
        <f t="shared" ref="S28:S46" si="12">F28</f>
        <v>100</v>
      </c>
      <c r="T28" s="1726" t="s">
        <v>28</v>
      </c>
      <c r="U28" s="1727">
        <f t="shared" ref="U28:U46" si="13">H28</f>
        <v>100</v>
      </c>
      <c r="V28" s="1726" t="s">
        <v>28</v>
      </c>
      <c r="W28" s="1727">
        <f t="shared" ref="W28:W46" si="14">J28</f>
        <v>100</v>
      </c>
      <c r="X28" s="3161"/>
      <c r="Y28" s="3435"/>
      <c r="Z28" s="3162">
        <f t="shared" ref="Z28:Z46" si="15">Q28</f>
        <v>111</v>
      </c>
      <c r="AA28" s="3158">
        <f t="shared" si="3"/>
        <v>1</v>
      </c>
      <c r="AB28" s="3158">
        <f t="shared" si="4"/>
        <v>1</v>
      </c>
      <c r="AC28" s="3158">
        <f t="shared" si="5"/>
        <v>1</v>
      </c>
    </row>
    <row r="29" spans="1:29" ht="15.75" hidden="1" thickBot="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33"/>
      <c r="Q29" s="3159">
        <f t="shared" si="11"/>
        <v>111</v>
      </c>
      <c r="R29" s="1726" t="s">
        <v>28</v>
      </c>
      <c r="S29" s="1727">
        <f t="shared" si="12"/>
        <v>100</v>
      </c>
      <c r="T29" s="1726" t="s">
        <v>28</v>
      </c>
      <c r="U29" s="1727">
        <f t="shared" si="13"/>
        <v>100</v>
      </c>
      <c r="V29" s="1726" t="s">
        <v>28</v>
      </c>
      <c r="W29" s="1727">
        <f t="shared" si="14"/>
        <v>100</v>
      </c>
      <c r="X29" s="3161"/>
      <c r="Y29" s="3435"/>
      <c r="Z29" s="3162">
        <f t="shared" si="15"/>
        <v>111</v>
      </c>
      <c r="AA29" s="3158">
        <f t="shared" si="3"/>
        <v>1</v>
      </c>
      <c r="AB29" s="3158">
        <f t="shared" si="4"/>
        <v>1</v>
      </c>
      <c r="AC29" s="3158">
        <f t="shared" si="5"/>
        <v>1</v>
      </c>
    </row>
    <row r="30" spans="1:29" ht="15.75" hidden="1" thickBot="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33"/>
      <c r="Q30" s="3159">
        <f t="shared" si="11"/>
        <v>111</v>
      </c>
      <c r="R30" s="1726" t="s">
        <v>28</v>
      </c>
      <c r="S30" s="1727">
        <f t="shared" si="12"/>
        <v>100</v>
      </c>
      <c r="T30" s="1726" t="s">
        <v>28</v>
      </c>
      <c r="U30" s="1727">
        <f t="shared" si="13"/>
        <v>100</v>
      </c>
      <c r="V30" s="1726" t="s">
        <v>28</v>
      </c>
      <c r="W30" s="1727">
        <f t="shared" si="14"/>
        <v>100</v>
      </c>
      <c r="X30" s="3161"/>
      <c r="Y30" s="3435"/>
      <c r="Z30" s="3162">
        <f t="shared" si="15"/>
        <v>111</v>
      </c>
      <c r="AA30" s="3158">
        <f t="shared" si="3"/>
        <v>1</v>
      </c>
      <c r="AB30" s="3158">
        <f t="shared" si="4"/>
        <v>1</v>
      </c>
      <c r="AC30" s="3158">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33"/>
      <c r="Q31" s="3159">
        <f t="shared" si="11"/>
        <v>111</v>
      </c>
      <c r="R31" s="1726" t="s">
        <v>28</v>
      </c>
      <c r="S31" s="1727">
        <f t="shared" si="12"/>
        <v>100</v>
      </c>
      <c r="T31" s="1726" t="s">
        <v>28</v>
      </c>
      <c r="U31" s="1727">
        <f t="shared" si="13"/>
        <v>100</v>
      </c>
      <c r="V31" s="1726" t="s">
        <v>28</v>
      </c>
      <c r="W31" s="1727">
        <f t="shared" si="14"/>
        <v>100</v>
      </c>
      <c r="X31" s="3161"/>
      <c r="Y31" s="3435"/>
      <c r="Z31" s="3162">
        <f t="shared" si="15"/>
        <v>111</v>
      </c>
      <c r="AA31" s="3158">
        <f t="shared" si="3"/>
        <v>1</v>
      </c>
      <c r="AB31" s="3158">
        <f t="shared" si="4"/>
        <v>1</v>
      </c>
      <c r="AC31" s="3158">
        <f t="shared" si="5"/>
        <v>1</v>
      </c>
    </row>
    <row r="32" spans="1:29" ht="15">
      <c r="A32" s="1718" t="s">
        <v>2282</v>
      </c>
      <c r="B32" s="1688" t="s">
        <v>2283</v>
      </c>
      <c r="C32" s="1762" t="s">
        <v>2941</v>
      </c>
      <c r="D32" s="1763">
        <v>100</v>
      </c>
      <c r="E32" s="1764" t="s">
        <v>2922</v>
      </c>
      <c r="F32" s="1755">
        <f>SUMIF(100:100,E32,101:101)-SUMIF(100:100,C32,101:101)+100</f>
        <v>101.1</v>
      </c>
      <c r="G32" s="1762" t="s">
        <v>2922</v>
      </c>
      <c r="H32" s="1763">
        <f>SUMIF(100:100,G32,101:101)-SUMIF(100:100,C32,101:101)+100</f>
        <v>101.1</v>
      </c>
      <c r="I32" s="1764" t="s">
        <v>2941</v>
      </c>
      <c r="J32" s="1712">
        <f>SUMIF(100:100,I32,101:101)-SUMIF(100:100,C32,101:101)+100</f>
        <v>100</v>
      </c>
      <c r="K32" s="1701">
        <v>1.1000000000000001</v>
      </c>
      <c r="L32" s="3004"/>
      <c r="M32" s="3000"/>
      <c r="N32" s="3000"/>
      <c r="O32" s="3000"/>
      <c r="P32" s="3436" t="s">
        <v>2284</v>
      </c>
      <c r="Q32" s="3159" t="str">
        <f t="shared" si="11"/>
        <v>建筑类型</v>
      </c>
      <c r="R32" s="1726" t="s">
        <v>28</v>
      </c>
      <c r="S32" s="1727">
        <f t="shared" si="12"/>
        <v>101.1</v>
      </c>
      <c r="T32" s="1726" t="s">
        <v>28</v>
      </c>
      <c r="U32" s="1727">
        <f t="shared" si="13"/>
        <v>101.1</v>
      </c>
      <c r="V32" s="1726" t="s">
        <v>28</v>
      </c>
      <c r="W32" s="1727">
        <f t="shared" si="14"/>
        <v>100</v>
      </c>
      <c r="X32" s="3161"/>
      <c r="Y32" s="3439" t="s">
        <v>2284</v>
      </c>
      <c r="Z32" s="3162" t="str">
        <f t="shared" si="15"/>
        <v>建筑类型</v>
      </c>
      <c r="AA32" s="3158">
        <f t="shared" si="3"/>
        <v>0.98911968348170132</v>
      </c>
      <c r="AB32" s="3158">
        <f t="shared" si="4"/>
        <v>0.98911968348170132</v>
      </c>
      <c r="AC32" s="3158">
        <f t="shared" si="5"/>
        <v>1</v>
      </c>
    </row>
    <row r="33" spans="1:29" s="1772" customFormat="1" ht="15">
      <c r="A33" s="1765"/>
      <c r="B33" s="1696" t="s">
        <v>2285</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37"/>
      <c r="Q33" s="1767" t="str">
        <f t="shared" si="11"/>
        <v>项目建筑规模</v>
      </c>
      <c r="R33" s="1768" t="s">
        <v>28</v>
      </c>
      <c r="S33" s="1769">
        <f t="shared" si="12"/>
        <v>100</v>
      </c>
      <c r="T33" s="1768" t="s">
        <v>28</v>
      </c>
      <c r="U33" s="1769">
        <f t="shared" si="13"/>
        <v>100</v>
      </c>
      <c r="V33" s="1768" t="s">
        <v>28</v>
      </c>
      <c r="W33" s="1769">
        <f t="shared" si="14"/>
        <v>100</v>
      </c>
      <c r="X33" s="1770"/>
      <c r="Y33" s="3439"/>
      <c r="Z33" s="1771" t="str">
        <f t="shared" si="15"/>
        <v>项目建筑规模</v>
      </c>
      <c r="AA33" s="3158">
        <f t="shared" si="3"/>
        <v>1</v>
      </c>
      <c r="AB33" s="3158">
        <f t="shared" si="4"/>
        <v>1</v>
      </c>
      <c r="AC33" s="3158">
        <f t="shared" si="5"/>
        <v>1</v>
      </c>
    </row>
    <row r="34" spans="1:29" ht="15">
      <c r="A34" s="1773"/>
      <c r="B34" s="1696" t="s">
        <v>2286</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4"/>
      <c r="M34" s="3000"/>
      <c r="N34" s="3000"/>
      <c r="O34" s="3000"/>
      <c r="P34" s="3437"/>
      <c r="Q34" s="3159" t="str">
        <f t="shared" si="11"/>
        <v>建筑结构</v>
      </c>
      <c r="R34" s="1726" t="s">
        <v>28</v>
      </c>
      <c r="S34" s="1727">
        <f t="shared" si="12"/>
        <v>100</v>
      </c>
      <c r="T34" s="1726" t="s">
        <v>28</v>
      </c>
      <c r="U34" s="1727">
        <f t="shared" si="13"/>
        <v>100</v>
      </c>
      <c r="V34" s="1726" t="s">
        <v>28</v>
      </c>
      <c r="W34" s="1727">
        <f t="shared" si="14"/>
        <v>100</v>
      </c>
      <c r="X34" s="3161"/>
      <c r="Y34" s="3439"/>
      <c r="Z34" s="3162" t="str">
        <f t="shared" si="15"/>
        <v>建筑结构</v>
      </c>
      <c r="AA34" s="3158">
        <f t="shared" si="3"/>
        <v>1</v>
      </c>
      <c r="AB34" s="3158">
        <f t="shared" si="4"/>
        <v>1</v>
      </c>
      <c r="AC34" s="3158">
        <f t="shared" si="5"/>
        <v>1</v>
      </c>
    </row>
    <row r="35" spans="1:29" ht="15">
      <c r="A35" s="1773"/>
      <c r="B35" s="1696" t="s">
        <v>2287</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4"/>
      <c r="M35" s="3000"/>
      <c r="N35" s="3000"/>
      <c r="O35" s="3000"/>
      <c r="P35" s="3437"/>
      <c r="Q35" s="3159" t="str">
        <f t="shared" si="11"/>
        <v>建筑品质</v>
      </c>
      <c r="R35" s="1726" t="s">
        <v>28</v>
      </c>
      <c r="S35" s="1727">
        <f t="shared" si="12"/>
        <v>100</v>
      </c>
      <c r="T35" s="1726" t="s">
        <v>28</v>
      </c>
      <c r="U35" s="1727">
        <f t="shared" si="13"/>
        <v>100</v>
      </c>
      <c r="V35" s="1726" t="s">
        <v>28</v>
      </c>
      <c r="W35" s="1727">
        <f t="shared" si="14"/>
        <v>100</v>
      </c>
      <c r="X35" s="3161"/>
      <c r="Y35" s="3439"/>
      <c r="Z35" s="3162" t="str">
        <f t="shared" si="15"/>
        <v>建筑品质</v>
      </c>
      <c r="AA35" s="3158">
        <f t="shared" si="3"/>
        <v>1</v>
      </c>
      <c r="AB35" s="3158">
        <f t="shared" si="4"/>
        <v>1</v>
      </c>
      <c r="AC35" s="3158">
        <f t="shared" si="5"/>
        <v>1</v>
      </c>
    </row>
    <row r="36" spans="1:29" ht="15">
      <c r="A36" s="1773"/>
      <c r="B36" s="1696" t="s">
        <v>2288</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4"/>
      <c r="M36" s="3000"/>
      <c r="N36" s="3000"/>
      <c r="O36" s="3000"/>
      <c r="P36" s="3437"/>
      <c r="Q36" s="3159" t="str">
        <f t="shared" si="11"/>
        <v>公共部分装修</v>
      </c>
      <c r="R36" s="1726" t="s">
        <v>28</v>
      </c>
      <c r="S36" s="1727">
        <f t="shared" si="12"/>
        <v>100</v>
      </c>
      <c r="T36" s="1726" t="s">
        <v>28</v>
      </c>
      <c r="U36" s="1727">
        <f t="shared" si="13"/>
        <v>100</v>
      </c>
      <c r="V36" s="1726" t="s">
        <v>28</v>
      </c>
      <c r="W36" s="1727">
        <f t="shared" si="14"/>
        <v>100</v>
      </c>
      <c r="X36" s="3161"/>
      <c r="Y36" s="3439"/>
      <c r="Z36" s="3162" t="str">
        <f t="shared" si="15"/>
        <v>公共部分装修</v>
      </c>
      <c r="AA36" s="3158">
        <f t="shared" si="3"/>
        <v>1</v>
      </c>
      <c r="AB36" s="3158">
        <f t="shared" si="4"/>
        <v>1</v>
      </c>
      <c r="AC36" s="3158">
        <f t="shared" si="5"/>
        <v>1</v>
      </c>
    </row>
    <row r="37" spans="1:29" s="1685" customFormat="1" ht="15">
      <c r="A37" s="1776"/>
      <c r="B37" s="1696" t="s">
        <v>2289</v>
      </c>
      <c r="C37" s="1777">
        <v>1</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37"/>
      <c r="Q37" s="3155" t="str">
        <f t="shared" si="11"/>
        <v>成新度</v>
      </c>
      <c r="R37" s="1681" t="s">
        <v>28</v>
      </c>
      <c r="S37" s="1682">
        <f t="shared" si="12"/>
        <v>98</v>
      </c>
      <c r="T37" s="1681" t="s">
        <v>28</v>
      </c>
      <c r="U37" s="1682">
        <f t="shared" si="13"/>
        <v>98</v>
      </c>
      <c r="V37" s="1681" t="s">
        <v>28</v>
      </c>
      <c r="W37" s="1682">
        <f t="shared" si="14"/>
        <v>98</v>
      </c>
      <c r="X37" s="1683"/>
      <c r="Y37" s="3439"/>
      <c r="Z37" s="1694" t="str">
        <f t="shared" si="15"/>
        <v>成新度</v>
      </c>
      <c r="AA37" s="1684">
        <f t="shared" si="3"/>
        <v>1.0204081632653061</v>
      </c>
      <c r="AB37" s="1684">
        <f t="shared" si="4"/>
        <v>1.0204081632653061</v>
      </c>
      <c r="AC37" s="1684">
        <f t="shared" si="5"/>
        <v>1.0204081632653061</v>
      </c>
    </row>
    <row r="38" spans="1:29" ht="15">
      <c r="A38" s="1773"/>
      <c r="B38" s="1696" t="s">
        <v>2290</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4"/>
      <c r="M38" s="3000"/>
      <c r="N38" s="3000"/>
      <c r="O38" s="3000"/>
      <c r="P38" s="3437" t="s">
        <v>2284</v>
      </c>
      <c r="Q38" s="3159" t="str">
        <f t="shared" si="11"/>
        <v>物业管理</v>
      </c>
      <c r="R38" s="1726" t="s">
        <v>28</v>
      </c>
      <c r="S38" s="1727">
        <f t="shared" si="12"/>
        <v>100</v>
      </c>
      <c r="T38" s="1726" t="s">
        <v>28</v>
      </c>
      <c r="U38" s="1727">
        <f t="shared" si="13"/>
        <v>100</v>
      </c>
      <c r="V38" s="1726" t="s">
        <v>28</v>
      </c>
      <c r="W38" s="1727">
        <f t="shared" si="14"/>
        <v>100</v>
      </c>
      <c r="X38" s="3161"/>
      <c r="Y38" s="3439" t="s">
        <v>2284</v>
      </c>
      <c r="Z38" s="3162" t="str">
        <f t="shared" si="15"/>
        <v>物业管理</v>
      </c>
      <c r="AA38" s="3158">
        <f t="shared" si="3"/>
        <v>1</v>
      </c>
      <c r="AB38" s="3158">
        <f t="shared" si="4"/>
        <v>1</v>
      </c>
      <c r="AC38" s="3158">
        <f t="shared" si="5"/>
        <v>1</v>
      </c>
    </row>
    <row r="39" spans="1:29" ht="15">
      <c r="A39" s="1773"/>
      <c r="B39" s="1696" t="s">
        <v>2291</v>
      </c>
      <c r="C39" s="1756" t="s">
        <v>2918</v>
      </c>
      <c r="D39" s="1712">
        <v>100</v>
      </c>
      <c r="E39" s="1754" t="s">
        <v>2918</v>
      </c>
      <c r="F39" s="1755">
        <f>SUMIF(116:116,E39,117:117)-SUMIF(116:116,C39,117:117)+100</f>
        <v>100</v>
      </c>
      <c r="G39" s="1756" t="s">
        <v>2918</v>
      </c>
      <c r="H39" s="1712">
        <f>SUMIF(116:116,G39,117:117)-SUMIF(116:116,C39,117:117)+100</f>
        <v>100</v>
      </c>
      <c r="I39" s="1754" t="s">
        <v>2918</v>
      </c>
      <c r="J39" s="1712">
        <f>SUMIF(116:116,I39,117:117)-SUMIF(116:116,C39,117:117)+100</f>
        <v>100</v>
      </c>
      <c r="K39" s="1701"/>
      <c r="L39" s="3004"/>
      <c r="M39" s="3000"/>
      <c r="N39" s="3000"/>
      <c r="O39" s="3000"/>
      <c r="P39" s="3437"/>
      <c r="Q39" s="3159" t="str">
        <f t="shared" si="11"/>
        <v>市政基础设施</v>
      </c>
      <c r="R39" s="1726" t="s">
        <v>28</v>
      </c>
      <c r="S39" s="1727">
        <f t="shared" si="12"/>
        <v>100</v>
      </c>
      <c r="T39" s="1726" t="s">
        <v>28</v>
      </c>
      <c r="U39" s="1727">
        <f t="shared" si="13"/>
        <v>100</v>
      </c>
      <c r="V39" s="1726" t="s">
        <v>28</v>
      </c>
      <c r="W39" s="1727">
        <f t="shared" si="14"/>
        <v>100</v>
      </c>
      <c r="X39" s="3161"/>
      <c r="Y39" s="3439"/>
      <c r="Z39" s="3162" t="str">
        <f t="shared" si="15"/>
        <v>市政基础设施</v>
      </c>
      <c r="AA39" s="3158">
        <f t="shared" si="3"/>
        <v>1</v>
      </c>
      <c r="AB39" s="3158">
        <f t="shared" si="4"/>
        <v>1</v>
      </c>
      <c r="AC39" s="3158">
        <f t="shared" si="5"/>
        <v>1</v>
      </c>
    </row>
    <row r="40" spans="1:29" ht="15">
      <c r="A40" s="1773"/>
      <c r="B40" s="1696" t="s">
        <v>2292</v>
      </c>
      <c r="C40" s="1756" t="s">
        <v>2934</v>
      </c>
      <c r="D40" s="1712">
        <v>100</v>
      </c>
      <c r="E40" s="1754" t="s">
        <v>2934</v>
      </c>
      <c r="F40" s="1755">
        <f>SUMIF(118:118,E40,119:119)-SUMIF(118:118,C40,119:119)+100</f>
        <v>100</v>
      </c>
      <c r="G40" s="1756" t="s">
        <v>2934</v>
      </c>
      <c r="H40" s="1712">
        <f>SUMIF(118:118,G40,119:119)-SUMIF(118:118,C40,119:119)+100</f>
        <v>100</v>
      </c>
      <c r="I40" s="1754" t="s">
        <v>2934</v>
      </c>
      <c r="J40" s="1712">
        <f>SUMIF(118:118,I40,119:119)-SUMIF(118:118,C40,119:119)+100</f>
        <v>100</v>
      </c>
      <c r="K40" s="1701"/>
      <c r="L40" s="3004"/>
      <c r="M40" s="3000"/>
      <c r="N40" s="3000"/>
      <c r="O40" s="3000"/>
      <c r="P40" s="3437"/>
      <c r="Q40" s="3159" t="str">
        <f t="shared" si="11"/>
        <v>房型</v>
      </c>
      <c r="R40" s="1726" t="s">
        <v>28</v>
      </c>
      <c r="S40" s="1727">
        <f t="shared" si="12"/>
        <v>100</v>
      </c>
      <c r="T40" s="1726" t="s">
        <v>28</v>
      </c>
      <c r="U40" s="1727">
        <f t="shared" si="13"/>
        <v>100</v>
      </c>
      <c r="V40" s="1726" t="s">
        <v>28</v>
      </c>
      <c r="W40" s="1727">
        <f t="shared" si="14"/>
        <v>100</v>
      </c>
      <c r="X40" s="3161"/>
      <c r="Y40" s="3439"/>
      <c r="Z40" s="3162" t="str">
        <f t="shared" si="15"/>
        <v>房型</v>
      </c>
      <c r="AA40" s="3158">
        <f t="shared" si="3"/>
        <v>1</v>
      </c>
      <c r="AB40" s="3158">
        <f t="shared" si="4"/>
        <v>1</v>
      </c>
      <c r="AC40" s="3158">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7"/>
      <c r="Q41" s="1767" t="str">
        <f t="shared" si="11"/>
        <v>单套/主力户型建筑面积</v>
      </c>
      <c r="R41" s="1768" t="s">
        <v>28</v>
      </c>
      <c r="S41" s="1769">
        <f t="shared" si="12"/>
        <v>100</v>
      </c>
      <c r="T41" s="1768" t="s">
        <v>28</v>
      </c>
      <c r="U41" s="1769">
        <f t="shared" si="13"/>
        <v>100</v>
      </c>
      <c r="V41" s="1768" t="s">
        <v>28</v>
      </c>
      <c r="W41" s="1769">
        <f t="shared" si="14"/>
        <v>100</v>
      </c>
      <c r="X41" s="1770"/>
      <c r="Y41" s="3439"/>
      <c r="Z41" s="1771" t="str">
        <f t="shared" si="15"/>
        <v>单套/主力户型建筑面积</v>
      </c>
      <c r="AA41" s="3158">
        <f t="shared" si="3"/>
        <v>1</v>
      </c>
      <c r="AB41" s="3158">
        <f t="shared" si="4"/>
        <v>1</v>
      </c>
      <c r="AC41" s="3158">
        <f t="shared" si="5"/>
        <v>1</v>
      </c>
    </row>
    <row r="42" spans="1:29" ht="15.75" thickBot="1">
      <c r="A42" s="1773"/>
      <c r="B42" s="1696" t="s">
        <v>2294</v>
      </c>
      <c r="C42" s="1756" t="s">
        <v>2937</v>
      </c>
      <c r="D42" s="1712">
        <v>100</v>
      </c>
      <c r="E42" s="1754" t="s">
        <v>2929</v>
      </c>
      <c r="F42" s="1755">
        <f>SUMIF(122:122,E42,123:123)-SUMIF(122:122,C42,123:123)+100</f>
        <v>103</v>
      </c>
      <c r="G42" s="1756" t="s">
        <v>2929</v>
      </c>
      <c r="H42" s="1712">
        <f>SUMIF(122:122,G42,123:123)-SUMIF(122:122,C42,123:123)+100</f>
        <v>103</v>
      </c>
      <c r="I42" s="1754" t="s">
        <v>2929</v>
      </c>
      <c r="J42" s="1712">
        <f>SUMIF(122:122,I42,123:123)-SUMIF(122:122,C42,123:123)+100</f>
        <v>103</v>
      </c>
      <c r="K42" s="1701">
        <v>1.5</v>
      </c>
      <c r="L42" s="3004"/>
      <c r="M42" s="3000"/>
      <c r="N42" s="3000"/>
      <c r="O42" s="3000"/>
      <c r="P42" s="3437"/>
      <c r="Q42" s="3159" t="str">
        <f t="shared" si="11"/>
        <v>内部装修</v>
      </c>
      <c r="R42" s="1726" t="s">
        <v>28</v>
      </c>
      <c r="S42" s="1727">
        <f t="shared" si="12"/>
        <v>103</v>
      </c>
      <c r="T42" s="1726" t="s">
        <v>28</v>
      </c>
      <c r="U42" s="1727">
        <f t="shared" si="13"/>
        <v>103</v>
      </c>
      <c r="V42" s="1726" t="s">
        <v>28</v>
      </c>
      <c r="W42" s="1727">
        <f t="shared" si="14"/>
        <v>103</v>
      </c>
      <c r="X42" s="3161"/>
      <c r="Y42" s="3439"/>
      <c r="Z42" s="3162" t="str">
        <f t="shared" si="15"/>
        <v>内部装修</v>
      </c>
      <c r="AA42" s="3158">
        <f t="shared" si="3"/>
        <v>0.970873786407767</v>
      </c>
      <c r="AB42" s="3158">
        <f t="shared" si="4"/>
        <v>0.970873786407767</v>
      </c>
      <c r="AC42" s="3158">
        <f t="shared" si="5"/>
        <v>0.970873786407767</v>
      </c>
    </row>
    <row r="43" spans="1:29" ht="15.75" hidden="1" thickBot="1">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37"/>
      <c r="Q43" s="3159" t="str">
        <f t="shared" si="11"/>
        <v>内部装修维护情况</v>
      </c>
      <c r="R43" s="1726" t="s">
        <v>28</v>
      </c>
      <c r="S43" s="1727">
        <f t="shared" si="12"/>
        <v>100</v>
      </c>
      <c r="T43" s="1726" t="s">
        <v>28</v>
      </c>
      <c r="U43" s="1727">
        <f t="shared" si="13"/>
        <v>100</v>
      </c>
      <c r="V43" s="1726" t="s">
        <v>28</v>
      </c>
      <c r="W43" s="1727">
        <f t="shared" si="14"/>
        <v>100</v>
      </c>
      <c r="X43" s="3161"/>
      <c r="Y43" s="3439"/>
      <c r="Z43" s="3162" t="str">
        <f t="shared" si="15"/>
        <v>内部装修维护情况</v>
      </c>
      <c r="AA43" s="3158">
        <f t="shared" si="3"/>
        <v>1</v>
      </c>
      <c r="AB43" s="3158">
        <f t="shared" si="4"/>
        <v>1</v>
      </c>
      <c r="AC43" s="3158">
        <f t="shared" si="5"/>
        <v>1</v>
      </c>
    </row>
    <row r="44" spans="1:29" s="1685" customFormat="1" ht="15.75" hidden="1" thickBot="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37"/>
      <c r="Q44" s="3155">
        <f t="shared" si="11"/>
        <v>111</v>
      </c>
      <c r="R44" s="1681" t="s">
        <v>28</v>
      </c>
      <c r="S44" s="1682">
        <f t="shared" si="12"/>
        <v>100</v>
      </c>
      <c r="T44" s="1681" t="s">
        <v>28</v>
      </c>
      <c r="U44" s="1682">
        <f t="shared" si="13"/>
        <v>100</v>
      </c>
      <c r="V44" s="1681" t="s">
        <v>28</v>
      </c>
      <c r="W44" s="1682">
        <f t="shared" si="14"/>
        <v>100</v>
      </c>
      <c r="X44" s="1683"/>
      <c r="Y44" s="3439"/>
      <c r="Z44" s="1694">
        <f t="shared" si="15"/>
        <v>111</v>
      </c>
      <c r="AA44" s="1684">
        <f t="shared" si="3"/>
        <v>1</v>
      </c>
      <c r="AB44" s="1684">
        <f t="shared" si="4"/>
        <v>1</v>
      </c>
      <c r="AC44" s="1684">
        <f t="shared" si="5"/>
        <v>1</v>
      </c>
    </row>
    <row r="45" spans="1:29" ht="15.75" hidden="1" thickBot="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7"/>
      <c r="Q45" s="3159">
        <f t="shared" si="11"/>
        <v>111</v>
      </c>
      <c r="R45" s="1726" t="s">
        <v>28</v>
      </c>
      <c r="S45" s="1727">
        <f t="shared" si="12"/>
        <v>100</v>
      </c>
      <c r="T45" s="1726" t="s">
        <v>28</v>
      </c>
      <c r="U45" s="1727">
        <f t="shared" si="13"/>
        <v>100</v>
      </c>
      <c r="V45" s="1726" t="s">
        <v>28</v>
      </c>
      <c r="W45" s="1727">
        <f t="shared" si="14"/>
        <v>100</v>
      </c>
      <c r="X45" s="3161"/>
      <c r="Y45" s="3439"/>
      <c r="Z45" s="3162">
        <f t="shared" si="15"/>
        <v>111</v>
      </c>
      <c r="AA45" s="3158">
        <f t="shared" si="3"/>
        <v>1</v>
      </c>
      <c r="AB45" s="3158">
        <f t="shared" si="4"/>
        <v>1</v>
      </c>
      <c r="AC45" s="3158">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8"/>
      <c r="Q46" s="3159">
        <f t="shared" si="11"/>
        <v>111</v>
      </c>
      <c r="R46" s="1726" t="s">
        <v>27</v>
      </c>
      <c r="S46" s="1727">
        <f t="shared" si="12"/>
        <v>100</v>
      </c>
      <c r="T46" s="1726" t="s">
        <v>27</v>
      </c>
      <c r="U46" s="1727">
        <f t="shared" si="13"/>
        <v>100</v>
      </c>
      <c r="V46" s="1726" t="s">
        <v>27</v>
      </c>
      <c r="W46" s="1727">
        <f t="shared" si="14"/>
        <v>100</v>
      </c>
      <c r="X46" s="3161"/>
      <c r="Y46" s="3440"/>
      <c r="Z46" s="3162">
        <f t="shared" si="15"/>
        <v>111</v>
      </c>
      <c r="AA46" s="3158">
        <f t="shared" si="3"/>
        <v>1</v>
      </c>
      <c r="AB46" s="3158">
        <f t="shared" si="4"/>
        <v>1</v>
      </c>
      <c r="AC46" s="3158">
        <f t="shared" si="5"/>
        <v>1</v>
      </c>
    </row>
    <row r="47" spans="1:29" ht="15">
      <c r="A47" s="1782" t="s">
        <v>2296</v>
      </c>
      <c r="B47" s="1783"/>
      <c r="C47" s="1784" t="s">
        <v>26</v>
      </c>
      <c r="D47" s="1785"/>
      <c r="E47" s="1786">
        <v>40507</v>
      </c>
      <c r="F47" s="1787"/>
      <c r="G47" s="1788">
        <v>36864</v>
      </c>
      <c r="H47" s="1789"/>
      <c r="I47" s="1786">
        <v>41795</v>
      </c>
      <c r="J47" s="1789"/>
      <c r="K47" s="1790"/>
      <c r="L47" s="3005"/>
      <c r="N47" s="3000"/>
      <c r="P47" s="3431" t="str">
        <f>A47</f>
        <v>成交单价（元/平方米）</v>
      </c>
      <c r="Q47" s="3431"/>
      <c r="R47" s="3427">
        <f>E47</f>
        <v>40507</v>
      </c>
      <c r="S47" s="3427"/>
      <c r="T47" s="3427">
        <f>G47</f>
        <v>36864</v>
      </c>
      <c r="U47" s="3427"/>
      <c r="V47" s="3427">
        <f>I47</f>
        <v>41795</v>
      </c>
      <c r="W47" s="3427"/>
      <c r="X47" s="1792"/>
      <c r="Y47" s="3160"/>
      <c r="Z47" s="1792"/>
      <c r="AA47" s="1792"/>
      <c r="AB47" s="1792"/>
      <c r="AC47" s="1792"/>
    </row>
    <row r="48" spans="1:29" ht="15.75" thickBot="1">
      <c r="A48" s="1794" t="s">
        <v>2297</v>
      </c>
      <c r="B48" s="1795"/>
      <c r="C48" s="1796">
        <f>R49</f>
        <v>39074</v>
      </c>
      <c r="D48" s="1797" t="s">
        <v>2754</v>
      </c>
      <c r="E48" s="1798">
        <f>R48</f>
        <v>39693</v>
      </c>
      <c r="F48" s="1799"/>
      <c r="G48" s="1796">
        <f>T48</f>
        <v>36123</v>
      </c>
      <c r="H48" s="1799"/>
      <c r="I48" s="1798">
        <f>V48</f>
        <v>41406</v>
      </c>
      <c r="J48" s="1799"/>
      <c r="K48" s="2514">
        <f>F48+H48+J48</f>
        <v>0</v>
      </c>
      <c r="L48" s="3005"/>
      <c r="P48" s="3431" t="str">
        <f>A48</f>
        <v>比较价值（元/平方米）</v>
      </c>
      <c r="Q48" s="3431"/>
      <c r="R48" s="3427">
        <f>IF(E1="售价",ROUND(PRODUCT(R47,AA7:AA46),0),ROUND(PRODUCT(R47,AA7:AA46),1))</f>
        <v>39693</v>
      </c>
      <c r="S48" s="3427"/>
      <c r="T48" s="3425">
        <f>IF(E1="售价",ROUND(PRODUCT(T47,AB7:AB46),0),ROUND(PRODUCT(T47,AB7:AB46),1))</f>
        <v>36123</v>
      </c>
      <c r="U48" s="3426"/>
      <c r="V48" s="3427">
        <f>IF(E1="售价",ROUND(PRODUCT(V47,AC7:AC46),0),ROUND(PRODUCT(V47,AC7:AC46),1))</f>
        <v>41406</v>
      </c>
      <c r="W48" s="3427"/>
      <c r="X48" s="1792"/>
      <c r="Y48" s="1792"/>
      <c r="Z48" s="1792"/>
      <c r="AA48" s="1792"/>
      <c r="AB48" s="1792"/>
      <c r="AC48" s="1792"/>
    </row>
    <row r="49" spans="1:29" ht="15.75" thickBot="1">
      <c r="A49" s="1800" t="s">
        <v>2298</v>
      </c>
      <c r="B49" s="1801"/>
      <c r="C49" s="1802">
        <f>R49</f>
        <v>39074</v>
      </c>
      <c r="D49" s="1803"/>
      <c r="E49" s="1803"/>
      <c r="F49" s="1803"/>
      <c r="G49" s="1803"/>
      <c r="H49" s="1803"/>
      <c r="I49" s="1803"/>
      <c r="J49" s="1803"/>
      <c r="K49" s="1804"/>
      <c r="L49" s="3005"/>
      <c r="P49" s="3428" t="str">
        <f>A49</f>
        <v>估价对象XX用房的比较价值（楼面单价，元/平方米）</v>
      </c>
      <c r="Q49" s="3429"/>
      <c r="R49" s="3430">
        <f>IF(E1="售价",ROUND(IF(D48="简单平均",AVERAGE(R48:V48),R48*F48+T48*H48+V48*J48),0),ROUND(IF(D48="简单平均",AVERAGE(R48:V48),R48*F48+T48*H48+V48*J48),1))</f>
        <v>39074</v>
      </c>
      <c r="S49" s="3430"/>
      <c r="T49" s="3430"/>
      <c r="U49" s="3430"/>
      <c r="V49" s="3430"/>
      <c r="W49" s="3430"/>
      <c r="X49" s="1792"/>
      <c r="Y49" s="1792"/>
      <c r="Z49" s="1792"/>
      <c r="AA49" s="1792"/>
      <c r="AB49" s="1792"/>
      <c r="AC49" s="1792"/>
    </row>
    <row r="50" spans="1:29">
      <c r="G50" s="3009"/>
    </row>
    <row r="52" spans="1:29" ht="13.5" customHeight="1">
      <c r="C52" s="383" t="s">
        <v>2299</v>
      </c>
      <c r="D52" s="1808"/>
      <c r="E52" s="1809">
        <f>IF(E47&lt;E48,E48/E47-1,E47/E48-1)</f>
        <v>2.0507394250875555E-2</v>
      </c>
      <c r="F52" s="1810" t="str">
        <f>IF(OR(E52&gt;=0.3,E52&lt;=-0.3),"超过30%","")</f>
        <v/>
      </c>
      <c r="G52" s="1809">
        <f>IF(G47&lt;G48,G48/G47-1,G47/G48-1)</f>
        <v>2.0513246408105701E-2</v>
      </c>
      <c r="H52" s="1810" t="str">
        <f>IF(OR(G52&gt;=0.3,G52&lt;=-0.3),"超过30%","")</f>
        <v/>
      </c>
      <c r="I52" s="1809">
        <f>IF(I47&lt;I48,I48/I47-1,I47/I48-1)</f>
        <v>9.3947737042940904E-3</v>
      </c>
      <c r="J52" s="1810" t="str">
        <f>IF(OR(I52&gt;=0.3,I52&lt;=-0.3),"超过30%","")</f>
        <v/>
      </c>
    </row>
    <row r="53" spans="1:29" ht="13.5" customHeight="1">
      <c r="C53" s="383" t="s">
        <v>2300</v>
      </c>
      <c r="D53" s="1811"/>
      <c r="E53" s="1809">
        <f>IF(E48&lt;G48,G48/E48-1,E48/G48-1)</f>
        <v>9.8829000913545295E-2</v>
      </c>
      <c r="F53" s="1810" t="str">
        <f>IF(OR(E53&gt;=0.2,E53&lt;=-0.2),"超过20%","")</f>
        <v/>
      </c>
      <c r="G53" s="1809">
        <f>IF(G48&lt;I48,I48/G48-1,G48/I48-1)</f>
        <v>0.14625031143592726</v>
      </c>
      <c r="H53" s="1810" t="str">
        <f>IF(OR(G53&gt;=0.2,G53&lt;=-0.2),"超过20%","")</f>
        <v/>
      </c>
      <c r="I53" s="1809">
        <f>IF(I48&lt;E48,E48/I48-1,I48/E48-1)</f>
        <v>4.3156224019348599E-2</v>
      </c>
      <c r="J53" s="1810" t="str">
        <f>IF(OR(I53&gt;=0.2,I53&lt;=-0.2),"超过20%","")</f>
        <v/>
      </c>
    </row>
    <row r="54" spans="1:29" s="1814" customFormat="1" ht="13.5" customHeight="1">
      <c r="C54" s="383" t="s">
        <v>2301</v>
      </c>
      <c r="D54" s="1811"/>
      <c r="E54" s="1809">
        <f>IF(E47&lt;G47,G47/E47-1,E47/G47-1)</f>
        <v>9.8822699652777679E-2</v>
      </c>
      <c r="F54" s="1810" t="str">
        <f>IF(OR(E54&gt;=0.3,E54&lt;=-0.3),"超过30%","")</f>
        <v/>
      </c>
      <c r="G54" s="1809">
        <f>IF(G47&lt;I47,I47/G47-1,G47/I47-1)</f>
        <v>0.13376193576388884</v>
      </c>
      <c r="H54" s="1810" t="str">
        <f>IF(OR(G54&gt;=0.3,G54&lt;=-0.3),"超过30%","")</f>
        <v/>
      </c>
      <c r="I54" s="1809">
        <f>IF(I47&lt;E47,E47/I47-1,I47/E47-1)</f>
        <v>3.1796973362628655E-2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t="s">
        <v>2921</v>
      </c>
      <c r="D100" s="1850" t="s">
        <v>2923</v>
      </c>
      <c r="E100" s="3154" t="s">
        <v>2942</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98.9</v>
      </c>
      <c r="E101" s="1863">
        <f t="shared" si="22"/>
        <v>97.800000000000011</v>
      </c>
      <c r="F101" s="1863">
        <f t="shared" si="22"/>
        <v>96.700000000000017</v>
      </c>
      <c r="G101" s="1863">
        <f t="shared" si="22"/>
        <v>95.600000000000023</v>
      </c>
      <c r="H101" s="1863">
        <f t="shared" si="22"/>
        <v>94.500000000000028</v>
      </c>
      <c r="I101" s="1863">
        <f t="shared" si="22"/>
        <v>93.400000000000034</v>
      </c>
      <c r="J101" s="1863">
        <f t="shared" si="22"/>
        <v>92.30000000000004</v>
      </c>
      <c r="K101" s="1863">
        <f t="shared" si="22"/>
        <v>91.200000000000045</v>
      </c>
      <c r="L101" s="1863">
        <f t="shared" si="22"/>
        <v>90.100000000000051</v>
      </c>
      <c r="M101" s="1863">
        <f t="shared" si="22"/>
        <v>89.000000000000057</v>
      </c>
      <c r="N101" s="1858"/>
      <c r="O101" s="1858"/>
      <c r="P101" s="1853"/>
      <c r="Q101" s="1822"/>
    </row>
    <row r="102" spans="1:17" ht="15.75" thickTop="1">
      <c r="A102" s="1854"/>
      <c r="B102" s="1859" t="s">
        <v>2332</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t="s">
        <v>2924</v>
      </c>
      <c r="D105" s="468" t="s">
        <v>2926</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2337</v>
      </c>
      <c r="C114" s="468"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t="s">
        <v>2935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t="s">
        <v>2930</v>
      </c>
      <c r="D122" s="468" t="s">
        <v>2936</v>
      </c>
      <c r="E122" s="3153" t="s">
        <v>2938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25" priority="18" stopIfTrue="1" operator="containsText" text="超过">
      <formula>NOT(ISERROR(SEARCH("超过",F52)))</formula>
    </cfRule>
  </conditionalFormatting>
  <conditionalFormatting sqref="J54">
    <cfRule type="containsText" dxfId="24" priority="17" stopIfTrue="1" operator="containsText" text="超过">
      <formula>NOT(ISERROR(SEARCH("超过",J54)))</formula>
    </cfRule>
  </conditionalFormatting>
  <conditionalFormatting sqref="H54">
    <cfRule type="containsText" dxfId="23" priority="16" stopIfTrue="1" operator="containsText" text="超过">
      <formula>NOT(ISERROR(SEARCH("超过",H54)))</formula>
    </cfRule>
  </conditionalFormatting>
  <conditionalFormatting sqref="F54">
    <cfRule type="containsText" dxfId="22" priority="15" stopIfTrue="1" operator="containsText" text="超过">
      <formula>NOT(ISERROR(SEARCH("超过",F54)))</formula>
    </cfRule>
  </conditionalFormatting>
  <conditionalFormatting sqref="F53 H53 J53">
    <cfRule type="containsText" dxfId="21" priority="14" stopIfTrue="1" operator="containsText" text="超过">
      <formula>NOT(ISERROR(SEARCH("超过",F53)))</formula>
    </cfRule>
  </conditionalFormatting>
  <conditionalFormatting sqref="E52">
    <cfRule type="expression" dxfId="20" priority="13" stopIfTrue="1">
      <formula>$F$52="超过30%"</formula>
    </cfRule>
  </conditionalFormatting>
  <conditionalFormatting sqref="G54">
    <cfRule type="expression" dxfId="19" priority="12" stopIfTrue="1">
      <formula>$H$54="超过30%"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2">
    <cfRule type="expression" dxfId="16" priority="9" stopIfTrue="1">
      <formula>$H$52="超过30%"</formula>
    </cfRule>
  </conditionalFormatting>
  <conditionalFormatting sqref="G53">
    <cfRule type="expression" dxfId="15" priority="8" stopIfTrue="1">
      <formula>$H$53="超过20%"</formula>
    </cfRule>
  </conditionalFormatting>
  <conditionalFormatting sqref="I52">
    <cfRule type="expression" dxfId="14" priority="7" stopIfTrue="1">
      <formula>$J$52="超过30%"</formula>
    </cfRule>
  </conditionalFormatting>
  <conditionalFormatting sqref="I53">
    <cfRule type="expression" dxfId="13" priority="6" stopIfTrue="1">
      <formula>$J$53="超过20%"</formula>
    </cfRule>
  </conditionalFormatting>
  <conditionalFormatting sqref="I54">
    <cfRule type="expression" dxfId="12" priority="5" stopIfTrue="1">
      <formula>$J$54="超过30%"</formula>
    </cfRule>
  </conditionalFormatting>
  <conditionalFormatting sqref="F48">
    <cfRule type="expression" dxfId="11" priority="4">
      <formula>$D$48="简单平均"</formula>
    </cfRule>
  </conditionalFormatting>
  <conditionalFormatting sqref="H48">
    <cfRule type="expression" dxfId="10" priority="3">
      <formula>$D$48="简单平均"</formula>
    </cfRule>
  </conditionalFormatting>
  <conditionalFormatting sqref="J48">
    <cfRule type="expression" dxfId="9" priority="2">
      <formula>$D$48="简单平均"</formula>
    </cfRule>
  </conditionalFormatting>
  <conditionalFormatting sqref="F7:F46 H7:H46 J7:J46">
    <cfRule type="cellIs" dxfId="8"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
  <sheetViews>
    <sheetView workbookViewId="0">
      <selection activeCell="Q39" sqref="Q39"/>
    </sheetView>
  </sheetViews>
  <sheetFormatPr defaultRowHeight="13.5"/>
  <sheetData>
    <row r="24" spans="1:1">
      <c r="A24" s="3163"/>
    </row>
  </sheetData>
  <phoneticPr fontId="143"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E71" sqref="E71"/>
    </sheetView>
  </sheetViews>
  <sheetFormatPr defaultColWidth="9" defaultRowHeight="12.75"/>
  <cols>
    <col min="1" max="1" width="9.87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8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0</v>
      </c>
      <c r="C2" s="2108" t="s">
        <v>2513</v>
      </c>
      <c r="D2" s="1602" t="s">
        <v>2514</v>
      </c>
      <c r="E2" s="2109" t="s">
        <v>2903</v>
      </c>
      <c r="F2" s="1602" t="s">
        <v>2515</v>
      </c>
      <c r="G2" s="2110" t="str">
        <f>项目基本情况!F9</f>
        <v>八级</v>
      </c>
      <c r="H2" s="1603" t="s">
        <v>2516</v>
      </c>
      <c r="I2" s="2110" t="str">
        <f>项目基本情况!F10</f>
        <v>Ⅷ-昌1</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1.9419999999999999</v>
      </c>
      <c r="T2" s="2104">
        <f ca="1">ROUND($C$5*$C$18*$C$19*$C$20*S2*$C$24,0)</f>
        <v>26188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t="e">
        <f ca="1">ROUND(B2/D1,0)</f>
        <v>#DIV/0!</v>
      </c>
      <c r="C3" s="2108" t="s">
        <v>2519</v>
      </c>
      <c r="D3" s="1602" t="s">
        <v>2520</v>
      </c>
      <c r="E3" s="2109" t="s">
        <v>2904</v>
      </c>
      <c r="F3" s="1604" t="s">
        <v>2521</v>
      </c>
      <c r="G3" s="2116">
        <f>项目基本情况!C15</f>
        <v>2</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1.2799</v>
      </c>
      <c r="T3" s="2104">
        <f t="shared" ref="T3:T16" ca="1" si="0">ROUND($C$5*$C$18*$C$19*$C$20*S3*$C$24,0)</f>
        <v>17260</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4"/>
      <c r="B4" s="3525"/>
      <c r="C4" s="3525"/>
      <c r="D4" s="3526"/>
      <c r="E4" s="3526"/>
      <c r="F4" s="3526"/>
      <c r="G4" s="3526"/>
      <c r="H4" s="3526"/>
      <c r="I4" s="3526"/>
      <c r="J4" s="3527"/>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1.0072000000000001</v>
      </c>
      <c r="T4" s="2104">
        <f t="shared" ca="1" si="0"/>
        <v>13582</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7677</v>
      </c>
      <c r="D5" s="2119">
        <f>ROUND(C6+C16,0)</f>
        <v>5827</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0.75249999999999995</v>
      </c>
      <c r="T5" s="2104">
        <f t="shared" ca="1" si="0"/>
        <v>10148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5780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0.56589999999999996</v>
      </c>
      <c r="T6" s="2104">
        <f t="shared" ca="1" si="0"/>
        <v>7631</v>
      </c>
      <c r="U6" s="2115"/>
      <c r="V6" s="2104">
        <f t="shared" ca="1" si="1"/>
        <v>0</v>
      </c>
      <c r="W6" s="2105"/>
      <c r="X6" s="2105"/>
      <c r="Y6" s="2105"/>
      <c r="Z6" s="2105"/>
      <c r="AA6" s="2105"/>
      <c r="AB6" s="2105"/>
      <c r="AC6" s="2122"/>
      <c r="AD6" s="2123"/>
      <c r="AE6" s="2123"/>
      <c r="AF6" s="2123"/>
      <c r="AG6" s="2123"/>
      <c r="AH6" s="2123"/>
      <c r="AI6" s="2123"/>
      <c r="AJ6" s="2124"/>
    </row>
    <row r="7" spans="1:36" ht="24">
      <c r="A7" s="3528"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0.45250000000000001</v>
      </c>
      <c r="T7" s="2104">
        <f t="shared" ca="1" si="0"/>
        <v>6102</v>
      </c>
      <c r="U7" s="2115"/>
      <c r="V7" s="2104">
        <f t="shared" ca="1" si="1"/>
        <v>0</v>
      </c>
      <c r="W7" s="2136" t="s">
        <v>2535</v>
      </c>
      <c r="X7" s="2137" t="str">
        <f>G2</f>
        <v>八级</v>
      </c>
      <c r="Y7" s="2137" t="s">
        <v>2536</v>
      </c>
      <c r="Z7" s="2138">
        <f>G3</f>
        <v>2</v>
      </c>
      <c r="AA7" s="2105"/>
      <c r="AB7" s="2105"/>
      <c r="AC7" s="2105"/>
      <c r="AD7" s="2106"/>
      <c r="AE7" s="2106"/>
      <c r="AF7" s="2106"/>
      <c r="AG7" s="2106"/>
      <c r="AH7" s="2106"/>
      <c r="AI7" s="2106"/>
      <c r="AJ7" s="2107"/>
    </row>
    <row r="8" spans="1:36" ht="15">
      <c r="A8" s="3529"/>
      <c r="B8" s="50" t="s">
        <v>2537</v>
      </c>
      <c r="C8" s="2139"/>
      <c r="D8" s="65" t="s">
        <v>89</v>
      </c>
      <c r="E8" s="2140" t="e">
        <f>ROUND(C11/E7,4)</f>
        <v>#DIV/0!</v>
      </c>
      <c r="F8" s="2141" t="s">
        <v>2538</v>
      </c>
      <c r="G8" s="2142"/>
      <c r="H8" s="2142"/>
      <c r="I8" s="2142"/>
      <c r="J8" s="2143"/>
      <c r="K8" s="3052"/>
      <c r="L8" s="2112" t="s">
        <v>2539</v>
      </c>
      <c r="M8" s="2113">
        <f>SUMPRODUCT((区片价!B206:B244=I2)*(区片价!C3:F3=E2)*(区片价!C206:F244))</f>
        <v>5780</v>
      </c>
      <c r="N8" s="2114">
        <f>SUMPRODUCT((因素修正幅度!B206:B244=I2)*(因素修正幅度!C3:F3=E2)*(因素修正幅度!C206:F244))</f>
        <v>0.15</v>
      </c>
      <c r="O8" s="3052"/>
      <c r="P8" s="3052"/>
      <c r="Q8" s="3052"/>
      <c r="R8" s="2104">
        <v>7</v>
      </c>
      <c r="S8" s="2115"/>
      <c r="T8" s="2104">
        <f t="shared" ca="1" si="0"/>
        <v>0</v>
      </c>
      <c r="U8" s="2115"/>
      <c r="V8" s="2104">
        <f t="shared" ca="1" si="1"/>
        <v>0</v>
      </c>
      <c r="W8" s="3522" t="s">
        <v>2540</v>
      </c>
      <c r="X8" s="3523"/>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29"/>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3"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9"/>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2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9"/>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3" t="s">
        <v>2564</v>
      </c>
      <c r="X11" s="2153" t="s">
        <v>2565</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528">
        <f>IF(E2="住宅",2,"")</f>
        <v>2</v>
      </c>
      <c r="B12" s="1609" t="s">
        <v>2566</v>
      </c>
      <c r="C12" s="2131">
        <f>ROUND(C15*D15*E15*F15*G15*H15*I15*J15,4)</f>
        <v>1.32</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3"/>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0"/>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3"/>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530"/>
      <c r="B14" s="1611"/>
      <c r="C14" s="2165" t="s">
        <v>2576</v>
      </c>
      <c r="D14" s="2166" t="s">
        <v>2577</v>
      </c>
      <c r="E14" s="2166" t="s">
        <v>2577</v>
      </c>
      <c r="F14" s="2167" t="s">
        <v>2578</v>
      </c>
      <c r="G14" s="2168" t="s">
        <v>2579</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1"/>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32">
        <f>IF(E2="办公",2,IF(E2="工业",2,IF(E2="住宅",3,IF(E2="商业",IF(C8="不临58条商业街",2,3)))))</f>
        <v>3</v>
      </c>
      <c r="B16" s="1631" t="s">
        <v>2586</v>
      </c>
      <c r="C16" s="1607">
        <f>ROUND(IF(F17="与级别开发程度一致",0,(G17-E17)/C17),0)</f>
        <v>47</v>
      </c>
      <c r="D16" s="3545" t="s">
        <v>2590</v>
      </c>
      <c r="E16" s="3546"/>
      <c r="F16" s="3545" t="s">
        <v>2587</v>
      </c>
      <c r="G16" s="3546"/>
      <c r="H16" s="2175" t="s">
        <v>2907</v>
      </c>
      <c r="I16" s="2175" t="s">
        <v>2908</v>
      </c>
      <c r="J16" s="2176" t="s">
        <v>2909</v>
      </c>
      <c r="K16" s="2175" t="s">
        <v>2910</v>
      </c>
      <c r="L16" s="2175" t="s">
        <v>2911</v>
      </c>
      <c r="M16" s="2175" t="s">
        <v>2912</v>
      </c>
      <c r="N16" s="2175" t="s">
        <v>2913</v>
      </c>
      <c r="O16" s="2177" t="s">
        <v>2914</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33"/>
      <c r="B17" s="1632" t="s">
        <v>2589</v>
      </c>
      <c r="C17" s="2178">
        <f>SUMPRODUCT((修正!A2:A5=E2)*(修正!B1:M1=G2)*(修正!B2:M5))</f>
        <v>1.5</v>
      </c>
      <c r="D17" s="2172" t="str">
        <f>IF(OR(G2="八级",G2="九级",G2="十级",G2="十一级",G2="十二级"),"五通一平","七通一平")</f>
        <v>五通一平</v>
      </c>
      <c r="E17" s="2179">
        <f>SUMPRODUCT((修正!B1:M1=G2)*(修正!B15:M15))</f>
        <v>155</v>
      </c>
      <c r="F17" s="2180" t="s">
        <v>2906</v>
      </c>
      <c r="G17" s="1621">
        <f>SUM(H17:O17)</f>
        <v>225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40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ROUND(IF(H19="按公示增长率计算",SUMPRODUCT((地价!A3:A33=YEAR(G19)&amp;"-"&amp;ROUNDUP(MONTH(G19)/3,0))*(地价!X2:AB2=E2)*(地价!X3:AB33)),IF(H19="地价指数",M20/M19,(1+I19)^O19)),4)</f>
        <v>1.6415999999999999</v>
      </c>
      <c r="D19" s="2190" t="s">
        <v>2596</v>
      </c>
      <c r="E19" s="2191">
        <v>41640</v>
      </c>
      <c r="F19" s="2190" t="s">
        <v>2597</v>
      </c>
      <c r="G19" s="2192">
        <f>'数据-取费表'!B2</f>
        <v>44235</v>
      </c>
      <c r="H19" s="2193" t="s">
        <v>2734</v>
      </c>
      <c r="I19" s="2194" t="str">
        <f>IF(H19="季度增幅（自定义）",SUMIF(N21:N24,E2,O21:O24),"")</f>
        <v/>
      </c>
      <c r="J19" s="2195"/>
      <c r="K19" s="3054"/>
      <c r="L19" s="2076" t="s">
        <v>2598</v>
      </c>
      <c r="M19" s="2196">
        <f>ROUND(SUMIF(地价!B2:F2,E2,地价!B33:F33),0)</f>
        <v>423</v>
      </c>
      <c r="N19" s="2197" t="s">
        <v>2599</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2600</v>
      </c>
      <c r="B20" s="1614" t="s">
        <v>2601</v>
      </c>
      <c r="C20" s="2201">
        <f ca="1">ROUND(POWER(1+G20,J20-I20)*(POWER(1+G20,I20)-1)/(POWER(1+G20,J20)-1),4)</f>
        <v>0.99270000000000003</v>
      </c>
      <c r="D20" s="2202" t="s">
        <v>2602</v>
      </c>
      <c r="E20" s="2203">
        <f ca="1">存贷款利率!D4/100</f>
        <v>4.3499999999999997E-2</v>
      </c>
      <c r="F20" s="2202" t="s">
        <v>2591</v>
      </c>
      <c r="G20" s="2204">
        <f ca="1">SUMIF(M26:P26,E2,M28:P28)</f>
        <v>0.05</v>
      </c>
      <c r="H20" s="2202" t="s">
        <v>2603</v>
      </c>
      <c r="I20" s="2205">
        <f>'数据-取费表'!B13</f>
        <v>66</v>
      </c>
      <c r="J20" s="2206">
        <f>IF(E2="住宅",70,IF(E2="商业",40,50))</f>
        <v>70</v>
      </c>
      <c r="K20" s="3054"/>
      <c r="L20" s="2207" t="s">
        <v>2604</v>
      </c>
      <c r="M20" s="2208">
        <f>ROUND(SUMPRODUCT((地价!A4:A33=YEAR(G19)&amp;"-"&amp;ROUNDUP(MONTH(G19)/3,0))*(地价!B2:F2=E2)*(地价!B4:F33)),0)</f>
        <v>694</v>
      </c>
      <c r="N20" s="2209" t="s">
        <v>2605</v>
      </c>
      <c r="O20" s="2210" t="s">
        <v>2606</v>
      </c>
      <c r="P20" s="2211" t="s">
        <v>2607</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2608</v>
      </c>
      <c r="B21" s="1615" t="s">
        <v>2609</v>
      </c>
      <c r="C21" s="2213">
        <f>IF(B21="容积率修正",IF(G3&lt;=10,D22,J22),C23)</f>
        <v>0.9224</v>
      </c>
      <c r="D21" s="2214"/>
      <c r="E21" s="2214"/>
      <c r="F21" s="2214"/>
      <c r="G21" s="2214"/>
      <c r="H21" s="2214"/>
      <c r="I21" s="2214"/>
      <c r="J21" s="2077"/>
      <c r="K21" s="3054"/>
      <c r="L21" s="3054"/>
      <c r="M21" s="3054"/>
      <c r="N21" s="2215" t="s">
        <v>2610</v>
      </c>
      <c r="O21" s="2216"/>
      <c r="P21" s="2217">
        <f>SUMPRODUCT((地价!A3:A33=YEAR(G19)&amp;"-"&amp;ROUNDUP(MONTH(G19)/3,0))*(地价!AD2:AH2=N21)*(地价!AD3:AH33))</f>
        <v>1.0999999999999999E-2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2611</v>
      </c>
      <c r="C22" s="2072" t="s">
        <v>2612</v>
      </c>
      <c r="D22" s="2072">
        <f>IF(E22=G22,F22,IF(G3&lt;=10,ROUND(F22+(H22-F22)*(G3-E22)/(G22-E22),4),"——"))</f>
        <v>0.9224</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0.9224</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0.9224</v>
      </c>
      <c r="I22" s="2072" t="s">
        <v>104</v>
      </c>
      <c r="J22" s="2218" t="str">
        <f>IF(G3&gt;10,D113,"——")</f>
        <v>——</v>
      </c>
      <c r="K22" s="3054"/>
      <c r="L22" s="3054"/>
      <c r="M22" s="3054"/>
      <c r="N22" s="2215" t="s">
        <v>2613</v>
      </c>
      <c r="O22" s="2216"/>
      <c r="P22" s="2217">
        <f>SUMPRODUCT((地价!A3:A33=YEAR(G19)&amp;"-"&amp;ROUNDUP(MONTH(G19)/3,0))*(地价!AD2:AH2=N22)*(地价!AD3:AH33))</f>
        <v>1.0999999999999999E-2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2614</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2615</v>
      </c>
      <c r="O23" s="2216"/>
      <c r="P23" s="2217">
        <f>SUMPRODUCT((地价!A3:A33=YEAR(G19)&amp;"-"&amp;ROUNDUP(MONTH(G19)/3,0))*(地价!AD2:AH2=N23)*(地价!AD3:AH33))</f>
        <v>1.8499999999999999E-2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2616</v>
      </c>
      <c r="B24" s="1617" t="s">
        <v>2617</v>
      </c>
      <c r="C24" s="2223">
        <f>SUMIF(A46:A88,E2,B46:B88)</f>
        <v>1.0779000000000001</v>
      </c>
      <c r="D24" s="2224"/>
      <c r="E24" s="2225"/>
      <c r="F24" s="2225"/>
      <c r="G24" s="2225"/>
      <c r="H24" s="2225"/>
      <c r="I24" s="2225"/>
      <c r="J24" s="2226"/>
      <c r="K24" s="3054"/>
      <c r="L24" s="3054"/>
      <c r="M24" s="3054"/>
      <c r="N24" s="2227" t="s">
        <v>2618</v>
      </c>
      <c r="O24" s="2228"/>
      <c r="P24" s="2229">
        <f>SUMPRODUCT((地价!A3:A33=YEAR(G19)&amp;"-"&amp;ROUNDUP(MONTH(G19)/3,0))*(地价!AD2:AH2=N24)*(地价!AD3:AH33))</f>
        <v>1.1900000000000001E-2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2"/>
      <c r="L25" s="3052"/>
      <c r="M25" s="3052"/>
      <c r="N25" s="3055" t="s">
        <v>2621</v>
      </c>
      <c r="O25" s="3056"/>
      <c r="P25" s="3057">
        <f>SUMPRODUCT((地价!A3:A33=YEAR(G19)&amp;"-"&amp;ROUNDUP(MONTH(G19)/3,0))*(地价!AD2:AH2=N25)*(地价!AD3:AH33))</f>
        <v>1.6799999999999999E-2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2622</v>
      </c>
      <c r="C26" s="2892">
        <f ca="1">IF(B21="容积率修正",E29+SUM(E33:E39),SUM(V2:V16)+SUM(E33:E39))</f>
        <v>0</v>
      </c>
      <c r="D26" s="2232"/>
      <c r="E26" s="2169"/>
      <c r="F26" s="1478"/>
      <c r="G26" s="2169"/>
      <c r="H26" s="2169"/>
      <c r="I26" s="2169"/>
      <c r="J26" s="2233"/>
      <c r="K26" s="3052"/>
      <c r="L26" s="3058" t="s">
        <v>2581</v>
      </c>
      <c r="M26" s="2132" t="s">
        <v>2582</v>
      </c>
      <c r="N26" s="2132" t="s">
        <v>2583</v>
      </c>
      <c r="O26" s="2132" t="s">
        <v>2584</v>
      </c>
      <c r="P26" s="3059" t="s">
        <v>2585</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2623</v>
      </c>
      <c r="C27" s="2234">
        <f ca="1">E30+SUM(I33:I39)</f>
        <v>0</v>
      </c>
      <c r="D27" s="2181"/>
      <c r="E27" s="2235"/>
      <c r="F27" s="2236"/>
      <c r="G27" s="2235"/>
      <c r="H27" s="2235"/>
      <c r="I27" s="2235"/>
      <c r="J27" s="2237"/>
      <c r="K27" s="3052"/>
      <c r="L27" s="2238" t="s">
        <v>2588</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2"/>
      <c r="L28" s="2243" t="s">
        <v>2591</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2628</v>
      </c>
      <c r="C29" s="54">
        <f ca="1">ROUND(C5*C18*C19*C20*C21*C24,0)</f>
        <v>12439</v>
      </c>
      <c r="D29" s="2246"/>
      <c r="E29" s="2031">
        <f ca="1">ROUND(C29*D29,0)</f>
        <v>0</v>
      </c>
      <c r="F29" s="2247" t="s">
        <v>2629</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2630</v>
      </c>
      <c r="C30" s="2172">
        <f ca="1">ROUND(IF(E2="工业",C29*M39,C29*M38),0)</f>
        <v>3110</v>
      </c>
      <c r="D30" s="2251"/>
      <c r="E30" s="2031">
        <f ca="1">ROUND(C30*D30,0)</f>
        <v>0</v>
      </c>
      <c r="F30" s="2252" t="s">
        <v>2631</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42" t="s">
        <v>2636</v>
      </c>
      <c r="B33" s="2259" t="s">
        <v>2637</v>
      </c>
      <c r="C33" s="54">
        <f ca="1">ROUND(D5*C19*C20*C24*F33,0)</f>
        <v>6141</v>
      </c>
      <c r="D33" s="2246"/>
      <c r="E33" s="50">
        <f t="shared" ref="E33:E39" ca="1" si="6">ROUND(C33*D33,0)</f>
        <v>0</v>
      </c>
      <c r="F33" s="50">
        <f>SUMIF(修正!A45:A56,G2,修正!B45:B56)</f>
        <v>0.6</v>
      </c>
      <c r="G33" s="50">
        <f t="shared" ref="G33" ca="1" si="7">ROUND(IF(E2="工业",C33*$M$39,C33*$M$38),0)</f>
        <v>1535</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43"/>
      <c r="B34" s="2162" t="s">
        <v>2638</v>
      </c>
      <c r="C34" s="54">
        <f ca="1">ROUND(D5*C19*C20*C24*F34,0)</f>
        <v>3071</v>
      </c>
      <c r="D34" s="2246"/>
      <c r="E34" s="50">
        <f t="shared" ca="1" si="6"/>
        <v>0</v>
      </c>
      <c r="F34" s="50">
        <f>SUMIF(修正!A45:A56,G2,修正!C45:C56)</f>
        <v>0.3</v>
      </c>
      <c r="G34" s="50">
        <f ca="1">ROUND(IF(E2="工业",C34*$M$39,C34*$M$38),0)</f>
        <v>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43"/>
      <c r="B35" s="2162" t="s">
        <v>2639</v>
      </c>
      <c r="C35" s="54">
        <f ca="1">ROUND(D5*C19*C20*C24*F35,0)</f>
        <v>2047</v>
      </c>
      <c r="D35" s="2246"/>
      <c r="E35" s="50">
        <f t="shared" ca="1" si="6"/>
        <v>0</v>
      </c>
      <c r="F35" s="50">
        <f>SUMIF(修正!A45:A56,G2,修正!D45:D56)</f>
        <v>0.2</v>
      </c>
      <c r="G35" s="50">
        <f ca="1">ROUND(IF(E2="工业",C35*$M$39,C35*$M$38),0)</f>
        <v>512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44"/>
      <c r="B36" s="2162" t="s">
        <v>2640</v>
      </c>
      <c r="C36" s="54">
        <f ca="1">ROUND(D5*C19*C20*C24*F36,0)</f>
        <v>2047</v>
      </c>
      <c r="D36" s="2246"/>
      <c r="E36" s="50">
        <f t="shared" ca="1" si="6"/>
        <v>0</v>
      </c>
      <c r="F36" s="50">
        <f>SUMIF(修正!A45:A56,G2,修正!E45:E56)</f>
        <v>0.2</v>
      </c>
      <c r="G36" s="50">
        <f ca="1">ROUND(IF(E2="工业",C36*$M$39,C36*$M$38),0)</f>
        <v>512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2641</v>
      </c>
      <c r="C37" s="50">
        <f ca="1">ROUND(D5*C19*C20*C24*F37,0)</f>
        <v>2047</v>
      </c>
      <c r="D37" s="2246"/>
      <c r="E37" s="50">
        <f t="shared" ca="1" si="6"/>
        <v>0</v>
      </c>
      <c r="F37" s="54">
        <f>SUMIF(修正!A45:A56,G2,修正!F45:F56)</f>
        <v>0.2</v>
      </c>
      <c r="G37" s="50">
        <f ca="1">ROUND(IF(E2="工业",C37*$M$39,C37*$M$38),0)</f>
        <v>512</v>
      </c>
      <c r="H37" s="50">
        <f t="shared" si="9"/>
        <v>0</v>
      </c>
      <c r="I37" s="50">
        <f t="shared" ca="1" si="8"/>
        <v>0</v>
      </c>
      <c r="J37" s="2233"/>
      <c r="K37" s="3052"/>
      <c r="L37" s="2261" t="s">
        <v>2642</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2643</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2644</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2645</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2585</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2725</v>
      </c>
      <c r="C41" s="50">
        <f ca="1">ROUND(POWER(1+E41,H41-G41)*(POWER(1+E41,G41)-1)/(POWER(1+E41,H41)-1),4)</f>
        <v>0</v>
      </c>
      <c r="D41" s="50" t="s">
        <v>2723</v>
      </c>
      <c r="E41" s="2269">
        <f ca="1">G20</f>
        <v>0.05</v>
      </c>
      <c r="F41" s="50" t="s">
        <v>2724</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2647</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hidden="1"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2673</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hidden="1"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2678</v>
      </c>
      <c r="B68" s="2302">
        <f>1+E70</f>
        <v>1.0779000000000001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t="s">
        <v>30</v>
      </c>
      <c r="D70" s="2285">
        <f t="shared" ref="D70:D78" si="20">SUMIF($J$69:$N$69,C70,J70:N70)</f>
        <v>1.0500000000000001E-2</v>
      </c>
      <c r="E70" s="2286">
        <f>ROUND(SUM(D70:D78),4)</f>
        <v>7.7899999999999997E-2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2664</v>
      </c>
      <c r="B72" s="2292">
        <f>估价对象房地状况!C19</f>
        <v>0</v>
      </c>
      <c r="C72" s="2166" t="s">
        <v>30</v>
      </c>
      <c r="D72" s="2285">
        <f t="shared" si="20"/>
        <v>6.0000000000000001E-3</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2680</v>
      </c>
      <c r="B73" s="2292">
        <f>估价对象房地状况!C24</f>
        <v>0</v>
      </c>
      <c r="C73" s="2166" t="s">
        <v>31</v>
      </c>
      <c r="D73" s="2285">
        <f t="shared" si="20"/>
        <v>0</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t="s">
        <v>29</v>
      </c>
      <c r="D75" s="2285">
        <f t="shared" si="20"/>
        <v>1.7999999999999999E-2</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2668</v>
      </c>
      <c r="B76" s="2295" t="s">
        <v>2669</v>
      </c>
      <c r="C76" s="2166" t="s">
        <v>30</v>
      </c>
      <c r="D76" s="2285">
        <f t="shared" si="20"/>
        <v>3.7000000000000002E-3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38.25">
      <c r="A77" s="2280" t="s">
        <v>2672</v>
      </c>
      <c r="B77" s="2284" t="str">
        <f>估价对象房地状况!C20</f>
        <v>区域自然环境：；人文环境；综合评价环境状况一般</v>
      </c>
      <c r="C77" s="2166" t="s">
        <v>30</v>
      </c>
      <c r="D77" s="2285">
        <f t="shared" si="20"/>
        <v>1.12E-2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2681</v>
      </c>
      <c r="B78" s="2304"/>
      <c r="C78" s="2166" t="s">
        <v>31</v>
      </c>
      <c r="D78" s="2285">
        <f t="shared" si="20"/>
        <v>0</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c r="A79" s="2273" t="s">
        <v>2682</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0"/>
      <c r="R80" s="3060"/>
      <c r="S80" s="3060"/>
      <c r="T80" s="3060"/>
      <c r="U80" s="3060"/>
      <c r="V80" s="3060"/>
      <c r="W80" s="3060"/>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34" t="s">
        <v>2685</v>
      </c>
      <c r="B90" s="3534"/>
      <c r="C90" s="3534"/>
      <c r="D90" s="3534"/>
      <c r="E90" s="3534"/>
      <c r="F90" s="3534"/>
      <c r="G90" s="3534"/>
      <c r="H90" s="3534"/>
      <c r="I90" s="3534"/>
      <c r="J90" s="3534"/>
      <c r="K90" s="2308"/>
      <c r="L90" s="2308"/>
      <c r="M90" s="2308"/>
      <c r="N90" s="2308"/>
      <c r="Q90" s="3060"/>
      <c r="R90" s="3060"/>
      <c r="S90" s="3060"/>
      <c r="T90" s="3060"/>
      <c r="U90" s="3060"/>
      <c r="V90" s="3060"/>
      <c r="W90" s="3060"/>
    </row>
    <row r="91" spans="1:33">
      <c r="A91" s="3536" t="s">
        <v>2686</v>
      </c>
      <c r="B91" s="3536" t="s">
        <v>2687</v>
      </c>
      <c r="C91" s="2247" t="s">
        <v>2688</v>
      </c>
      <c r="D91" s="2248"/>
      <c r="E91" s="2248"/>
      <c r="F91" s="2248"/>
      <c r="G91" s="2248"/>
      <c r="H91" s="2248"/>
      <c r="I91" s="2248"/>
      <c r="J91" s="2310"/>
      <c r="K91" s="2068"/>
      <c r="L91" s="2068"/>
      <c r="M91" s="2068"/>
      <c r="N91" s="2068"/>
      <c r="Q91" s="3060"/>
      <c r="R91" s="3060"/>
      <c r="S91" s="3060"/>
      <c r="T91" s="3060"/>
      <c r="U91" s="3060"/>
      <c r="V91" s="3060"/>
      <c r="W91" s="3060"/>
    </row>
    <row r="92" spans="1:33">
      <c r="A92" s="3536"/>
      <c r="B92" s="3536"/>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37"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3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3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3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3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3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38"/>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3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37" t="s">
        <v>2690</v>
      </c>
      <c r="B101" s="2315" t="s">
        <v>2691</v>
      </c>
      <c r="C101" s="2316">
        <f>$G$3</f>
        <v>2</v>
      </c>
      <c r="D101" s="2316">
        <f t="shared" ref="D101:N101" si="31">$G$3</f>
        <v>2</v>
      </c>
      <c r="E101" s="2316">
        <f t="shared" si="31"/>
        <v>2</v>
      </c>
      <c r="F101" s="2316">
        <f t="shared" si="31"/>
        <v>2</v>
      </c>
      <c r="G101" s="2316">
        <f t="shared" si="31"/>
        <v>2</v>
      </c>
      <c r="H101" s="2316">
        <f t="shared" si="31"/>
        <v>2</v>
      </c>
      <c r="I101" s="2316">
        <f t="shared" si="31"/>
        <v>2</v>
      </c>
      <c r="J101" s="2316">
        <f t="shared" si="31"/>
        <v>2</v>
      </c>
      <c r="K101" s="2316">
        <f t="shared" si="31"/>
        <v>2</v>
      </c>
      <c r="L101" s="2316">
        <f t="shared" si="31"/>
        <v>2</v>
      </c>
      <c r="M101" s="2316">
        <f t="shared" si="31"/>
        <v>2</v>
      </c>
      <c r="N101" s="2316">
        <f t="shared" si="31"/>
        <v>2</v>
      </c>
      <c r="Q101" s="3060"/>
      <c r="R101" s="3060"/>
      <c r="S101" s="3060"/>
      <c r="T101" s="3060"/>
      <c r="U101" s="3060"/>
      <c r="V101" s="3060"/>
      <c r="W101" s="3060"/>
    </row>
    <row r="102" spans="1:23">
      <c r="A102" s="3538"/>
      <c r="B102" s="2311">
        <v>1</v>
      </c>
      <c r="C102" s="2312">
        <f>1.9362/C101</f>
        <v>0.96809999999999996</v>
      </c>
      <c r="D102" s="2312">
        <f>1.9362/D101</f>
        <v>0.96809999999999996</v>
      </c>
      <c r="E102" s="2312">
        <f>1.8629/E101</f>
        <v>0.93145</v>
      </c>
      <c r="F102" s="2312">
        <f>1.8629/F101</f>
        <v>0.93145</v>
      </c>
      <c r="G102" s="2312">
        <f>1.8629/G101</f>
        <v>0.93145</v>
      </c>
      <c r="H102" s="2312">
        <f>1.8629/H101</f>
        <v>0.93145</v>
      </c>
      <c r="I102" s="2312">
        <f>1.8629/I101</f>
        <v>0.93145</v>
      </c>
      <c r="J102" s="2312">
        <f>1.942/J101</f>
        <v>0.97099999999999997</v>
      </c>
      <c r="K102" s="2312">
        <f>1.942/K101</f>
        <v>0.97099999999999997</v>
      </c>
      <c r="L102" s="2312">
        <f>1.942/L101</f>
        <v>0.97099999999999997</v>
      </c>
      <c r="M102" s="2312">
        <f>1.942/M101</f>
        <v>0.97099999999999997</v>
      </c>
      <c r="N102" s="2312">
        <f>1.942/N101</f>
        <v>0.97099999999999997</v>
      </c>
      <c r="Q102" s="3060"/>
      <c r="R102" s="3060"/>
      <c r="S102" s="3060"/>
      <c r="T102" s="3060"/>
      <c r="U102" s="3060"/>
      <c r="V102" s="3060"/>
      <c r="W102" s="3060"/>
    </row>
    <row r="103" spans="1:23">
      <c r="A103" s="3538"/>
      <c r="B103" s="2311">
        <v>2</v>
      </c>
      <c r="C103" s="2312">
        <f>1.4198/C101</f>
        <v>0.70989999999999998</v>
      </c>
      <c r="D103" s="2312">
        <f>1.4198/D101</f>
        <v>0.70989999999999998</v>
      </c>
      <c r="E103" s="2312">
        <f>1.3372/E101</f>
        <v>0.66859999999999997</v>
      </c>
      <c r="F103" s="2312">
        <f>1.3372/F101</f>
        <v>0.66859999999999997</v>
      </c>
      <c r="G103" s="2312">
        <f>1.3372/G101</f>
        <v>0.66859999999999997</v>
      </c>
      <c r="H103" s="2312">
        <f>1.3372/H101</f>
        <v>0.66859999999999997</v>
      </c>
      <c r="I103" s="2312">
        <f>1.3372/I101</f>
        <v>0.66859999999999997</v>
      </c>
      <c r="J103" s="2312">
        <f>1.2799/J101</f>
        <v>0.63995000000000002</v>
      </c>
      <c r="K103" s="2312">
        <f>1.2799/K101</f>
        <v>0.63995000000000002</v>
      </c>
      <c r="L103" s="2312">
        <f>1.2799/L101</f>
        <v>0.63995000000000002</v>
      </c>
      <c r="M103" s="2312">
        <f>1.2799/M101</f>
        <v>0.63995000000000002</v>
      </c>
      <c r="N103" s="2312">
        <f>1.2799/N101</f>
        <v>0.63995000000000002</v>
      </c>
      <c r="Q103" s="3060"/>
      <c r="R103" s="3060"/>
      <c r="S103" s="3060"/>
      <c r="T103" s="3060"/>
      <c r="U103" s="3060"/>
      <c r="V103" s="3060"/>
      <c r="W103" s="3060"/>
    </row>
    <row r="104" spans="1:23">
      <c r="A104" s="3538"/>
      <c r="B104" s="2311">
        <v>3</v>
      </c>
      <c r="C104" s="2312">
        <f>1.1594/C101</f>
        <v>0.57969999999999999</v>
      </c>
      <c r="D104" s="2312">
        <f>1.1594/D101</f>
        <v>0.57969999999999999</v>
      </c>
      <c r="E104" s="2312">
        <f>1.0788/E101</f>
        <v>0.53939999999999999</v>
      </c>
      <c r="F104" s="2312">
        <f>1.0788/F101</f>
        <v>0.53939999999999999</v>
      </c>
      <c r="G104" s="2312">
        <f>1.0788/G101</f>
        <v>0.53939999999999999</v>
      </c>
      <c r="H104" s="2312">
        <f>1.0788/H101</f>
        <v>0.53939999999999999</v>
      </c>
      <c r="I104" s="2312">
        <f>1.0788/I101</f>
        <v>0.53939999999999999</v>
      </c>
      <c r="J104" s="2312">
        <f>1.0072/J101</f>
        <v>0.50360000000000005</v>
      </c>
      <c r="K104" s="2312">
        <f>1.0072/K101</f>
        <v>0.50360000000000005</v>
      </c>
      <c r="L104" s="2312">
        <f>1.0072/L101</f>
        <v>0.50360000000000005</v>
      </c>
      <c r="M104" s="2312">
        <f>1.0072/M101</f>
        <v>0.50360000000000005</v>
      </c>
      <c r="N104" s="2312">
        <f>1.0072/N101</f>
        <v>0.50360000000000005</v>
      </c>
      <c r="Q104" s="3060"/>
      <c r="R104" s="3060"/>
      <c r="S104" s="3060"/>
      <c r="T104" s="3060"/>
      <c r="U104" s="3060"/>
      <c r="V104" s="3060"/>
      <c r="W104" s="3060"/>
    </row>
    <row r="105" spans="1:23">
      <c r="A105" s="3538"/>
      <c r="B105" s="2311">
        <v>4</v>
      </c>
      <c r="C105" s="2312">
        <f>0.9622/C101</f>
        <v>0.48110000000000003</v>
      </c>
      <c r="D105" s="2312">
        <f>0.9622/D101</f>
        <v>0.48110000000000003</v>
      </c>
      <c r="E105" s="2312">
        <f>0.8656/E101</f>
        <v>0.43280000000000002</v>
      </c>
      <c r="F105" s="2312">
        <f>0.8656/F101</f>
        <v>0.43280000000000002</v>
      </c>
      <c r="G105" s="2312">
        <f>0.8656/G101</f>
        <v>0.43280000000000002</v>
      </c>
      <c r="H105" s="2312">
        <f>0.8656/H101</f>
        <v>0.43280000000000002</v>
      </c>
      <c r="I105" s="2312">
        <f>0.8656/I101</f>
        <v>0.43280000000000002</v>
      </c>
      <c r="J105" s="2312">
        <f>0.7525/J101</f>
        <v>0.37624999999999997</v>
      </c>
      <c r="K105" s="2312">
        <f>0.7525/K101</f>
        <v>0.37624999999999997</v>
      </c>
      <c r="L105" s="2312">
        <f>0.7525/L101</f>
        <v>0.37624999999999997</v>
      </c>
      <c r="M105" s="2312">
        <f>0.7525/M101</f>
        <v>0.37624999999999997</v>
      </c>
      <c r="N105" s="2312">
        <f>0.7525/N101</f>
        <v>0.37624999999999997</v>
      </c>
      <c r="Q105" s="3060"/>
      <c r="R105" s="3060"/>
      <c r="S105" s="3060"/>
      <c r="T105" s="3060"/>
      <c r="U105" s="3060"/>
      <c r="V105" s="3060"/>
      <c r="W105" s="3060"/>
    </row>
    <row r="106" spans="1:23">
      <c r="A106" s="3538"/>
      <c r="B106" s="2311">
        <v>5</v>
      </c>
      <c r="C106" s="2312">
        <f>0.8417/C101</f>
        <v>0.42085</v>
      </c>
      <c r="D106" s="2312">
        <f>0.8417/D101</f>
        <v>0.42085</v>
      </c>
      <c r="E106" s="2312">
        <f>0.7371/E101</f>
        <v>0.36854999999999999</v>
      </c>
      <c r="F106" s="2312">
        <f>0.7371/F101</f>
        <v>0.36854999999999999</v>
      </c>
      <c r="G106" s="2312">
        <f>0.7371/G101</f>
        <v>0.36854999999999999</v>
      </c>
      <c r="H106" s="2312">
        <f>0.7371/H101</f>
        <v>0.36854999999999999</v>
      </c>
      <c r="I106" s="2312">
        <f>0.7371/I101</f>
        <v>0.36854999999999999</v>
      </c>
      <c r="J106" s="2312">
        <f>0.5659/J101</f>
        <v>0.28294999999999998</v>
      </c>
      <c r="K106" s="2312">
        <f>0.5659/K101</f>
        <v>0.28294999999999998</v>
      </c>
      <c r="L106" s="2312">
        <f>0.5659/L101</f>
        <v>0.28294999999999998</v>
      </c>
      <c r="M106" s="2312">
        <f>0.5659/M101</f>
        <v>0.28294999999999998</v>
      </c>
      <c r="N106" s="2312">
        <f>0.5659/N101</f>
        <v>0.28294999999999998</v>
      </c>
      <c r="Q106" s="3060"/>
      <c r="R106" s="3060"/>
      <c r="S106" s="3060"/>
      <c r="T106" s="3060"/>
      <c r="U106" s="3060"/>
      <c r="V106" s="3060"/>
      <c r="W106" s="3060"/>
    </row>
    <row r="107" spans="1:23">
      <c r="A107" s="3538"/>
      <c r="B107" s="2311">
        <v>6</v>
      </c>
      <c r="C107" s="2312">
        <f>0.7608/C101</f>
        <v>0.38040000000000002</v>
      </c>
      <c r="D107" s="2312">
        <f>0.7608/D101</f>
        <v>0.38040000000000002</v>
      </c>
      <c r="E107" s="2312">
        <f>0.6482/E101</f>
        <v>0.3241</v>
      </c>
      <c r="F107" s="2312">
        <f>0.6482/F101</f>
        <v>0.3241</v>
      </c>
      <c r="G107" s="2312">
        <f>0.6482/G101</f>
        <v>0.3241</v>
      </c>
      <c r="H107" s="2312">
        <f>0.6482/H101</f>
        <v>0.3241</v>
      </c>
      <c r="I107" s="2312">
        <f>0.6482/I101</f>
        <v>0.3241</v>
      </c>
      <c r="J107" s="2312">
        <f>0.4525/J101</f>
        <v>0.22625000000000001</v>
      </c>
      <c r="K107" s="2312">
        <f>0.4525/K101</f>
        <v>0.22625000000000001</v>
      </c>
      <c r="L107" s="2312">
        <f>0.4525/L101</f>
        <v>0.22625000000000001</v>
      </c>
      <c r="M107" s="2312">
        <f>0.4525/M101</f>
        <v>0.22625000000000001</v>
      </c>
      <c r="N107" s="2312">
        <f>0.4525/N101</f>
        <v>0.22625000000000001</v>
      </c>
      <c r="Q107" s="3060"/>
      <c r="R107" s="3060"/>
      <c r="S107" s="3060"/>
      <c r="T107" s="3060"/>
      <c r="U107" s="3060"/>
      <c r="V107" s="3060"/>
      <c r="W107" s="3060"/>
    </row>
    <row r="108" spans="1:23">
      <c r="A108" s="3538"/>
      <c r="B108" s="3540"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39"/>
      <c r="B109" s="3541"/>
      <c r="C109" s="2314">
        <f>(-0.163*(C108^2)-0.59*C108+7617)*(10^(-4))/C101</f>
        <v>0.38085000000000002</v>
      </c>
      <c r="D109" s="2314">
        <f>(-0.163*(D108^2)-0.59*D108+7617)*(10^(-4))/D101</f>
        <v>0.38085000000000002</v>
      </c>
      <c r="E109" s="2314">
        <f>(-0.161*(E108^2)-7.509*E108+6533)*(10^(-4))/E101</f>
        <v>0.32665</v>
      </c>
      <c r="F109" s="2314">
        <f>(-0.161*(F108^2)-7.509*F108+6533)*(10^(-4))/F101</f>
        <v>0.32665</v>
      </c>
      <c r="G109" s="2314">
        <f>(-0.161*(G108^2)-7.509*G108+6533)*(10^(-4))/G101</f>
        <v>0.32665</v>
      </c>
      <c r="H109" s="2314">
        <f>(-0.161*(H108^2)-7.509*H108+6533)*(10^(-4))/H101</f>
        <v>0.32665</v>
      </c>
      <c r="I109" s="2314">
        <f>(-0.161*(I108^2)-7.509*I108+6533)*(10^(-4))/I101</f>
        <v>0.32665</v>
      </c>
      <c r="J109" s="2314">
        <f>(-0.214*(J108^2)-21.991*J108+4665)*(10^(-4))/J101</f>
        <v>0.23325000000000001</v>
      </c>
      <c r="K109" s="2314">
        <f>(-0.214*(K108^2)-21.991*K108+4665)*(10^(-4))/K101</f>
        <v>0.23325000000000001</v>
      </c>
      <c r="L109" s="2314">
        <f>(-0.214*(L108^2)-21.991*L108+4665)*(10^(-4))/L101</f>
        <v>0.23325000000000001</v>
      </c>
      <c r="M109" s="2314">
        <f>(-0.214*(M108^2)-21.991*M108+4665)*(10^(-4))/M101</f>
        <v>0.23325000000000001</v>
      </c>
      <c r="N109" s="2314">
        <f>(-0.214*(N108^2)-21.991*N108+4665)*(10^(-4))/N101</f>
        <v>0.23325000000000001</v>
      </c>
      <c r="Q109" s="3060"/>
      <c r="R109" s="3060"/>
      <c r="S109" s="3060"/>
      <c r="T109" s="3060"/>
      <c r="U109" s="3060"/>
      <c r="V109" s="3060"/>
      <c r="W109" s="3060"/>
    </row>
    <row r="110" spans="1:23">
      <c r="A110" s="3535" t="s">
        <v>2693</v>
      </c>
      <c r="B110" s="3535"/>
      <c r="C110" s="3535"/>
      <c r="D110" s="3535"/>
      <c r="E110" s="3535"/>
      <c r="F110" s="3535"/>
      <c r="G110" s="3535"/>
      <c r="H110" s="3535"/>
      <c r="I110" s="3535"/>
      <c r="J110" s="3535"/>
      <c r="K110" s="2080"/>
      <c r="L110" s="2080"/>
      <c r="M110" s="2080"/>
      <c r="N110" s="2080"/>
      <c r="Q110" s="3060"/>
      <c r="R110" s="3060"/>
      <c r="S110" s="3060"/>
      <c r="T110" s="3060"/>
      <c r="U110" s="3060"/>
      <c r="V110" s="3060"/>
      <c r="W110" s="3060"/>
    </row>
    <row r="112" spans="1:23" ht="13.5" thickBot="1"/>
    <row r="113" spans="1:13" ht="15.75" thickBot="1">
      <c r="A113" s="2317" t="s">
        <v>2694</v>
      </c>
      <c r="B113" s="2318">
        <f>G3</f>
        <v>2</v>
      </c>
      <c r="C113" s="2319" t="s">
        <v>2695</v>
      </c>
      <c r="D113" s="2320">
        <f>SUMPRODUCT((A115:A118=F113)*(B114:M114=H113)*B115:M118)</f>
        <v>0.72219999999999995</v>
      </c>
      <c r="E113" s="1602" t="s">
        <v>2581</v>
      </c>
      <c r="F113" s="2321" t="str">
        <f>E2</f>
        <v>住宅</v>
      </c>
      <c r="G113" s="1602" t="s">
        <v>2515</v>
      </c>
      <c r="H113" s="2321" t="str">
        <f>G2</f>
        <v>八级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0.91469999999999996</v>
      </c>
      <c r="C115" s="2330">
        <f>B115</f>
        <v>0.91469999999999996</v>
      </c>
      <c r="D115" s="2330">
        <f>ROUND(0.8331-0.0109*B113,4)</f>
        <v>0.81130000000000002</v>
      </c>
      <c r="E115" s="2330">
        <f>D115</f>
        <v>0.81130000000000002</v>
      </c>
      <c r="F115" s="2330">
        <f>E115</f>
        <v>0.81130000000000002</v>
      </c>
      <c r="G115" s="2330">
        <f>F115</f>
        <v>0.81130000000000002</v>
      </c>
      <c r="H115" s="2330">
        <f>G115</f>
        <v>0.81130000000000002</v>
      </c>
      <c r="I115" s="2330">
        <f>ROUND(0.689-0.0155*B113,4)</f>
        <v>0.65800000000000003</v>
      </c>
      <c r="J115" s="2330">
        <f t="shared" ref="J115:M118" si="33">I115</f>
        <v>0.65800000000000003</v>
      </c>
      <c r="K115" s="2330">
        <f t="shared" si="33"/>
        <v>0.65800000000000003</v>
      </c>
      <c r="L115" s="2330">
        <f t="shared" si="33"/>
        <v>0.65800000000000003</v>
      </c>
      <c r="M115" s="2331">
        <f t="shared" si="33"/>
        <v>0.65800000000000003</v>
      </c>
    </row>
    <row r="116" spans="1:13">
      <c r="A116" s="2329" t="s">
        <v>2583</v>
      </c>
      <c r="B116" s="2330">
        <f>ROUND(0.949-0.012*B113,4)</f>
        <v>0.92500000000000004</v>
      </c>
      <c r="C116" s="2330">
        <f>B116</f>
        <v>0.92500000000000004</v>
      </c>
      <c r="D116" s="2330">
        <f>ROUND(0.8567-0.013*B113,4)</f>
        <v>0.83069999999999999</v>
      </c>
      <c r="E116" s="2330">
        <f t="shared" ref="E116:H117" si="34">D116</f>
        <v>0.83069999999999999</v>
      </c>
      <c r="F116" s="2330">
        <f t="shared" si="34"/>
        <v>0.83069999999999999</v>
      </c>
      <c r="G116" s="2330">
        <f t="shared" si="34"/>
        <v>0.83069999999999999</v>
      </c>
      <c r="H116" s="2330">
        <f t="shared" si="34"/>
        <v>0.83069999999999999</v>
      </c>
      <c r="I116" s="2330">
        <f>ROUND(0.7694-0.014*B113,4)</f>
        <v>0.74139999999999995</v>
      </c>
      <c r="J116" s="2330">
        <f t="shared" si="33"/>
        <v>0.74139999999999995</v>
      </c>
      <c r="K116" s="2330">
        <f t="shared" si="33"/>
        <v>0.74139999999999995</v>
      </c>
      <c r="L116" s="2330">
        <f t="shared" si="33"/>
        <v>0.74139999999999995</v>
      </c>
      <c r="M116" s="2331">
        <f t="shared" si="33"/>
        <v>0.74139999999999995</v>
      </c>
    </row>
    <row r="117" spans="1:13">
      <c r="A117" s="2329" t="s">
        <v>2584</v>
      </c>
      <c r="B117" s="2330">
        <f>ROUND(0.8808-0.006*B113,4)</f>
        <v>0.86880000000000002</v>
      </c>
      <c r="C117" s="2330">
        <f>B117</f>
        <v>0.86880000000000002</v>
      </c>
      <c r="D117" s="2330">
        <f>ROUND(0.8748-0.008*B113,4)</f>
        <v>0.85880000000000001</v>
      </c>
      <c r="E117" s="2330">
        <f t="shared" si="34"/>
        <v>0.85880000000000001</v>
      </c>
      <c r="F117" s="2330">
        <f t="shared" si="34"/>
        <v>0.85880000000000001</v>
      </c>
      <c r="G117" s="2330">
        <f t="shared" si="34"/>
        <v>0.85880000000000001</v>
      </c>
      <c r="H117" s="2330">
        <f t="shared" si="34"/>
        <v>0.85880000000000001</v>
      </c>
      <c r="I117" s="2330">
        <f>ROUND(0.7412-0.0095*B113,4)</f>
        <v>0.72219999999999995</v>
      </c>
      <c r="J117" s="2330">
        <f t="shared" si="33"/>
        <v>0.72219999999999995</v>
      </c>
      <c r="K117" s="2330">
        <f t="shared" si="33"/>
        <v>0.72219999999999995</v>
      </c>
      <c r="L117" s="2330">
        <f t="shared" si="33"/>
        <v>0.72219999999999995</v>
      </c>
      <c r="M117" s="2331">
        <f t="shared" si="33"/>
        <v>0.72219999999999995</v>
      </c>
    </row>
    <row r="118" spans="1:13" ht="13.5" thickBot="1">
      <c r="A118" s="2332" t="s">
        <v>2585</v>
      </c>
      <c r="B118" s="2333">
        <f>ROUND(0.7275-0.01*B113,4)</f>
        <v>0.70750000000000002</v>
      </c>
      <c r="C118" s="2333">
        <f>B118</f>
        <v>0.70750000000000002</v>
      </c>
      <c r="D118" s="2333">
        <f>ROUND(0.7043-0.012*B113,4)</f>
        <v>0.68030000000000002</v>
      </c>
      <c r="E118" s="2333">
        <f>D118</f>
        <v>0.68030000000000002</v>
      </c>
      <c r="F118" s="2333">
        <f>E118</f>
        <v>0.68030000000000002</v>
      </c>
      <c r="G118" s="2333">
        <f>ROUND(0.6299-0.0122*B113,4)</f>
        <v>0.60550000000000004</v>
      </c>
      <c r="H118" s="2333">
        <f>G118</f>
        <v>0.60550000000000004</v>
      </c>
      <c r="I118" s="2333">
        <f>ROUND(0.5667-0.0136*B113,4)</f>
        <v>0.53949999999999998</v>
      </c>
      <c r="J118" s="2333">
        <f t="shared" si="33"/>
        <v>0.53949999999999998</v>
      </c>
      <c r="K118" s="2333">
        <f t="shared" si="33"/>
        <v>0.53949999999999998</v>
      </c>
      <c r="L118" s="2333">
        <f t="shared" si="33"/>
        <v>0.53949999999999998</v>
      </c>
      <c r="M118" s="2334">
        <f t="shared" si="33"/>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47" t="s">
        <v>779</v>
      </c>
      <c r="B1" s="354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47" t="s">
        <v>105</v>
      </c>
      <c r="B1" s="3547"/>
      <c r="C1" s="3547"/>
      <c r="D1" s="3547"/>
      <c r="E1" s="3547"/>
      <c r="F1" s="354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8" t="s">
        <v>118</v>
      </c>
      <c r="B2" s="3548"/>
      <c r="C2" s="3548"/>
      <c r="D2" s="3548"/>
      <c r="E2" s="3548"/>
      <c r="F2" s="354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5780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2"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1" t="s">
        <v>132</v>
      </c>
      <c r="B18" s="768" t="s">
        <v>517</v>
      </c>
      <c r="C18" s="769" t="s">
        <v>518</v>
      </c>
      <c r="D18" s="770"/>
      <c r="E18" s="768">
        <v>1</v>
      </c>
      <c r="F18" s="771" t="s">
        <v>519</v>
      </c>
      <c r="G18" s="772"/>
      <c r="H18" s="764"/>
      <c r="I18" s="764"/>
    </row>
    <row r="19" spans="1:9" s="773" customFormat="1" ht="19.5" customHeight="1">
      <c r="A19" s="3551"/>
      <c r="B19" s="3551" t="s">
        <v>520</v>
      </c>
      <c r="C19" s="769" t="s">
        <v>521</v>
      </c>
      <c r="D19" s="770"/>
      <c r="E19" s="768">
        <v>0.9</v>
      </c>
      <c r="F19" s="771" t="s">
        <v>522</v>
      </c>
      <c r="G19" s="772"/>
      <c r="H19" s="764"/>
      <c r="I19" s="764"/>
    </row>
    <row r="20" spans="1:9" s="773" customFormat="1" ht="19.5" customHeight="1">
      <c r="A20" s="3551"/>
      <c r="B20" s="3551"/>
      <c r="C20" s="769" t="s">
        <v>523</v>
      </c>
      <c r="D20" s="770"/>
      <c r="E20" s="768">
        <v>1.1000000000000001</v>
      </c>
      <c r="F20" s="771" t="s">
        <v>524</v>
      </c>
      <c r="G20" s="772"/>
      <c r="H20" s="764"/>
      <c r="I20" s="764"/>
    </row>
    <row r="21" spans="1:9" s="773" customFormat="1" ht="19.5" customHeight="1">
      <c r="A21" s="3551"/>
      <c r="B21" s="3551"/>
      <c r="C21" s="769" t="s">
        <v>525</v>
      </c>
      <c r="D21" s="770"/>
      <c r="E21" s="768">
        <v>0.8</v>
      </c>
      <c r="F21" s="771" t="s">
        <v>526</v>
      </c>
      <c r="G21" s="772"/>
      <c r="H21" s="764"/>
      <c r="I21" s="764"/>
    </row>
    <row r="22" spans="1:9" s="773" customFormat="1" ht="19.5" customHeight="1">
      <c r="A22" s="3551"/>
      <c r="B22" s="3551"/>
      <c r="C22" s="769" t="s">
        <v>527</v>
      </c>
      <c r="D22" s="770"/>
      <c r="E22" s="768">
        <v>0.5</v>
      </c>
      <c r="F22" s="771"/>
      <c r="G22" s="772"/>
      <c r="H22" s="764"/>
      <c r="I22" s="764"/>
    </row>
    <row r="23" spans="1:9" s="773" customFormat="1" ht="19.5" customHeight="1">
      <c r="A23" s="3551" t="s">
        <v>133</v>
      </c>
      <c r="B23" s="768" t="s">
        <v>517</v>
      </c>
      <c r="C23" s="769" t="s">
        <v>528</v>
      </c>
      <c r="D23" s="770"/>
      <c r="E23" s="768">
        <v>1</v>
      </c>
      <c r="F23" s="771" t="s">
        <v>529</v>
      </c>
      <c r="G23" s="772"/>
      <c r="H23" s="764"/>
      <c r="I23" s="764"/>
    </row>
    <row r="24" spans="1:9" s="773" customFormat="1" ht="19.5" customHeight="1">
      <c r="A24" s="3551"/>
      <c r="B24" s="3551" t="s">
        <v>520</v>
      </c>
      <c r="C24" s="769" t="s">
        <v>530</v>
      </c>
      <c r="D24" s="770"/>
      <c r="E24" s="768">
        <v>0.5</v>
      </c>
      <c r="F24" s="771"/>
      <c r="G24" s="772"/>
      <c r="H24" s="764"/>
      <c r="I24" s="764"/>
    </row>
    <row r="25" spans="1:9" s="773" customFormat="1" ht="19.5" customHeight="1">
      <c r="A25" s="3551"/>
      <c r="B25" s="3551"/>
      <c r="C25" s="769" t="s">
        <v>531</v>
      </c>
      <c r="D25" s="770"/>
      <c r="E25" s="768">
        <v>1.1000000000000001</v>
      </c>
      <c r="F25" s="771"/>
      <c r="G25" s="772"/>
      <c r="H25" s="764"/>
      <c r="I25" s="764"/>
    </row>
    <row r="26" spans="1:9" s="773" customFormat="1" ht="19.5" customHeight="1">
      <c r="A26" s="3551"/>
      <c r="B26" s="3551"/>
      <c r="C26" s="769" t="s">
        <v>532</v>
      </c>
      <c r="D26" s="770"/>
      <c r="E26" s="768">
        <v>1.1000000000000001</v>
      </c>
      <c r="F26" s="771"/>
      <c r="G26" s="772"/>
      <c r="H26" s="764"/>
      <c r="I26" s="764"/>
    </row>
    <row r="27" spans="1:9" s="773" customFormat="1" ht="19.5" customHeight="1">
      <c r="A27" s="3551"/>
      <c r="B27" s="3551"/>
      <c r="C27" s="769" t="s">
        <v>533</v>
      </c>
      <c r="D27" s="770"/>
      <c r="E27" s="768">
        <v>0.9</v>
      </c>
      <c r="F27" s="771" t="s">
        <v>534</v>
      </c>
      <c r="G27" s="772"/>
      <c r="H27" s="764"/>
      <c r="I27" s="764"/>
    </row>
    <row r="28" spans="1:9" s="773" customFormat="1" ht="19.5" customHeight="1">
      <c r="A28" s="3551"/>
      <c r="B28" s="3551"/>
      <c r="C28" s="769" t="s">
        <v>535</v>
      </c>
      <c r="D28" s="770"/>
      <c r="E28" s="768">
        <v>0.9</v>
      </c>
      <c r="F28" s="771" t="s">
        <v>536</v>
      </c>
      <c r="G28" s="772"/>
      <c r="H28" s="764"/>
      <c r="I28" s="764"/>
    </row>
    <row r="29" spans="1:9" s="773" customFormat="1" ht="19.5" customHeight="1">
      <c r="A29" s="3551"/>
      <c r="B29" s="3551"/>
      <c r="C29" s="769" t="s">
        <v>537</v>
      </c>
      <c r="D29" s="770"/>
      <c r="E29" s="768">
        <v>0.9</v>
      </c>
      <c r="F29" s="771" t="s">
        <v>538</v>
      </c>
      <c r="G29" s="772"/>
      <c r="H29" s="764"/>
      <c r="I29" s="764"/>
    </row>
    <row r="30" spans="1:9" s="773" customFormat="1" ht="19.5" customHeight="1">
      <c r="A30" s="3551"/>
      <c r="B30" s="3551"/>
      <c r="C30" s="769" t="s">
        <v>539</v>
      </c>
      <c r="D30" s="770"/>
      <c r="E30" s="768">
        <v>0.9</v>
      </c>
      <c r="F30" s="771" t="s">
        <v>540</v>
      </c>
      <c r="G30" s="772"/>
      <c r="H30" s="764"/>
      <c r="I30" s="764"/>
    </row>
    <row r="31" spans="1:9" s="773" customFormat="1" ht="19.5" customHeight="1">
      <c r="A31" s="3551"/>
      <c r="B31" s="3551"/>
      <c r="C31" s="769" t="s">
        <v>541</v>
      </c>
      <c r="D31" s="770"/>
      <c r="E31" s="768">
        <v>0.8</v>
      </c>
      <c r="F31" s="771" t="s">
        <v>542</v>
      </c>
      <c r="G31" s="772"/>
      <c r="H31" s="764"/>
      <c r="I31" s="764"/>
    </row>
    <row r="32" spans="1:9" s="773" customFormat="1" ht="19.5" customHeight="1">
      <c r="A32" s="3551"/>
      <c r="B32" s="3551"/>
      <c r="C32" s="769" t="s">
        <v>543</v>
      </c>
      <c r="D32" s="770"/>
      <c r="E32" s="768">
        <v>0.8</v>
      </c>
      <c r="F32" s="771" t="s">
        <v>544</v>
      </c>
      <c r="G32" s="772"/>
      <c r="H32" s="764"/>
      <c r="I32" s="764"/>
    </row>
    <row r="33" spans="1:9" s="773" customFormat="1" ht="19.5" customHeight="1">
      <c r="A33" s="3551" t="s">
        <v>134</v>
      </c>
      <c r="B33" s="768" t="s">
        <v>517</v>
      </c>
      <c r="C33" s="769" t="s">
        <v>545</v>
      </c>
      <c r="D33" s="770"/>
      <c r="E33" s="768">
        <v>1</v>
      </c>
      <c r="F33" s="771" t="s">
        <v>546</v>
      </c>
      <c r="G33" s="772"/>
      <c r="H33" s="764"/>
      <c r="I33" s="764"/>
    </row>
    <row r="34" spans="1:9" s="773" customFormat="1" ht="19.5" customHeight="1">
      <c r="A34" s="3551"/>
      <c r="B34" s="768" t="s">
        <v>520</v>
      </c>
      <c r="C34" s="769" t="s">
        <v>547</v>
      </c>
      <c r="D34" s="770"/>
      <c r="E34" s="768">
        <v>1.5</v>
      </c>
      <c r="F34" s="771" t="s">
        <v>548</v>
      </c>
      <c r="G34" s="772"/>
      <c r="H34" s="764"/>
      <c r="I34" s="764"/>
    </row>
    <row r="35" spans="1:9" s="773" customFormat="1" ht="19.5" customHeight="1">
      <c r="A35" s="3551" t="s">
        <v>135</v>
      </c>
      <c r="B35" s="768" t="s">
        <v>517</v>
      </c>
      <c r="C35" s="769" t="s">
        <v>549</v>
      </c>
      <c r="D35" s="770"/>
      <c r="E35" s="768">
        <v>1</v>
      </c>
      <c r="F35" s="771" t="s">
        <v>550</v>
      </c>
      <c r="G35" s="772"/>
      <c r="H35" s="764"/>
      <c r="I35" s="764"/>
    </row>
    <row r="36" spans="1:9" s="773" customFormat="1" ht="19.5" customHeight="1">
      <c r="A36" s="3551"/>
      <c r="B36" s="3551" t="s">
        <v>520</v>
      </c>
      <c r="C36" s="769" t="s">
        <v>551</v>
      </c>
      <c r="D36" s="770"/>
      <c r="E36" s="768">
        <v>1</v>
      </c>
      <c r="F36" s="771" t="s">
        <v>552</v>
      </c>
      <c r="G36" s="772"/>
      <c r="H36" s="764"/>
      <c r="I36" s="764"/>
    </row>
    <row r="37" spans="1:9" s="773" customFormat="1" ht="19.5" customHeight="1">
      <c r="A37" s="3551"/>
      <c r="B37" s="3551"/>
      <c r="C37" s="769" t="s">
        <v>553</v>
      </c>
      <c r="D37" s="770"/>
      <c r="E37" s="768">
        <v>1.5</v>
      </c>
      <c r="F37" s="771" t="s">
        <v>554</v>
      </c>
      <c r="G37" s="772"/>
      <c r="H37" s="764"/>
      <c r="I37" s="764"/>
    </row>
    <row r="38" spans="1:9" s="773" customFormat="1" ht="19.5" customHeight="1">
      <c r="A38" s="3551"/>
      <c r="B38" s="3551"/>
      <c r="C38" s="769" t="s">
        <v>555</v>
      </c>
      <c r="D38" s="770"/>
      <c r="E38" s="768">
        <v>1</v>
      </c>
      <c r="F38" s="771" t="s">
        <v>556</v>
      </c>
      <c r="G38" s="772"/>
      <c r="H38" s="764"/>
      <c r="I38" s="764"/>
    </row>
    <row r="39" spans="1:9" s="773" customFormat="1" ht="19.5" customHeight="1">
      <c r="A39" s="3551"/>
      <c r="B39" s="355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1" t="s">
        <v>571</v>
      </c>
      <c r="C61" s="682" t="s">
        <v>572</v>
      </c>
      <c r="D61" s="682" t="s">
        <v>573</v>
      </c>
      <c r="E61" s="781">
        <v>0.5</v>
      </c>
      <c r="F61" s="768">
        <v>80</v>
      </c>
    </row>
    <row r="62" spans="1:8" s="764" customFormat="1" ht="24">
      <c r="A62" s="768">
        <v>2</v>
      </c>
      <c r="B62" s="3551"/>
      <c r="C62" s="682" t="s">
        <v>574</v>
      </c>
      <c r="D62" s="682" t="s">
        <v>575</v>
      </c>
      <c r="E62" s="781">
        <v>0.5</v>
      </c>
      <c r="F62" s="768">
        <v>80</v>
      </c>
    </row>
    <row r="63" spans="1:8" s="764" customFormat="1" ht="36">
      <c r="A63" s="768">
        <v>3</v>
      </c>
      <c r="B63" s="3551"/>
      <c r="C63" s="682" t="s">
        <v>576</v>
      </c>
      <c r="D63" s="682" t="s">
        <v>577</v>
      </c>
      <c r="E63" s="781">
        <v>0.5</v>
      </c>
      <c r="F63" s="768">
        <v>80</v>
      </c>
    </row>
    <row r="64" spans="1:8" s="764" customFormat="1" ht="36">
      <c r="A64" s="768">
        <v>4</v>
      </c>
      <c r="B64" s="3551"/>
      <c r="C64" s="682" t="s">
        <v>578</v>
      </c>
      <c r="D64" s="682" t="s">
        <v>579</v>
      </c>
      <c r="E64" s="781">
        <v>0.4</v>
      </c>
      <c r="F64" s="768">
        <v>60</v>
      </c>
    </row>
    <row r="65" spans="1:6" s="764" customFormat="1" ht="36">
      <c r="A65" s="768">
        <v>5</v>
      </c>
      <c r="B65" s="3551"/>
      <c r="C65" s="682" t="s">
        <v>580</v>
      </c>
      <c r="D65" s="682" t="s">
        <v>581</v>
      </c>
      <c r="E65" s="781">
        <v>0.2</v>
      </c>
      <c r="F65" s="768">
        <v>30</v>
      </c>
    </row>
    <row r="66" spans="1:6" s="764" customFormat="1" ht="36">
      <c r="A66" s="768">
        <v>6</v>
      </c>
      <c r="B66" s="3551"/>
      <c r="C66" s="682" t="s">
        <v>582</v>
      </c>
      <c r="D66" s="682" t="s">
        <v>583</v>
      </c>
      <c r="E66" s="781">
        <v>0.3</v>
      </c>
      <c r="F66" s="768">
        <v>50</v>
      </c>
    </row>
    <row r="67" spans="1:6" s="764" customFormat="1" ht="36">
      <c r="A67" s="768">
        <v>7</v>
      </c>
      <c r="B67" s="3551"/>
      <c r="C67" s="682" t="s">
        <v>584</v>
      </c>
      <c r="D67" s="682" t="s">
        <v>585</v>
      </c>
      <c r="E67" s="781">
        <v>0.2</v>
      </c>
      <c r="F67" s="768">
        <v>30</v>
      </c>
    </row>
    <row r="68" spans="1:6" s="764" customFormat="1" ht="36">
      <c r="A68" s="768">
        <v>8</v>
      </c>
      <c r="B68" s="3551"/>
      <c r="C68" s="682" t="s">
        <v>586</v>
      </c>
      <c r="D68" s="682" t="s">
        <v>587</v>
      </c>
      <c r="E68" s="781">
        <v>0.2</v>
      </c>
      <c r="F68" s="768">
        <v>30</v>
      </c>
    </row>
    <row r="69" spans="1:6" s="764" customFormat="1" ht="36">
      <c r="A69" s="768">
        <v>9</v>
      </c>
      <c r="B69" s="3551"/>
      <c r="C69" s="682" t="s">
        <v>588</v>
      </c>
      <c r="D69" s="682" t="s">
        <v>589</v>
      </c>
      <c r="E69" s="781">
        <v>0.2</v>
      </c>
      <c r="F69" s="768">
        <v>30</v>
      </c>
    </row>
    <row r="70" spans="1:6" s="764" customFormat="1" ht="48">
      <c r="A70" s="768">
        <v>10</v>
      </c>
      <c r="B70" s="3551"/>
      <c r="C70" s="682" t="s">
        <v>590</v>
      </c>
      <c r="D70" s="682" t="s">
        <v>591</v>
      </c>
      <c r="E70" s="781">
        <v>0.2</v>
      </c>
      <c r="F70" s="768">
        <v>30</v>
      </c>
    </row>
    <row r="71" spans="1:6" s="764" customFormat="1" ht="48">
      <c r="A71" s="768">
        <v>11</v>
      </c>
      <c r="B71" s="3551"/>
      <c r="C71" s="682" t="s">
        <v>592</v>
      </c>
      <c r="D71" s="682" t="s">
        <v>593</v>
      </c>
      <c r="E71" s="781">
        <v>0.2</v>
      </c>
      <c r="F71" s="768">
        <v>30</v>
      </c>
    </row>
    <row r="72" spans="1:6" s="764" customFormat="1" ht="36">
      <c r="A72" s="768">
        <v>12</v>
      </c>
      <c r="B72" s="3551"/>
      <c r="C72" s="682" t="s">
        <v>594</v>
      </c>
      <c r="D72" s="682" t="s">
        <v>595</v>
      </c>
      <c r="E72" s="781">
        <v>0.5</v>
      </c>
      <c r="F72" s="768">
        <v>80</v>
      </c>
    </row>
    <row r="73" spans="1:6" s="764" customFormat="1" ht="24">
      <c r="A73" s="768">
        <v>13</v>
      </c>
      <c r="B73" s="3551"/>
      <c r="C73" s="682" t="s">
        <v>596</v>
      </c>
      <c r="D73" s="682" t="s">
        <v>597</v>
      </c>
      <c r="E73" s="781">
        <v>0.4</v>
      </c>
      <c r="F73" s="768">
        <v>60</v>
      </c>
    </row>
    <row r="74" spans="1:6" s="764" customFormat="1" ht="24">
      <c r="A74" s="768">
        <v>14</v>
      </c>
      <c r="B74" s="3551"/>
      <c r="C74" s="682" t="s">
        <v>598</v>
      </c>
      <c r="D74" s="682" t="s">
        <v>599</v>
      </c>
      <c r="E74" s="781">
        <v>0.2</v>
      </c>
      <c r="F74" s="768">
        <v>30</v>
      </c>
    </row>
    <row r="75" spans="1:6" s="764" customFormat="1" ht="24">
      <c r="A75" s="768">
        <v>15</v>
      </c>
      <c r="B75" s="3551"/>
      <c r="C75" s="682" t="s">
        <v>600</v>
      </c>
      <c r="D75" s="682" t="s">
        <v>601</v>
      </c>
      <c r="E75" s="781">
        <v>0.2</v>
      </c>
      <c r="F75" s="768">
        <v>30</v>
      </c>
    </row>
    <row r="76" spans="1:6" s="764" customFormat="1" ht="24">
      <c r="A76" s="768">
        <v>16</v>
      </c>
      <c r="B76" s="3551" t="s">
        <v>602</v>
      </c>
      <c r="C76" s="682" t="s">
        <v>603</v>
      </c>
      <c r="D76" s="682" t="s">
        <v>604</v>
      </c>
      <c r="E76" s="781">
        <v>0.5</v>
      </c>
      <c r="F76" s="768">
        <v>80</v>
      </c>
    </row>
    <row r="77" spans="1:6" s="764" customFormat="1" ht="24">
      <c r="A77" s="768">
        <v>17</v>
      </c>
      <c r="B77" s="3551"/>
      <c r="C77" s="682" t="s">
        <v>605</v>
      </c>
      <c r="D77" s="682" t="s">
        <v>606</v>
      </c>
      <c r="E77" s="781">
        <v>0.5</v>
      </c>
      <c r="F77" s="768">
        <v>80</v>
      </c>
    </row>
    <row r="78" spans="1:6" s="764" customFormat="1" ht="24">
      <c r="A78" s="768">
        <v>18</v>
      </c>
      <c r="B78" s="3551"/>
      <c r="C78" s="682" t="s">
        <v>607</v>
      </c>
      <c r="D78" s="682" t="s">
        <v>608</v>
      </c>
      <c r="E78" s="781">
        <v>0.2</v>
      </c>
      <c r="F78" s="768">
        <v>30</v>
      </c>
    </row>
    <row r="79" spans="1:6" s="764" customFormat="1" ht="24">
      <c r="A79" s="768">
        <v>19</v>
      </c>
      <c r="B79" s="3551"/>
      <c r="C79" s="682" t="s">
        <v>609</v>
      </c>
      <c r="D79" s="682" t="s">
        <v>610</v>
      </c>
      <c r="E79" s="781">
        <v>0.5</v>
      </c>
      <c r="F79" s="768">
        <v>80</v>
      </c>
    </row>
    <row r="80" spans="1:6" s="764" customFormat="1" ht="36">
      <c r="A80" s="768">
        <v>20</v>
      </c>
      <c r="B80" s="3551"/>
      <c r="C80" s="682" t="s">
        <v>611</v>
      </c>
      <c r="D80" s="682" t="s">
        <v>612</v>
      </c>
      <c r="E80" s="781">
        <v>0.2</v>
      </c>
      <c r="F80" s="768">
        <v>30</v>
      </c>
    </row>
    <row r="81" spans="1:6" s="764" customFormat="1" ht="36">
      <c r="A81" s="768">
        <v>21</v>
      </c>
      <c r="B81" s="3551"/>
      <c r="C81" s="682" t="s">
        <v>613</v>
      </c>
      <c r="D81" s="682" t="s">
        <v>614</v>
      </c>
      <c r="E81" s="781">
        <v>0.2</v>
      </c>
      <c r="F81" s="768">
        <v>30</v>
      </c>
    </row>
    <row r="82" spans="1:6" s="764" customFormat="1" ht="48">
      <c r="A82" s="768">
        <v>22</v>
      </c>
      <c r="B82" s="3551"/>
      <c r="C82" s="682" t="s">
        <v>615</v>
      </c>
      <c r="D82" s="682" t="s">
        <v>616</v>
      </c>
      <c r="E82" s="781">
        <v>0.2</v>
      </c>
      <c r="F82" s="768">
        <v>30</v>
      </c>
    </row>
    <row r="83" spans="1:6" s="764" customFormat="1" ht="48">
      <c r="A83" s="768">
        <v>23</v>
      </c>
      <c r="B83" s="3551"/>
      <c r="C83" s="682" t="s">
        <v>617</v>
      </c>
      <c r="D83" s="682" t="s">
        <v>618</v>
      </c>
      <c r="E83" s="781">
        <v>0.2</v>
      </c>
      <c r="F83" s="768">
        <v>30</v>
      </c>
    </row>
    <row r="84" spans="1:6" s="764" customFormat="1" ht="36">
      <c r="A84" s="768">
        <v>24</v>
      </c>
      <c r="B84" s="3551"/>
      <c r="C84" s="682" t="s">
        <v>619</v>
      </c>
      <c r="D84" s="682" t="s">
        <v>620</v>
      </c>
      <c r="E84" s="781">
        <v>0.2</v>
      </c>
      <c r="F84" s="768">
        <v>30</v>
      </c>
    </row>
    <row r="85" spans="1:6" s="764" customFormat="1" ht="36">
      <c r="A85" s="768">
        <v>25</v>
      </c>
      <c r="B85" s="3551"/>
      <c r="C85" s="682" t="s">
        <v>621</v>
      </c>
      <c r="D85" s="682" t="s">
        <v>622</v>
      </c>
      <c r="E85" s="781">
        <v>0.5</v>
      </c>
      <c r="F85" s="768">
        <v>80</v>
      </c>
    </row>
    <row r="86" spans="1:6" s="764" customFormat="1" ht="36">
      <c r="A86" s="768">
        <v>26</v>
      </c>
      <c r="B86" s="3551"/>
      <c r="C86" s="682" t="s">
        <v>623</v>
      </c>
      <c r="D86" s="682" t="s">
        <v>624</v>
      </c>
      <c r="E86" s="781">
        <v>0.2</v>
      </c>
      <c r="F86" s="768">
        <v>30</v>
      </c>
    </row>
    <row r="87" spans="1:6" s="764" customFormat="1" ht="36">
      <c r="A87" s="768">
        <v>27</v>
      </c>
      <c r="B87" s="3551"/>
      <c r="C87" s="682" t="s">
        <v>625</v>
      </c>
      <c r="D87" s="682" t="s">
        <v>626</v>
      </c>
      <c r="E87" s="781">
        <v>0.2</v>
      </c>
      <c r="F87" s="768">
        <v>30</v>
      </c>
    </row>
    <row r="88" spans="1:6" s="764" customFormat="1" ht="36">
      <c r="A88" s="768">
        <v>28</v>
      </c>
      <c r="B88" s="3551"/>
      <c r="C88" s="682" t="s">
        <v>627</v>
      </c>
      <c r="D88" s="682" t="s">
        <v>628</v>
      </c>
      <c r="E88" s="781">
        <v>0.2</v>
      </c>
      <c r="F88" s="768">
        <v>30</v>
      </c>
    </row>
    <row r="89" spans="1:6" s="764" customFormat="1" ht="24">
      <c r="A89" s="768">
        <v>29</v>
      </c>
      <c r="B89" s="3551"/>
      <c r="C89" s="682" t="s">
        <v>629</v>
      </c>
      <c r="D89" s="682" t="s">
        <v>630</v>
      </c>
      <c r="E89" s="781">
        <v>0.2</v>
      </c>
      <c r="F89" s="768">
        <v>30</v>
      </c>
    </row>
    <row r="90" spans="1:6" s="764" customFormat="1" ht="24">
      <c r="A90" s="768">
        <v>30</v>
      </c>
      <c r="B90" s="3551"/>
      <c r="C90" s="682" t="s">
        <v>631</v>
      </c>
      <c r="D90" s="682" t="s">
        <v>632</v>
      </c>
      <c r="E90" s="781">
        <v>0.2</v>
      </c>
      <c r="F90" s="768">
        <v>30</v>
      </c>
    </row>
    <row r="91" spans="1:6" s="764" customFormat="1" ht="36">
      <c r="A91" s="768">
        <v>31</v>
      </c>
      <c r="B91" s="3551"/>
      <c r="C91" s="682" t="s">
        <v>633</v>
      </c>
      <c r="D91" s="682" t="s">
        <v>634</v>
      </c>
      <c r="E91" s="781">
        <v>0.2</v>
      </c>
      <c r="F91" s="768">
        <v>30</v>
      </c>
    </row>
    <row r="92" spans="1:6" s="764" customFormat="1" ht="24">
      <c r="A92" s="768">
        <v>32</v>
      </c>
      <c r="B92" s="3551" t="s">
        <v>635</v>
      </c>
      <c r="C92" s="768" t="s">
        <v>636</v>
      </c>
      <c r="D92" s="682" t="s">
        <v>637</v>
      </c>
      <c r="E92" s="781">
        <v>0.2</v>
      </c>
      <c r="F92" s="768">
        <v>30</v>
      </c>
    </row>
    <row r="93" spans="1:6" s="764" customFormat="1" ht="36">
      <c r="A93" s="768">
        <v>33</v>
      </c>
      <c r="B93" s="3551"/>
      <c r="C93" s="768" t="s">
        <v>638</v>
      </c>
      <c r="D93" s="682" t="s">
        <v>639</v>
      </c>
      <c r="E93" s="781">
        <v>0.2</v>
      </c>
      <c r="F93" s="768">
        <v>30</v>
      </c>
    </row>
    <row r="94" spans="1:6" s="764" customFormat="1" ht="48">
      <c r="A94" s="768">
        <v>34</v>
      </c>
      <c r="B94" s="3551"/>
      <c r="C94" s="768" t="s">
        <v>640</v>
      </c>
      <c r="D94" s="682" t="s">
        <v>641</v>
      </c>
      <c r="E94" s="781">
        <v>0.2</v>
      </c>
      <c r="F94" s="768">
        <v>30</v>
      </c>
    </row>
    <row r="95" spans="1:6" s="764" customFormat="1" ht="36">
      <c r="A95" s="768">
        <v>35</v>
      </c>
      <c r="B95" s="3551"/>
      <c r="C95" s="768" t="s">
        <v>642</v>
      </c>
      <c r="D95" s="682" t="s">
        <v>643</v>
      </c>
      <c r="E95" s="781">
        <v>0.2</v>
      </c>
      <c r="F95" s="768">
        <v>30</v>
      </c>
    </row>
    <row r="96" spans="1:6" s="764" customFormat="1" ht="48">
      <c r="A96" s="768">
        <v>36</v>
      </c>
      <c r="B96" s="3551"/>
      <c r="C96" s="682" t="s">
        <v>644</v>
      </c>
      <c r="D96" s="682" t="s">
        <v>645</v>
      </c>
      <c r="E96" s="781">
        <v>0.2</v>
      </c>
      <c r="F96" s="768">
        <v>30</v>
      </c>
    </row>
    <row r="97" spans="1:6" s="764" customFormat="1" ht="36">
      <c r="A97" s="768">
        <v>37</v>
      </c>
      <c r="B97" s="3551"/>
      <c r="C97" s="768" t="s">
        <v>646</v>
      </c>
      <c r="D97" s="682" t="s">
        <v>647</v>
      </c>
      <c r="E97" s="781">
        <v>0.2</v>
      </c>
      <c r="F97" s="768">
        <v>30</v>
      </c>
    </row>
    <row r="98" spans="1:6" s="764" customFormat="1" ht="36">
      <c r="A98" s="768">
        <v>38</v>
      </c>
      <c r="B98" s="3551"/>
      <c r="C98" s="768" t="s">
        <v>648</v>
      </c>
      <c r="D98" s="682" t="s">
        <v>649</v>
      </c>
      <c r="E98" s="781">
        <v>0.2</v>
      </c>
      <c r="F98" s="768">
        <v>30</v>
      </c>
    </row>
    <row r="99" spans="1:6" s="764" customFormat="1" ht="36">
      <c r="A99" s="768">
        <v>39</v>
      </c>
      <c r="B99" s="3551" t="s">
        <v>650</v>
      </c>
      <c r="C99" s="768" t="s">
        <v>651</v>
      </c>
      <c r="D99" s="682" t="s">
        <v>652</v>
      </c>
      <c r="E99" s="781">
        <v>0.3</v>
      </c>
      <c r="F99" s="768">
        <v>50</v>
      </c>
    </row>
    <row r="100" spans="1:6" s="764" customFormat="1" ht="24">
      <c r="A100" s="768">
        <v>40</v>
      </c>
      <c r="B100" s="3551"/>
      <c r="C100" s="768" t="s">
        <v>653</v>
      </c>
      <c r="D100" s="682" t="s">
        <v>654</v>
      </c>
      <c r="E100" s="781">
        <v>0.2</v>
      </c>
      <c r="F100" s="768">
        <v>30</v>
      </c>
    </row>
    <row r="101" spans="1:6" s="764" customFormat="1" ht="36">
      <c r="A101" s="768">
        <v>41</v>
      </c>
      <c r="B101" s="355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1" t="s">
        <v>665</v>
      </c>
      <c r="C105" s="768" t="s">
        <v>666</v>
      </c>
      <c r="D105" s="682" t="s">
        <v>667</v>
      </c>
      <c r="E105" s="781">
        <v>0.2</v>
      </c>
      <c r="F105" s="768">
        <v>30</v>
      </c>
    </row>
    <row r="106" spans="1:6" s="764" customFormat="1" ht="36">
      <c r="A106" s="768">
        <v>46</v>
      </c>
      <c r="B106" s="3551"/>
      <c r="C106" s="768" t="s">
        <v>668</v>
      </c>
      <c r="D106" s="682" t="s">
        <v>669</v>
      </c>
      <c r="E106" s="781">
        <v>0.2</v>
      </c>
      <c r="F106" s="768">
        <v>30</v>
      </c>
    </row>
    <row r="107" spans="1:6" s="764" customFormat="1" ht="36">
      <c r="A107" s="768">
        <v>47</v>
      </c>
      <c r="B107" s="3551" t="s">
        <v>670</v>
      </c>
      <c r="C107" s="768" t="s">
        <v>671</v>
      </c>
      <c r="D107" s="682" t="s">
        <v>672</v>
      </c>
      <c r="E107" s="781">
        <v>0.3</v>
      </c>
      <c r="F107" s="768">
        <v>50</v>
      </c>
    </row>
    <row r="108" spans="1:6" s="764" customFormat="1" ht="36">
      <c r="A108" s="768">
        <v>48</v>
      </c>
      <c r="B108" s="355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1" t="s">
        <v>681</v>
      </c>
      <c r="C111" s="768" t="s">
        <v>682</v>
      </c>
      <c r="D111" s="682" t="s">
        <v>683</v>
      </c>
      <c r="E111" s="781">
        <v>0.2</v>
      </c>
      <c r="F111" s="768">
        <v>30</v>
      </c>
    </row>
    <row r="112" spans="1:6" s="764" customFormat="1" ht="24">
      <c r="A112" s="768">
        <v>52</v>
      </c>
      <c r="B112" s="3551"/>
      <c r="C112" s="768" t="s">
        <v>684</v>
      </c>
      <c r="D112" s="682" t="s">
        <v>685</v>
      </c>
      <c r="E112" s="781">
        <v>0.2</v>
      </c>
      <c r="F112" s="768">
        <v>30</v>
      </c>
    </row>
    <row r="113" spans="1:6" s="764" customFormat="1" ht="24">
      <c r="A113" s="768">
        <v>53</v>
      </c>
      <c r="B113" s="355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1" t="s">
        <v>694</v>
      </c>
      <c r="C116" s="768" t="s">
        <v>695</v>
      </c>
      <c r="D116" s="682" t="s">
        <v>696</v>
      </c>
      <c r="E116" s="781">
        <v>0.2</v>
      </c>
      <c r="F116" s="768">
        <v>30</v>
      </c>
    </row>
    <row r="117" spans="1:6" ht="36">
      <c r="A117" s="768">
        <v>57</v>
      </c>
      <c r="B117" s="355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2"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1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7" t="s">
        <v>1020</v>
      </c>
      <c r="C1" s="3557"/>
      <c r="D1" s="3557"/>
      <c r="E1" s="3557"/>
      <c r="F1" s="3557"/>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2895</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2712</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2896</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2">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2894</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51">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2746</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2743</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2741</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2738</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2732</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2733</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2726</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5">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2721</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5"/>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2720</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5"/>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2717</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2"/>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2714</v>
      </c>
      <c r="B18" s="2381">
        <v>439</v>
      </c>
      <c r="C18" s="2381">
        <v>327</v>
      </c>
      <c r="D18" s="2381">
        <f t="shared" si="125"/>
        <v>327</v>
      </c>
      <c r="E18" s="2381">
        <v>627</v>
      </c>
      <c r="F18" s="2382">
        <v>283</v>
      </c>
      <c r="G18" s="3558">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2711</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5"/>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5"/>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2"/>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8">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5"/>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5"/>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6"/>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4">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5"/>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5"/>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6"/>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4">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5"/>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5"/>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6"/>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9">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60"/>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60"/>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61"/>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4">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5"/>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5"/>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6"/>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4">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5">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5">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6">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4">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5">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5">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6">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4">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5">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5">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6">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4">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5">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5">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6">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4">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5">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5">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6">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4">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5">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5">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6">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4">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5">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5">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6">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4">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5">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5">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6">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4">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5">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5">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6">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4">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5">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5">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6">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1"/>
      <c r="C2" s="3181"/>
      <c r="D2" s="3181"/>
      <c r="E2" s="3181"/>
    </row>
    <row r="3" spans="1:5" ht="13.5" customHeight="1">
      <c r="A3" s="1362"/>
      <c r="B3" s="1362"/>
      <c r="C3" s="1362"/>
      <c r="D3" s="1362"/>
      <c r="E3" s="1362"/>
    </row>
    <row r="4" spans="1:5" ht="19.5" thickBot="1">
      <c r="A4" s="3182" t="str">
        <f>IF(项目基本情况!D5="房地产市场价值","估价结果一览表（市场价值不需本页表格)","估价结果一览表")</f>
        <v>估价结果一览表（市场价值不需本页表格)</v>
      </c>
      <c r="B4" s="3182"/>
      <c r="C4" s="3182"/>
      <c r="D4" s="3182"/>
      <c r="E4" s="3182"/>
    </row>
    <row r="5" spans="1:5" ht="14.25" customHeight="1" thickTop="1">
      <c r="A5" s="1359"/>
      <c r="B5" s="1363" t="s">
        <v>742</v>
      </c>
      <c r="C5" s="3183" t="s">
        <v>775</v>
      </c>
      <c r="D5" s="3184"/>
      <c r="E5" s="1359"/>
    </row>
    <row r="6" spans="1:5" ht="14.25">
      <c r="A6" s="1359"/>
      <c r="B6" s="1364" t="str">
        <f>项目基本情况!I1</f>
        <v>北京市房地产</v>
      </c>
      <c r="C6" s="3185">
        <f>项目基本情况!C12</f>
        <v>90</v>
      </c>
      <c r="D6" s="3185"/>
      <c r="E6" s="1359"/>
    </row>
    <row r="7" spans="1:5" ht="14.25">
      <c r="A7" s="1359"/>
      <c r="B7" s="3179" t="s">
        <v>776</v>
      </c>
      <c r="C7" s="1365" t="str">
        <f>IF('数据-取费表'!B3="万元","总价（万元）","总价（元）")</f>
        <v>总价（元）</v>
      </c>
      <c r="D7" s="1366">
        <f ca="1">IF('数据-取费表'!E3="否",结果表!I102,'结果表 (1修多)'!I104)</f>
        <v>3516660</v>
      </c>
      <c r="E7" s="1359"/>
    </row>
    <row r="8" spans="1:5" ht="14.25">
      <c r="A8" s="1359"/>
      <c r="B8" s="3179"/>
      <c r="C8" s="1367" t="s">
        <v>1162</v>
      </c>
      <c r="D8" s="1368" t="str">
        <f ca="1">IF('数据-取费表'!B3="万元",NUMBERSTRING(INT(D7*10000),2)&amp;"元整",NUMBERSTRING(INT(D7),2)&amp;"元整")</f>
        <v>叁佰伍拾壹万陆仟陆佰陆拾元整</v>
      </c>
      <c r="E8" s="1359"/>
    </row>
    <row r="9" spans="1:5" ht="14.25">
      <c r="A9" s="1359"/>
      <c r="B9" s="3179"/>
      <c r="C9" s="1369" t="s">
        <v>1259</v>
      </c>
      <c r="D9" s="1366">
        <f ca="1">IF('数据-取费表'!E3="否",结果表!I103,'结果表 (1修多)'!I105)</f>
        <v>39074</v>
      </c>
      <c r="E9" s="1359"/>
    </row>
    <row r="10" spans="1:5" ht="14.25">
      <c r="A10" s="1359"/>
      <c r="B10" s="318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6" t="str">
        <f>IF('数据-取费表'!E3="否",结果表!F110,'结果表 (1修多)'!F112)</f>
        <v>3.房地产抵押价值</v>
      </c>
      <c r="C15" s="1360" t="str">
        <f>C7</f>
        <v>总价（元）</v>
      </c>
      <c r="D15" s="1366">
        <f ca="1">IF('数据-取费表'!E3="否",结果表!I110,'结果表 (1修多)'!I112)</f>
        <v>3516660</v>
      </c>
      <c r="E15" s="1359"/>
    </row>
    <row r="16" spans="1:5" ht="14.25">
      <c r="A16" s="1359"/>
      <c r="B16" s="3186"/>
      <c r="C16" s="1367" t="s">
        <v>1162</v>
      </c>
      <c r="D16" s="1366" t="str">
        <f ca="1">IF('数据-取费表'!B3="万元",NUMBERSTRING(INT(D15*10000),2)&amp;"元整",NUMBERSTRING(INT(D15),2)&amp;"元整")</f>
        <v>叁佰伍拾壹万陆仟陆佰陆拾元整</v>
      </c>
      <c r="E16" s="1359"/>
    </row>
    <row r="17" spans="1:5" ht="14.25">
      <c r="A17" s="1359"/>
      <c r="B17" s="3186"/>
      <c r="C17" s="1369" t="s">
        <v>1259</v>
      </c>
      <c r="D17" s="1366">
        <f ca="1">IF('数据-取费表'!E3="否",结果表!I111,'结果表 (1修多)'!I113)</f>
        <v>39074</v>
      </c>
      <c r="E17" s="1359"/>
    </row>
    <row r="18" spans="1:5" ht="14.25">
      <c r="A18" s="1359"/>
      <c r="B18" s="3186" t="str">
        <f>IF('数据-取费表'!E3="否",结果表!F112,'结果表 (1修多)'!F114)</f>
        <v>——</v>
      </c>
      <c r="C18" s="1360" t="str">
        <f>C7</f>
        <v>总价（元）</v>
      </c>
      <c r="D18" s="1366" t="str">
        <f>IF('数据-取费表'!E3="否",结果表!I112,'结果表 (1修多)'!I114)</f>
        <v>——</v>
      </c>
      <c r="E18" s="1359"/>
    </row>
    <row r="19" spans="1:5" ht="14.25">
      <c r="A19" s="1359"/>
      <c r="B19" s="3186"/>
      <c r="C19" s="1367" t="s">
        <v>1162</v>
      </c>
      <c r="D19" s="1366" t="e">
        <f>IF('数据-取费表'!B3="万元",NUMBERSTRING(INT(D18*10000),2)&amp;"元整",NUMBERSTRING(INT(D18),2)&amp;"元整")</f>
        <v>#VALUE!</v>
      </c>
      <c r="E19" s="1359"/>
    </row>
    <row r="20" spans="1:5" ht="14.25">
      <c r="A20" s="1359"/>
      <c r="B20" s="3186"/>
      <c r="C20" s="1369" t="s">
        <v>1259</v>
      </c>
      <c r="D20" s="1366" t="str">
        <f>IF('数据-取费表'!E3="否",结果表!I113,'结果表 (1修多)'!I115)</f>
        <v>——</v>
      </c>
      <c r="E20" s="1359"/>
    </row>
    <row r="21" spans="1:5" ht="14.25">
      <c r="A21" s="1359"/>
      <c r="B21" s="3179" t="str">
        <f>IF('数据-取费表'!E3="否",结果表!F114,'结果表 (1修多)'!F116)</f>
        <v>——</v>
      </c>
      <c r="C21" s="1365" t="str">
        <f>C7</f>
        <v>总价（元）</v>
      </c>
      <c r="D21" s="1366" t="str">
        <f>IF('数据-取费表'!E3="否",结果表!I114,'结果表 (1修多)'!I116)</f>
        <v>——</v>
      </c>
      <c r="E21" s="1359"/>
    </row>
    <row r="22" spans="1:5" ht="14.25">
      <c r="A22" s="1359"/>
      <c r="B22" s="3179"/>
      <c r="C22" s="1367" t="s">
        <v>1162</v>
      </c>
      <c r="D22" s="1368" t="e">
        <f>IF('数据-取费表'!B3="万元",NUMBERSTRING(INT(D21*10000),2)&amp;"元整",NUMBERSTRING(INT(D21),2)&amp;"元整")</f>
        <v>#VALUE!</v>
      </c>
      <c r="E22" s="1359"/>
    </row>
    <row r="23" spans="1:5" ht="15" thickBot="1">
      <c r="A23" s="1359"/>
      <c r="B23" s="3180"/>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1" t="s">
        <v>1260</v>
      </c>
      <c r="C25" s="3171"/>
      <c r="D25" s="3171"/>
      <c r="E25" s="1359"/>
    </row>
    <row r="26" spans="1:5" ht="18.75" customHeight="1" thickTop="1">
      <c r="A26" s="1359"/>
      <c r="B26" s="3174" t="s">
        <v>1161</v>
      </c>
      <c r="C26" s="3175"/>
      <c r="D26" s="3172" t="s">
        <v>1160</v>
      </c>
      <c r="E26" s="1359"/>
    </row>
    <row r="27" spans="1:5" ht="18.75" customHeight="1">
      <c r="A27" s="1359"/>
      <c r="B27" s="3176"/>
      <c r="C27" s="3177"/>
      <c r="D27" s="3173"/>
      <c r="E27" s="1359"/>
    </row>
    <row r="28" spans="1:5" ht="14.25">
      <c r="A28" s="1359"/>
      <c r="B28" s="3164" t="s">
        <v>776</v>
      </c>
      <c r="C28" s="1376" t="s">
        <v>1163</v>
      </c>
      <c r="D28" s="1377">
        <f ca="1">IF('数据-取费表'!E3="否",结果表!I102,'结果表 (1修多)'!I104)</f>
        <v>3516660</v>
      </c>
      <c r="E28" s="1359"/>
    </row>
    <row r="29" spans="1:5" ht="14.25">
      <c r="A29" s="1359"/>
      <c r="B29" s="3165"/>
      <c r="C29" s="1378" t="s">
        <v>1162</v>
      </c>
      <c r="D29" s="1379" t="str">
        <f ca="1">IF('数据-取费表'!B3="万元",NUMBERSTRING(INT(D28*10000),2)&amp;"元整",NUMBERSTRING(INT(D28),2)&amp;"元整")</f>
        <v>叁佰伍拾壹万陆仟陆佰陆拾元整</v>
      </c>
      <c r="E29" s="1359"/>
    </row>
    <row r="30" spans="1:5" ht="14.25">
      <c r="A30" s="1359"/>
      <c r="B30" s="3166"/>
      <c r="C30" s="1369" t="s">
        <v>1165</v>
      </c>
      <c r="D30" s="1380">
        <f ca="1">IF('数据-取费表'!E3="否",结果表!I103,'结果表 (1修多)'!I105)</f>
        <v>39074</v>
      </c>
      <c r="E30" s="1359"/>
    </row>
    <row r="31" spans="1:5" ht="14.25">
      <c r="A31" s="1359"/>
      <c r="B31" s="3169" t="str">
        <f>B10</f>
        <v>2.估价师所知悉的法定优先受偿款</v>
      </c>
      <c r="C31" s="1381" t="s">
        <v>1164</v>
      </c>
      <c r="D31" s="1382">
        <f>IF('数据-取费表'!E3="否",结果表!I105,'结果表 (1修多)'!I107)</f>
        <v>0</v>
      </c>
      <c r="E31" s="1359"/>
    </row>
    <row r="32" spans="1:5" ht="14.25">
      <c r="A32" s="1359"/>
      <c r="B32" s="317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7" t="str">
        <f>B15</f>
        <v>3.房地产抵押价值</v>
      </c>
      <c r="C36" s="1381" t="str">
        <f>C28</f>
        <v>总价</v>
      </c>
      <c r="D36" s="1382">
        <f ca="1">IF('数据-取费表'!E3="否",结果表!I110,'结果表 (1修多)'!I112)</f>
        <v>3516660</v>
      </c>
      <c r="E36" s="1359"/>
    </row>
    <row r="37" spans="1:5" ht="14.25">
      <c r="A37" s="1359"/>
      <c r="B37" s="3167"/>
      <c r="C37" s="1378" t="s">
        <v>1162</v>
      </c>
      <c r="D37" s="1383" t="str">
        <f ca="1">IF('数据-取费表'!B3="万元",NUMBERSTRING(INT(D36*10000),2)&amp;"元整",NUMBERSTRING(INT(D36),2)&amp;"元整")</f>
        <v>叁佰伍拾壹万陆仟陆佰陆拾元整</v>
      </c>
      <c r="E37" s="1359"/>
    </row>
    <row r="38" spans="1:5" ht="14.25">
      <c r="A38" s="1359"/>
      <c r="B38" s="3167"/>
      <c r="C38" s="1369" t="s">
        <v>1166</v>
      </c>
      <c r="D38" s="1380">
        <f ca="1">IF('数据-取费表'!E3="否",结果表!D113,'结果表 (1修多)'!D117)</f>
        <v>39074</v>
      </c>
      <c r="E38" s="1359"/>
    </row>
    <row r="39" spans="1:5" ht="14.25">
      <c r="A39" s="1359"/>
      <c r="B39" s="3168" t="str">
        <f>B18</f>
        <v>——</v>
      </c>
      <c r="C39" s="1381" t="str">
        <f>C28</f>
        <v>总价</v>
      </c>
      <c r="D39" s="1382" t="str">
        <f>IF('数据-取费表'!E3="否",结果表!I112,'结果表 (1修多)'!I114)</f>
        <v>——</v>
      </c>
      <c r="E39" s="1359"/>
    </row>
    <row r="40" spans="1:5" ht="14.25">
      <c r="A40" s="1359"/>
      <c r="B40" s="3168"/>
      <c r="C40" s="1378" t="s">
        <v>1162</v>
      </c>
      <c r="D40" s="1383" t="e">
        <f>IF('数据-取费表'!B3="万元",NUMBERSTRING(INT(D39*10000),2)&amp;"元整",NUMBERSTRING(INT(D39),2)&amp;"元整")</f>
        <v>#VALUE!</v>
      </c>
      <c r="E40" s="1359"/>
    </row>
    <row r="41" spans="1:5" ht="14.25">
      <c r="A41" s="1359"/>
      <c r="B41" s="3168"/>
      <c r="C41" s="1369" t="s">
        <v>1166</v>
      </c>
      <c r="D41" s="1380" t="str">
        <f>IF('数据-取费表'!E3="否",结果表!D115,'结果表 (1修多)'!D119)</f>
        <v>——</v>
      </c>
      <c r="E41" s="1359"/>
    </row>
    <row r="42" spans="1:5" ht="14.25">
      <c r="A42" s="1359"/>
      <c r="B42" s="3167" t="str">
        <f>B21</f>
        <v>——</v>
      </c>
      <c r="C42" s="1381" t="str">
        <f>C28</f>
        <v>总价</v>
      </c>
      <c r="D42" s="1382" t="str">
        <f>IF('数据-取费表'!E3="否",结果表!I114,'结果表 (1修多)'!I116)</f>
        <v>——</v>
      </c>
      <c r="E42" s="1359"/>
    </row>
    <row r="43" spans="1:5" ht="14.25">
      <c r="A43" s="1359"/>
      <c r="B43" s="3169"/>
      <c r="C43" s="1378" t="s">
        <v>1162</v>
      </c>
      <c r="D43" s="1384" t="e">
        <f>IF('数据-取费表'!B3="万元",NUMBERSTRING(INT(D42*10000),2)&amp;"元整",NUMBERSTRING(INT(D42),2)&amp;"元整")</f>
        <v>#VALUE!</v>
      </c>
      <c r="E43" s="1359"/>
    </row>
    <row r="44" spans="1:5" ht="15" thickBot="1">
      <c r="A44" s="1359"/>
      <c r="B44" s="3170"/>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87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87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87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87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87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87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87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87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87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87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87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87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87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87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87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87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87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87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87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87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87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87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87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87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87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87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87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87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87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87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87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87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87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87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87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87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87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87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87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87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87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87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87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87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87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87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87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87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87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87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87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87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87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87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87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87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87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87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87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87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87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87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87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875" style="1234" customWidth="1"/>
    <col min="16142" max="16384" width="9" style="1234"/>
  </cols>
  <sheetData>
    <row r="1" spans="1:257" s="1297" customFormat="1" ht="14.25" thickBot="1">
      <c r="A1" s="1292"/>
      <c r="B1" s="1293" t="s">
        <v>1172</v>
      </c>
      <c r="C1" s="1298">
        <f>项目基本情况!D2</f>
        <v>44235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193" t="str">
        <f>IF(项目基本情况!D5="房地产市场价值","估价结果一览表","结果表-2")</f>
        <v>估价结果一览表</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90</v>
      </c>
      <c r="C4" s="818">
        <f>结果表!C121</f>
        <v>0</v>
      </c>
      <c r="D4" s="818">
        <f ca="1">IF('数据-取费表'!E3="否",结果表!D121,'结果表 (1修多)'!D125)</f>
        <v>2795760</v>
      </c>
      <c r="E4" s="818">
        <f ca="1">IF('数据-取费表'!E3="否",结果表!E121,'结果表 (1修多)'!E125)</f>
        <v>31064</v>
      </c>
      <c r="F4" s="818">
        <f ca="1">IF('数据-取费表'!E3="否",结果表!F121,'结果表 (1修多)'!F125)</f>
        <v>720900</v>
      </c>
      <c r="G4" s="818">
        <f ca="1">IF('数据-取费表'!E3="否",结果表!G121,'结果表 (1修多)'!G125)</f>
        <v>8010</v>
      </c>
      <c r="H4" s="818">
        <f ca="1">IF('数据-取费表'!E3="否",结果表!H121,'结果表 (1修多)'!H125)</f>
        <v>3516660</v>
      </c>
      <c r="I4" s="818">
        <f ca="1">IF('数据-取费表'!E3="否",结果表!I121,'结果表 (1修多)'!I125)</f>
        <v>39074</v>
      </c>
    </row>
    <row r="5" spans="1:9" ht="15">
      <c r="A5" s="3187" t="s">
        <v>1269</v>
      </c>
      <c r="B5" s="3187"/>
      <c r="C5" s="3187"/>
      <c r="D5" s="3188" t="str">
        <f ca="1">IF('数据-取费表'!E3="否",结果表!D122,'结果表 (1修多)'!D126)</f>
        <v>贰佰柒拾玖万伍仟柒佰陆拾元整</v>
      </c>
      <c r="E5" s="3188"/>
      <c r="F5" s="3188" t="str">
        <f ca="1">IF('数据-取费表'!E3="否",结果表!F122,'结果表 (1修多)'!F126)</f>
        <v>柒拾贰万零玖佰元整</v>
      </c>
      <c r="G5" s="3188"/>
      <c r="H5" s="3188" t="str">
        <f ca="1">IF('数据-取费表'!E3="否",结果表!H122,'结果表 (1修多)'!H126)</f>
        <v>叁佰伍拾壹万陆仟陆佰陆拾元整</v>
      </c>
      <c r="I5" s="3188"/>
    </row>
    <row r="6" spans="1:9" ht="15.75">
      <c r="A6" s="3189" t="str">
        <f>IF('数据-取费表'!E3="否",结果表!A123,'结果表 (1修多)'!A127)</f>
        <v>——</v>
      </c>
      <c r="B6" s="3189"/>
      <c r="C6" s="3189"/>
      <c r="D6" s="3189">
        <f>IF('数据-取费表'!E3="否",结果表!D123,'结果表 (1修多)'!D127)</f>
        <v>0</v>
      </c>
      <c r="E6" s="3189"/>
      <c r="F6" s="3189"/>
      <c r="G6" s="3189"/>
      <c r="H6" s="3189"/>
      <c r="I6" s="3189"/>
    </row>
    <row r="7" spans="1:9" ht="15">
      <c r="A7" s="3187" t="s">
        <v>1269</v>
      </c>
      <c r="B7" s="3187"/>
      <c r="C7" s="3187"/>
      <c r="D7" s="3195">
        <f>IF('数据-取费表'!E3="否",结果表!D124,'结果表 (1修多)'!D128)</f>
        <v>0</v>
      </c>
      <c r="E7" s="3196"/>
      <c r="F7" s="3196"/>
      <c r="G7" s="3196"/>
      <c r="H7" s="3196"/>
      <c r="I7" s="3197"/>
    </row>
    <row r="8" spans="1:9" ht="15.75">
      <c r="A8" s="3189" t="str">
        <f>IF('数据-取费表'!E3="否",结果表!A125,'结果表 (1修多)'!A129)</f>
        <v>——</v>
      </c>
      <c r="B8" s="3189"/>
      <c r="C8" s="3189"/>
      <c r="D8" s="3189">
        <f ca="1">IF('数据-取费表'!E3="否",结果表!D125,'结果表 (1修多)'!D129)</f>
        <v>3516660</v>
      </c>
      <c r="E8" s="3189"/>
      <c r="F8" s="3189"/>
      <c r="G8" s="3189"/>
      <c r="H8" s="3189"/>
      <c r="I8" s="3189"/>
    </row>
    <row r="9" spans="1:9" ht="15">
      <c r="A9" s="3187" t="s">
        <v>1269</v>
      </c>
      <c r="B9" s="3187"/>
      <c r="C9" s="3187"/>
      <c r="D9" s="3188">
        <f ca="1">IF('数据-取费表'!E3="否",结果表!D126,'结果表 (1修多)'!D130)</f>
        <v>39074</v>
      </c>
      <c r="E9" s="3188"/>
      <c r="F9" s="3188"/>
      <c r="G9" s="3188"/>
      <c r="H9" s="3188"/>
      <c r="I9" s="3188"/>
    </row>
    <row r="10" spans="1:9" ht="15.75">
      <c r="A10" s="3189" t="str">
        <f>IF('数据-取费表'!E3="否",结果表!A127,'结果表 (1修多)'!A131)</f>
        <v>——</v>
      </c>
      <c r="B10" s="3189"/>
      <c r="C10" s="3189"/>
      <c r="D10" s="3189" t="str">
        <f>IF('数据-取费表'!E3="否",结果表!D127,'结果表 (1修多)'!D130)</f>
        <v>——</v>
      </c>
      <c r="E10" s="3189"/>
      <c r="F10" s="3189"/>
      <c r="G10" s="3189"/>
      <c r="H10" s="3189"/>
      <c r="I10" s="3189"/>
    </row>
    <row r="11" spans="1:9" ht="15">
      <c r="A11" s="3187" t="s">
        <v>1269</v>
      </c>
      <c r="B11" s="3187"/>
      <c r="C11" s="3187"/>
      <c r="D11" s="3188" t="str">
        <f>IF('数据-取费表'!E3="否",结果表!D128,'结果表 (1修多)'!D132)</f>
        <v>——</v>
      </c>
      <c r="E11" s="3188"/>
      <c r="F11" s="3188"/>
      <c r="G11" s="3188"/>
      <c r="H11" s="3188"/>
      <c r="I11" s="3188"/>
    </row>
    <row r="12" spans="1:9" ht="15.75">
      <c r="A12" s="3189" t="str">
        <f>IF('数据-取费表'!E3="否",结果表!A129,'结果表 (1修多)'!A133)</f>
        <v>——</v>
      </c>
      <c r="B12" s="3189"/>
      <c r="C12" s="3189"/>
      <c r="D12" s="3189" t="str">
        <f>IF('数据-取费表'!E3="否",结果表!D129,'结果表 (1修多)'!D133)</f>
        <v>——</v>
      </c>
      <c r="E12" s="3189"/>
      <c r="F12" s="3189"/>
      <c r="G12" s="3189"/>
      <c r="H12" s="3189"/>
      <c r="I12" s="3189"/>
    </row>
    <row r="13" spans="1:9" ht="15.75" thickBot="1">
      <c r="A13" s="3190" t="s">
        <v>1269</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2"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199" t="s">
        <v>1282</v>
      </c>
      <c r="B1" s="3199"/>
      <c r="C1" s="3199"/>
      <c r="D1" s="3199"/>
    </row>
    <row r="2" spans="1:4" ht="18">
      <c r="A2" s="3198" t="s">
        <v>1271</v>
      </c>
      <c r="B2" s="3198"/>
      <c r="C2" s="3198"/>
      <c r="D2" s="3198"/>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98" t="s">
        <v>1276</v>
      </c>
      <c r="B7" s="3198"/>
      <c r="C7" s="3198"/>
      <c r="D7" s="319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0" t="s">
        <v>2747</v>
      </c>
      <c r="B12" s="3201"/>
      <c r="C12" s="3201"/>
      <c r="D12" s="3201"/>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1"/>
      <c r="C13" s="3201"/>
      <c r="D13" s="3201"/>
    </row>
    <row r="14" spans="1:4" ht="30" customHeight="1">
      <c r="A14" s="3200" t="str">
        <f>IF(项目基本情况!D4="抵押","3.抵押双方在办理抵押登记手续时，应使用本公司出具的正式《不动产估价报告书》，特提醒报告使用者注意。","——")</f>
        <v>——</v>
      </c>
      <c r="B14" s="3201"/>
      <c r="C14" s="3201"/>
      <c r="D14" s="3201"/>
    </row>
    <row r="15" spans="1:4" ht="15.75" customHeight="1">
      <c r="A15" s="3200" t="str">
        <f>IF(项目基本情况!D4="抵押","4.本次评估估价师所知悉的法定优先受偿款情况说明如下：","——")</f>
        <v>——</v>
      </c>
      <c r="B15" s="3201"/>
      <c r="C15" s="3201"/>
      <c r="D15" s="3201"/>
    </row>
    <row r="16" spans="1:4" ht="75" customHeight="1">
      <c r="A16" s="3200" t="str">
        <f>IF(项目基本情况!D4="抵押",CONCATENATE(项目基本情况!J13,项目基本情况!J14,项目基本情况!J15),"——")</f>
        <v>——</v>
      </c>
      <c r="B16" s="3200"/>
      <c r="C16" s="3200"/>
      <c r="D16" s="3200"/>
    </row>
    <row r="17" spans="1:4" ht="63.75" customHeight="1">
      <c r="A17" s="3202" t="s">
        <v>1284</v>
      </c>
      <c r="B17" s="3202"/>
      <c r="C17" s="3202"/>
      <c r="D17" s="3202"/>
    </row>
    <row r="18" spans="1:4" ht="15.75" customHeight="1">
      <c r="A18" s="3200" t="str">
        <f>IF(项目基本情况!D4="抵押",结果表!L106,"——")</f>
        <v>——</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2748</v>
      </c>
      <c r="B20" s="3202"/>
      <c r="C20" s="3202"/>
      <c r="D20" s="320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1"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2" t="s">
        <v>1368</v>
      </c>
      <c r="B19" s="1413"/>
      <c r="C19" s="1414"/>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5" t="s">
        <v>1374</v>
      </c>
    </row>
    <row r="24" spans="1:3" ht="14.25">
      <c r="A24" s="3206"/>
      <c r="B24" s="3207"/>
      <c r="C24" s="1415" t="s">
        <v>1375</v>
      </c>
    </row>
    <row r="25" spans="1:3" ht="14.25">
      <c r="A25" s="3206"/>
      <c r="B25" s="3207"/>
      <c r="C25" s="1415" t="s">
        <v>1376</v>
      </c>
    </row>
    <row r="26" spans="1:3" ht="14.25">
      <c r="A26" s="3206"/>
      <c r="B26" s="3207"/>
      <c r="C26" s="1415" t="s">
        <v>1377</v>
      </c>
    </row>
    <row r="27" spans="1:3" ht="14.25">
      <c r="A27" s="3206"/>
      <c r="B27" s="3207"/>
      <c r="C27" s="1415" t="s">
        <v>1378</v>
      </c>
    </row>
    <row r="28" spans="1:3" ht="14.25">
      <c r="A28" s="3206"/>
      <c r="B28" s="3207"/>
      <c r="C28" s="1415" t="s">
        <v>1379</v>
      </c>
    </row>
    <row r="29" spans="1:3" ht="14.25">
      <c r="A29" s="3206"/>
      <c r="B29" s="3207"/>
      <c r="C29" s="1415" t="s">
        <v>1380</v>
      </c>
    </row>
    <row r="30" spans="1:3" ht="14.25">
      <c r="A30" s="3206"/>
      <c r="B30" s="3207"/>
      <c r="C30" s="1415" t="s">
        <v>1381</v>
      </c>
    </row>
    <row r="31" spans="1:3" ht="14.25">
      <c r="A31" s="3206"/>
      <c r="B31" s="320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44247</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2722</v>
      </c>
      <c r="B12" s="1301">
        <f ca="1">IF(C12&lt;B2,"已过期",1120040230)</f>
        <v>1120040230</v>
      </c>
      <c r="C12" s="3075">
        <v>44864</v>
      </c>
      <c r="D12" s="3083" t="str">
        <f t="shared" ca="1" si="0"/>
        <v>苏海（注册号：1120040230）</v>
      </c>
      <c r="E12" s="3085" t="s">
        <v>2722</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2740</v>
      </c>
      <c r="B14" s="1301">
        <f ca="1">IF(C14&lt;B2,"已过期",1119980106)</f>
        <v>1119980106</v>
      </c>
      <c r="C14" s="3075">
        <v>44969</v>
      </c>
      <c r="D14" s="3083" t="str">
        <f t="shared" ca="1" si="0"/>
        <v>刘俊财（注册号：1119980106）</v>
      </c>
      <c r="E14" s="3085" t="s">
        <v>2840</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2844</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71"/>
      <c r="E18" s="3213" t="s">
        <v>764</v>
      </c>
      <c r="F18" s="3212"/>
      <c r="G18" s="3212"/>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2841</v>
      </c>
      <c r="B20" s="3078" t="s">
        <v>2842</v>
      </c>
      <c r="C20" s="3073">
        <v>44820</v>
      </c>
      <c r="D20" s="3086"/>
      <c r="E20" s="3088" t="s">
        <v>768</v>
      </c>
      <c r="F20" s="3078" t="s">
        <v>769</v>
      </c>
      <c r="G20" s="3079">
        <v>44377</v>
      </c>
    </row>
    <row r="21" spans="1:8" s="3061" customFormat="1" ht="24" customHeight="1">
      <c r="A21" s="3078"/>
      <c r="B21" s="3078"/>
      <c r="C21" s="3080"/>
      <c r="D21" s="3087"/>
      <c r="E21" s="3088" t="s">
        <v>770</v>
      </c>
      <c r="F21" s="3081" t="s">
        <v>2739</v>
      </c>
      <c r="G21" s="3082">
        <v>44012</v>
      </c>
    </row>
    <row r="22" spans="1:8" ht="24" customHeight="1">
      <c r="C22" s="3064"/>
      <c r="D22" s="3064"/>
      <c r="E22" s="3089"/>
      <c r="F22" s="3090"/>
      <c r="G22" s="3091" t="s">
        <v>2843</v>
      </c>
    </row>
  </sheetData>
  <sheetProtection password="CEE9" sheet="1" objects="1" scenarios="1" formatCells="0" formatColumns="0" formatRows="0"/>
  <mergeCells count="3">
    <mergeCell ref="A17:H17"/>
    <mergeCell ref="A18:C18"/>
    <mergeCell ref="E18:G18"/>
  </mergeCells>
  <phoneticPr fontId="78"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本次估价的“房地产价值”是指在正常市场情况下，在价值时点2021年2月8日，估价对象规划用途为，假定未设立法定优先受偿款下的房地产市场价值。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176</vt:i4>
      </vt:variant>
    </vt:vector>
  </HeadingPairs>
  <TitlesOfParts>
    <vt:vector size="21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Sheet1</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比较法-住宅0207</vt:lpstr>
      <vt:lpstr>案例0207</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'比较法-住宅0207'!Print_Area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'比较法-住宅0207'!住宅朝向</vt:lpstr>
      <vt:lpstr>住宅朝向</vt:lpstr>
      <vt:lpstr>'比较法-住宅0207'!住宅房型</vt:lpstr>
      <vt:lpstr>住宅房型</vt:lpstr>
      <vt:lpstr>'比较法-住宅0207'!住宅公共部分装修</vt:lpstr>
      <vt:lpstr>住宅公共部分装修</vt:lpstr>
      <vt:lpstr>'比较法-住宅0207'!住宅基础设施水平</vt:lpstr>
      <vt:lpstr>住宅基础设施水平</vt:lpstr>
      <vt:lpstr>'比较法-住宅0207'!住宅建筑结构</vt:lpstr>
      <vt:lpstr>住宅建筑结构</vt:lpstr>
      <vt:lpstr>'比较法-住宅0207'!住宅建筑类型</vt:lpstr>
      <vt:lpstr>住宅建筑类型</vt:lpstr>
      <vt:lpstr>'比较法-住宅0207'!住宅建筑品质</vt:lpstr>
      <vt:lpstr>住宅建筑品质</vt:lpstr>
      <vt:lpstr>'比较法-住宅0207'!住宅交易情况</vt:lpstr>
      <vt:lpstr>住宅交易情况</vt:lpstr>
      <vt:lpstr>'比较法-住宅0207'!住宅楼层</vt:lpstr>
      <vt:lpstr>住宅楼层</vt:lpstr>
      <vt:lpstr>'比较法-住宅0207'!住宅内部装修</vt:lpstr>
      <vt:lpstr>住宅内部装修</vt:lpstr>
      <vt:lpstr>'比较法-住宅0207'!住宅物业管理</vt:lpstr>
      <vt:lpstr>住宅物业管理</vt:lpstr>
      <vt:lpstr>'比较法-住宅0207'!住宅用途</vt:lpstr>
      <vt:lpstr>住宅用途</vt:lpstr>
      <vt:lpstr>'比较法-住宅0207'!住宅主力户型面积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2021-02-20T01:33:29Z</dcterms:modified>
</cp:coreProperties>
</file>