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45" windowWidth="14040" windowHeight="140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Y6" i="1"/>
  <c r="N6" i="1"/>
  <c r="D10" i="68"/>
  <c r="C10" i="68"/>
  <c r="B29" i="1"/>
  <c r="D3" i="4"/>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10"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V17" i="71"/>
  <c r="C17" i="71"/>
  <c r="D18" i="71"/>
  <c r="I59" i="34"/>
  <c r="J59" i="34"/>
  <c r="D15" i="71"/>
  <c r="T17" i="71"/>
  <c r="D16" i="71"/>
  <c r="D17" i="71"/>
  <c r="U17" i="71"/>
  <c r="F41" i="15"/>
  <c r="E8" i="76"/>
  <c r="C20" i="68"/>
  <c r="D5" i="73"/>
  <c r="K1" i="73"/>
  <c r="D4"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B3" i="68"/>
  <c r="C57" i="68"/>
  <c r="C56" i="68"/>
  <c r="D34" i="9"/>
  <c r="E13" i="76"/>
  <c r="M6" i="67"/>
  <c r="F7" i="15"/>
  <c r="F16" i="67"/>
  <c r="F13" i="15"/>
  <c r="C20" i="9"/>
  <c r="AO12" i="1"/>
  <c r="E2" i="68"/>
  <c r="F26" i="15"/>
  <c r="F42" i="67"/>
  <c r="M28" i="67"/>
  <c r="L47" i="67"/>
  <c r="F36" i="67"/>
  <c r="B8" i="76"/>
  <c r="F6" i="15"/>
  <c r="F8" i="15"/>
  <c r="F9" i="15"/>
  <c r="C6" i="15"/>
  <c r="F4" i="73"/>
  <c r="I1" i="73"/>
  <c r="B39" i="1"/>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B3" i="15"/>
  <c r="D20" i="9"/>
  <c r="AO8" i="1"/>
  <c r="C76" i="67"/>
  <c r="M28" i="15"/>
  <c r="L48" i="67"/>
  <c r="M29" i="15"/>
  <c r="F20" i="31"/>
  <c r="D2" i="33"/>
  <c r="M24" i="15"/>
  <c r="D35" i="9"/>
  <c r="F6" i="67"/>
  <c r="E2" i="69"/>
  <c r="F7" i="73"/>
  <c r="D2" i="34"/>
  <c r="F8" i="67"/>
  <c r="M24" i="67"/>
  <c r="AO7" i="1"/>
  <c r="F9" i="67"/>
  <c r="B7" i="76"/>
  <c r="F6" i="73"/>
  <c r="D2" i="35"/>
  <c r="AO10" i="1"/>
  <c r="D6" i="73"/>
  <c r="M9" i="67"/>
  <c r="M26" i="15"/>
  <c r="L47" i="15"/>
  <c r="F37" i="67"/>
  <c r="B9" i="76"/>
  <c r="C76" i="15"/>
  <c r="F41" i="67"/>
  <c r="M29" i="67"/>
  <c r="F26" i="67"/>
  <c r="M26" i="67"/>
  <c r="E11" i="76"/>
  <c r="D3" i="73"/>
  <c r="M22" i="67"/>
  <c r="D2" i="21"/>
  <c r="M21" i="67"/>
  <c r="F5" i="73"/>
  <c r="D7" i="73"/>
  <c r="B11" i="76"/>
  <c r="J15" i="15"/>
  <c r="F43" i="67"/>
  <c r="F38" i="67"/>
  <c r="F40" i="67"/>
  <c r="B12" i="76"/>
  <c r="E9" i="76"/>
  <c r="AO11" i="1"/>
  <c r="M8" i="67"/>
  <c r="E10" i="76"/>
  <c r="F35" i="67"/>
  <c r="E7" i="76"/>
  <c r="B10" i="76"/>
  <c r="AO9" i="1"/>
  <c r="D19" i="9"/>
  <c r="M22" i="15"/>
  <c r="J57" i="15"/>
  <c r="J55" i="15"/>
  <c r="J58" i="15"/>
  <c r="J59"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Y13" i="71"/>
  <c r="Z13" i="71"/>
  <c r="Y12" i="71"/>
  <c r="AA13" i="71"/>
  <c r="AB3" i="71"/>
  <c r="C19" i="68"/>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2" i="12"/>
  <c r="C14" i="12"/>
  <c r="AF3" i="71"/>
  <c r="P22" i="43"/>
  <c r="C18" i="12"/>
  <c r="C38" i="69"/>
  <c r="C8" i="69"/>
  <c r="C5" i="69"/>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L59" i="15"/>
  <c r="N59" i="15"/>
  <c r="L58"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10"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H118" i="9"/>
  <c r="H101" i="9"/>
  <c r="D45" i="9"/>
  <c r="D55" i="9"/>
  <c r="M53" i="9"/>
  <c r="C85" i="9"/>
  <c r="C93" i="9"/>
  <c r="C86" i="9"/>
  <c r="C95" i="9"/>
  <c r="C96" i="9"/>
  <c r="C97" i="9"/>
  <c r="D58" i="9"/>
  <c r="D56" i="9"/>
  <c r="M54" i="9"/>
  <c r="C64" i="9"/>
  <c r="C63" i="9"/>
  <c r="C67" i="9"/>
  <c r="D59" i="9"/>
  <c r="M55" i="9"/>
  <c r="N57" i="9"/>
  <c r="H107" i="9"/>
  <c r="M49" i="9"/>
  <c r="P57" i="9"/>
  <c r="N58" i="9"/>
  <c r="H4" i="52"/>
  <c r="C104" i="9"/>
  <c r="I118" i="9"/>
  <c r="C105" i="9"/>
  <c r="I4" i="52"/>
  <c r="D14" i="74"/>
  <c r="E14" i="74"/>
  <c r="F14" i="74"/>
  <c r="B5" i="74"/>
  <c r="D5" i="74"/>
  <c r="C5" i="74"/>
  <c r="D122" i="9"/>
  <c r="G14" i="74"/>
  <c r="B6" i="74"/>
  <c r="D6" i="74"/>
  <c r="C6" i="74"/>
  <c r="D52" i="9"/>
  <c r="D53" i="9"/>
  <c r="F118"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4" i="52"/>
  <c r="B51" i="72"/>
  <c r="D6" i="53"/>
  <c r="B22" i="72"/>
  <c r="F119" i="9"/>
  <c r="F5" i="52"/>
  <c r="B53" i="72"/>
  <c r="H119" i="9"/>
  <c r="H5"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<sst xmlns="http://schemas.openxmlformats.org/spreadsheetml/2006/main" count="7415" uniqueCount="3198">
  <si>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</si>
  <si>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</si>
  <si>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</si>
  <si>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</si>
  <si>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</si>
  <si>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</si>
  <si>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</si>
  <si>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</si>
  <si>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</si>
  <si>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</si>
  <si>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</si>
  <si>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</si>
  <si>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</si>
  <si>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</si>
  <si>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</si>
  <si>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</si>
  <si>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</si>
  <si>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</si>
  <si>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</si>
  <si>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</si>
  <si>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</si>
  <si>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</si>
  <si>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</si>
  <si>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</si>
  <si>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</si>
  <si>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</si>
  <si>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</si>
  <si>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</si>
  <si>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</si>
  <si>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</si>
  <si>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</si>
  <si>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</si>
  <si>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</si>
  <si>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</si>
  <si>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</si>
  <si>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</si>
  <si>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</si>
  <si>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</si>
  <si>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</si>
  <si>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</si>
  <si>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</si>
  <si>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</si>
  <si>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</si>
  <si>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</si>
  <si>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</si>
  <si>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</si>
  <si>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</si>
  <si>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</si>
  <si>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</si>
  <si>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</si>
  <si>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</si>
  <si>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</si>
  <si>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</si>
  <si>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</si>
  <si>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</si>
  <si>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</si>
  <si>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</si>
  <si>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</si>
  <si>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</si>
  <si>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</si>
  <si>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</si>
  <si>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</si>
  <si>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</si>
  <si>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</si>
  <si>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</si>
  <si>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</si>
  <si>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</si>
  <si>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</si>
  <si>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</si>
  <si>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</si>
  <si>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</si>
  <si>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</si>
  <si>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</si>
  <si>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</si>
  <si>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</si>
  <si>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</si>
  <si>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</si>
  <si>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</si>
  <si>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</si>
  <si>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</si>
  <si>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</si>
  <si>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</si>
  <si>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</si>
  <si>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</si>
  <si>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</si>
  <si>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</si>
  <si>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</si>
  <si>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</si>
  <si>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</si>
  <si>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</si>
  <si>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</si>
  <si>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</si>
  <si>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</si>
  <si>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</si>
  <si>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</si>
  <si>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</si>
  <si>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</si>
  <si>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</si>
  <si>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</si>
  <si>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</si>
  <si>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</si>
  <si>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</si>
  <si>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</si>
  <si>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</si>
  <si>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</si>
  <si>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</si>
  <si>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</si>
  <si>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</si>
  <si>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</si>
  <si>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</si>
  <si>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</si>
  <si>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</si>
  <si>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</si>
  <si>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</si>
  <si>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</si>
  <si>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</si>
  <si>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</si>
  <si>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</si>
  <si>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</si>
  <si>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</si>
  <si>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</si>
  <si>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</si>
  <si>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</si>
  <si>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</si>
  <si>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</si>
  <si>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</si>
  <si>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</si>
  <si>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</si>
  <si>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</si>
  <si>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</si>
  <si>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</si>
  <si>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</si>
  <si>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</si>
  <si>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</si>
  <si>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</si>
  <si>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</si>
  <si>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</si>
  <si>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</si>
  <si>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</si>
  <si>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</si>
  <si>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</si>
  <si>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</si>
  <si>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</si>
  <si>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</si>
  <si>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</si>
  <si>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</si>
  <si>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</si>
  <si>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</si>
  <si>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</si>
  <si>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</si>
  <si>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</si>
  <si>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</si>
  <si>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</si>
  <si>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</si>
  <si>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</si>
  <si>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</si>
  <si>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</si>
  <si>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</si>
  <si>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</si>
  <si>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</si>
  <si>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</si>
  <si>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</si>
  <si>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</si>
  <si>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</si>
  <si>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</si>
  <si>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</si>
  <si>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</si>
  <si>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</si>
  <si>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</si>
  <si>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</si>
  <si>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</si>
  <si>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</si>
  <si>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</si>
  <si>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</si>
  <si>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</si>
  <si>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</si>
  <si>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</si>
  <si>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</si>
  <si>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</si>
  <si>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</si>
  <si>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</si>
  <si>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</si>
  <si>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</si>
  <si>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</si>
  <si>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</si>
  <si>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</si>
  <si>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</si>
  <si>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</si>
  <si>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</si>
  <si>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</si>
  <si>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</si>
  <si>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</si>
  <si>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</si>
  <si>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</si>
  <si>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</si>
  <si>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</si>
  <si>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</si>
  <si>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</si>
  <si>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</si>
  <si>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</si>
  <si>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</si>
  <si>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</si>
  <si>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</si>
  <si>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</si>
  <si>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</si>
  <si>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</si>
  <si>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</si>
  <si>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</si>
  <si>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</si>
  <si>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</si>
  <si>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</si>
  <si>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</si>
  <si>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</si>
  <si>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</si>
  <si>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</si>
  <si>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</si>
  <si>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</si>
  <si>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</si>
  <si>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</si>
  <si>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</si>
  <si>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</si>
  <si>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</si>
  <si>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</si>
  <si>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</si>
  <si>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</si>
  <si>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</si>
  <si>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</si>
  <si>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</si>
  <si>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</si>
  <si>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</si>
  <si>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</si>
  <si>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</si>
  <si>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</si>
  <si>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</si>
  <si>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</si>
  <si>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</si>
  <si>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</si>
  <si>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</si>
  <si>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</si>
  <si>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</si>
  <si>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</si>
  <si>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</si>
  <si>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</si>
  <si>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</si>
  <si>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</si>
  <si>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</si>
  <si>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</si>
  <si>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</si>
  <si>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</si>
  <si>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</si>
  <si>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</si>
  <si>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</si>
  <si>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</si>
  <si>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</si>
  <si>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</si>
  <si>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</si>
  <si>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</si>
  <si>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</si>
  <si>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</si>
  <si>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</si>
  <si>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</si>
  <si>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</si>
  <si>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</si>
  <si>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</si>
  <si>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</si>
  <si>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</si>
  <si>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</si>
  <si>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</si>
  <si>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</si>
  <si>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</si>
  <si>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</si>
  <si>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</si>
  <si>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</si>
  <si>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</si>
  <si>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</si>
  <si>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</si>
  <si>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</si>
  <si>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</si>
  <si>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</si>
  <si>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</si>
  <si>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</si>
  <si>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</si>
  <si>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</si>
  <si>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</si>
  <si>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</si>
  <si>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</si>
  <si>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</si>
  <si>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</si>
  <si>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</si>
  <si>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</si>
  <si>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</si>
  <si>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</si>
  <si>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</si>
  <si>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</si>
  <si>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</si>
  <si>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</si>
  <si>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</si>
  <si>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</si>
  <si>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</si>
  <si>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</si>
  <si>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</si>
  <si>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</si>
  <si>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</si>
  <si>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</si>
  <si>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</si>
  <si>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</si>
  <si>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</si>
  <si>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</si>
  <si>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</si>
  <si>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</si>
  <si>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</si>
  <si>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</si>
  <si>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</si>
  <si>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</si>
  <si>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</si>
  <si>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</si>
  <si>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</si>
  <si>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</si>
  <si>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</si>
  <si>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</si>
  <si>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</si>
  <si>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</si>
  <si>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</si>
  <si>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</si>
  <si>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</si>
  <si>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</si>
  <si>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</si>
  <si>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</si>
  <si>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</si>
  <si>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</si>
  <si>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</si>
  <si>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</si>
  <si>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</si>
  <si>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</si>
  <si>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</si>
  <si>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</si>
  <si>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</si>
  <si>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</si>
  <si>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</si>
  <si>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</si>
  <si>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</si>
  <si>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</si>
  <si>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</si>
  <si>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</si>
  <si>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</si>
  <si>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</si>
  <si>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</si>
  <si>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</si>
  <si>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</si>
  <si>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</si>
  <si>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</si>
  <si>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</si>
  <si>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</si>
  <si>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</si>
  <si>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</si>
  <si>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</si>
  <si>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</si>
  <si>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</si>
  <si>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</si>
  <si>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</si>
  <si>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</si>
  <si>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</si>
  <si>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</si>
  <si>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</si>
  <si>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</si>
  <si>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</si>
  <si>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</si>
  <si>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</si>
  <si>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</si>
  <si>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</si>
  <si>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</si>
  <si>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</si>
  <si>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</si>
  <si>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</si>
  <si>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</si>
  <si>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</si>
  <si>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</si>
  <si>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</si>
  <si>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</si>
  <si>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</si>
  <si>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</si>
  <si>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</si>
  <si>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</si>
  <si>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</si>
  <si>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</si>
  <si>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</si>
  <si>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</si>
  <si>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</si>
  <si>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</si>
  <si>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</si>
  <si>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</si>
  <si>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</si>
  <si>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</si>
  <si>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</si>
  <si>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</si>
  <si>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</si>
  <si>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</si>
  <si>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</si>
  <si>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</si>
  <si>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</si>
  <si>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</si>
  <si>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</si>
  <si>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</si>
  <si>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</si>
  <si>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</si>
  <si>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</si>
  <si>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</si>
  <si>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</si>
  <si>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</si>
  <si>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</si>
  <si>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</si>
  <si>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</si>
  <si>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</si>
  <si>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</si>
  <si>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</si>
  <si>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</si>
  <si>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</si>
  <si>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</si>
  <si>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</si>
  <si>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</si>
  <si>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</si>
  <si>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</si>
  <si>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</si>
  <si>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</si>
  <si>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</si>
  <si>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</si>
  <si>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</si>
  <si>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</si>
  <si>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</si>
  <si>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</si>
  <si>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</si>
  <si>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</si>
  <si>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</si>
  <si>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</si>
  <si>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</si>
  <si>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</si>
  <si>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</si>
  <si>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</si>
  <si>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</si>
  <si>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</si>
  <si>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</si>
  <si>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</si>
  <si>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</si>
  <si>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</si>
  <si>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</si>
  <si>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</si>
  <si>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</si>
  <si>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</si>
  <si>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</si>
  <si>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</si>
  <si>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</si>
  <si>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</si>
  <si>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</si>
  <si>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</si>
  <si>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</si>
  <si>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</si>
  <si>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</si>
  <si>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</si>
  <si>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</si>
  <si>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</si>
  <si>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</si>
  <si>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</si>
  <si>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</si>
  <si>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</si>
  <si>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</si>
  <si>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</si>
  <si>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</si>
  <si>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</si>
  <si>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</si>
  <si>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</si>
  <si>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</si>
  <si>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</si>
  <si>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</si>
  <si>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</si>
  <si>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</si>
  <si>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</si>
  <si>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</si>
  <si>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</si>
  <si>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</si>
  <si>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</si>
  <si>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</si>
  <si>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</si>
  <si>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</si>
  <si>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</si>
  <si>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</si>
  <si>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</si>
  <si>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</si>
  <si>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</si>
  <si>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</si>
  <si>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</si>
  <si>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</si>
  <si>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</si>
  <si>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</si>
  <si>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</si>
  <si>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</si>
  <si>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</si>
  <si>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</si>
  <si>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</si>
  <si>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</si>
  <si>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</si>
  <si>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</si>
  <si>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</si>
  <si>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</si>
  <si>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</si>
  <si>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</si>
  <si>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</si>
  <si>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</si>
  <si>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</si>
  <si>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</si>
  <si>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</si>
  <si>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</si>
  <si>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</si>
  <si>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</si>
  <si>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</si>
  <si>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</si>
  <si>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</si>
  <si>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</si>
  <si>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</si>
  <si>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</si>
  <si>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</si>
  <si>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</si>
  <si>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</si>
  <si>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</si>
  <si>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</si>
  <si>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</si>
  <si>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</si>
  <si>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</si>
  <si>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</si>
  <si>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</si>
  <si>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</si>
  <si>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</si>
  <si>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</si>
  <si>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</si>
  <si>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</si>
  <si>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</si>
  <si>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</si>
  <si>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</si>
  <si>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</si>
  <si>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</si>
  <si>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</si>
  <si>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</si>
  <si>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</si>
  <si>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</si>
  <si>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</si>
  <si>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</si>
  <si>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</si>
  <si>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</si>
  <si>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</si>
  <si>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</si>
  <si>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</si>
  <si>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</si>
  <si>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</si>
  <si>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</si>
  <si>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</si>
  <si>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</si>
  <si>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</si>
  <si>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</si>
  <si>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</si>
  <si>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</si>
  <si>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</si>
  <si>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</si>
  <si>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</si>
  <si>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</si>
  <si>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</si>
  <si>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</si>
  <si>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</si>
  <si>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</si>
  <si>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</si>
  <si>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</si>
  <si>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</si>
  <si>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</si>
  <si>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</si>
  <si>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</si>
  <si>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</si>
  <si>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</si>
  <si>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</si>
  <si>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</si>
  <si>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</si>
  <si>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</si>
  <si>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</si>
  <si>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</si>
  <si>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</si>
  <si>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</si>
  <si>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</si>
  <si>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</si>
  <si>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</si>
  <si>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</si>
  <si>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</si>
  <si>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</si>
  <si>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</si>
  <si>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</si>
  <si>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</si>
  <si>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</si>
  <si>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</si>
  <si>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</si>
  <si>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</si>
  <si>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</si>
  <si>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</si>
  <si>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</si>
  <si>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</si>
  <si>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</si>
  <si>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</si>
  <si>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</si>
  <si>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</si>
  <si>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</si>
  <si>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</si>
  <si>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</si>
  <si>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</si>
  <si>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</si>
  <si>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</si>
  <si>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</si>
  <si>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</si>
  <si>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</si>
  <si>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</si>
  <si>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</si>
  <si>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</si>
  <si>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</si>
  <si>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</si>
  <si>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</si>
  <si>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</si>
  <si>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</si>
  <si>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</si>
  <si>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</si>
  <si>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</si>
  <si>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</si>
  <si>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</si>
  <si>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</si>
  <si>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</si>
  <si>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</si>
  <si>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</si>
  <si>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</si>
  <si>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</si>
  <si>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</si>
  <si>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</si>
  <si>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</si>
  <si>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</si>
  <si>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</si>
  <si>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</si>
  <si>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</si>
  <si>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</si>
  <si>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</si>
  <si>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</si>
  <si>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</si>
  <si>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</si>
  <si>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</si>
  <si>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</si>
  <si>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</si>
  <si>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</si>
  <si>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</si>
  <si>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</si>
  <si>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</si>
  <si>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</si>
  <si>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</si>
  <si>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</si>
  <si>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</si>
  <si>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</si>
  <si>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</si>
  <si>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</si>
  <si>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</si>
  <si>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</si>
  <si>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</si>
  <si>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</si>
  <si>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</si>
  <si>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</si>
  <si>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</si>
  <si>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</si>
  <si>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</si>
  <si>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</si>
  <si>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</si>
  <si>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</si>
  <si>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</si>
  <si>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</si>
  <si>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</si>
  <si>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</si>
  <si>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</si>
  <si>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</si>
  <si>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</si>
  <si>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</si>
  <si>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</si>
  <si>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</si>
  <si>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</si>
  <si>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</si>
  <si>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</si>
  <si>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</si>
  <si>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</si>
  <si>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</si>
  <si>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</si>
  <si>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</si>
  <si>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</si>
  <si>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</si>
  <si>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</si>
  <si>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</si>
  <si>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</si>
  <si>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</si>
  <si>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</si>
  <si>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</si>
  <si>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</si>
  <si>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</si>
  <si>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</si>
  <si>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</si>
  <si>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</si>
  <si>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</si>
  <si>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</si>
  <si>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</si>
  <si>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</si>
  <si>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</si>
  <si>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</si>
  <si>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</si>
  <si>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</si>
  <si>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</si>
  <si>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</si>
  <si>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</si>
  <si>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</si>
  <si>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</si>
  <si>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</si>
  <si>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</si>
  <si>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</si>
  <si>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</si>
  <si>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</si>
  <si>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</si>
  <si>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</si>
  <si>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</si>
  <si>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</si>
  <si>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</si>
  <si>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</si>
  <si>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</si>
  <si>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</si>
  <si>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</si>
  <si>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</si>
  <si>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</si>
  <si>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</si>
  <si>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</si>
  <si>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</si>
  <si>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</si>
  <si>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</si>
  <si>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</si>
  <si>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</si>
  <si>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</si>
  <si>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</si>
  <si>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</si>
  <si>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</si>
  <si>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</si>
  <si>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</si>
  <si>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</si>
  <si>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</si>
  <si>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</si>
  <si>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</si>
  <si>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</si>
  <si>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</si>
  <si>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</si>
  <si>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</si>
  <si>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</si>
  <si>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</si>
  <si>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</si>
  <si>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</si>
  <si>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</si>
  <si>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</si>
  <si>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</si>
  <si>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</si>
  <si>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</si>
  <si>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</si>
  <si>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</si>
  <si>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</si>
  <si>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</si>
  <si>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</si>
  <si>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</si>
  <si>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</si>
  <si>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</si>
  <si>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</si>
  <si>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</si>
  <si>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</si>
  <si>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</si>
  <si>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</si>
  <si>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</si>
  <si>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</si>
  <si>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</si>
  <si>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</si>
  <si>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</si>
  <si>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</si>
  <si>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</si>
  <si>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</si>
  <si>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</si>
  <si>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</si>
  <si>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</si>
  <si>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</si>
  <si>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</si>
  <si>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</si>
  <si>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</si>
  <si>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</si>
  <si>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</si>
  <si>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</si>
  <si>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</si>
  <si>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</si>
  <si>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</si>
  <si>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</si>
  <si>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</si>
  <si>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</si>
  <si>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</si>
  <si>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</si>
  <si>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</si>
  <si>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</si>
  <si>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</si>
  <si>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</si>
  <si>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</si>
  <si>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</si>
  <si>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</si>
  <si>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</si>
  <si>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</si>
  <si>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</si>
  <si>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</si>
  <si>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</si>
  <si>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</si>
  <si>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</si>
  <si>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</si>
  <si>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</si>
  <si>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</si>
  <si>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</si>
  <si>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</si>
  <si>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</si>
  <si>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</si>
  <si>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</si>
  <si>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</si>
  <si>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</si>
  <si>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</si>
  <si>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</si>
  <si>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</si>
  <si>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</si>
  <si>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</si>
  <si>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</si>
  <si>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</si>
  <si>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</si>
  <si>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</si>
  <si>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</si>
  <si>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</si>
  <si>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</si>
  <si>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</si>
  <si>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</si>
  <si>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</si>
  <si>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</si>
  <si>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</si>
  <si>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</si>
  <si>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</si>
  <si>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</si>
  <si>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</si>
  <si>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</si>
  <si>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</si>
  <si>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</si>
  <si>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</si>
  <si>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</si>
  <si>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</si>
  <si>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</si>
  <si>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</si>
  <si>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</si>
  <si>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</si>
  <si>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</si>
  <si>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</si>
  <si>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</si>
  <si>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</si>
  <si>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</si>
  <si>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</si>
  <si>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</si>
  <si>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</si>
  <si>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</si>
  <si>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</si>
  <si>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</si>
  <si>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</si>
  <si>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</si>
  <si>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</si>
  <si>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</si>
  <si>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</si>
  <si>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</si>
  <si>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</si>
  <si>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</si>
  <si>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</si>
  <si>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</si>
  <si>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</si>
  <si>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</si>
  <si>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</si>
  <si>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</si>
  <si>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</si>
  <si>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</si>
  <si>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</si>
  <si>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</si>
  <si>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</si>
  <si>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</si>
  <si>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</si>
  <si>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</si>
  <si>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</si>
  <si>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</si>
  <si>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</si>
  <si>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</si>
  <si>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</si>
  <si>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</si>
  <si>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</si>
  <si>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</si>
  <si>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</si>
  <si>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</si>
  <si>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</si>
  <si>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</si>
  <si>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</si>
  <si>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</si>
  <si>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</si>
  <si>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</si>
  <si>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</si>
  <si>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</si>
  <si>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</si>
  <si>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</si>
  <si>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</si>
  <si>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</si>
  <si>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</si>
  <si>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</si>
  <si>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</si>
  <si>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</si>
  <si>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</si>
  <si>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</si>
  <si>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</si>
  <si>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</si>
  <si>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</si>
  <si>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</si>
  <si>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</si>
  <si>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</si>
  <si>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</si>
  <si>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</si>
  <si>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</si>
  <si>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</si>
  <si>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</si>
  <si>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</si>
  <si>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</si>
  <si>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</si>
  <si>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</si>
  <si>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</si>
  <si>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</si>
  <si>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</si>
  <si>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</si>
  <si>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</si>
  <si>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</si>
  <si>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</si>
  <si>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</si>
  <si>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</si>
  <si>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</si>
  <si>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</si>
  <si>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</si>
  <si>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</si>
  <si>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</si>
  <si>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</si>
  <si>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</si>
  <si>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</si>
  <si>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</si>
  <si>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</si>
  <si>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</si>
  <si>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</si>
  <si>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</si>
  <si>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</si>
  <si>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</si>
  <si>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</si>
  <si>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</si>
  <si>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</si>
  <si>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</si>
  <si>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</si>
  <si>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</si>
  <si>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</si>
  <si>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</si>
  <si>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</si>
  <si>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</si>
  <si>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</si>
  <si>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</si>
  <si>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</si>
  <si>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</si>
  <si>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</si>
  <si>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</si>
  <si>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</si>
  <si>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</si>
  <si>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</si>
  <si>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</si>
  <si>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</si>
  <si>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</si>
  <si>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</si>
  <si>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</si>
  <si>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</si>
  <si>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</si>
  <si>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</si>
  <si>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</si>
  <si>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</si>
  <si>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</si>
  <si>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</si>
  <si>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</si>
  <si>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</si>
  <si>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</si>
  <si>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</si>
  <si>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</si>
  <si>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</si>
  <si>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</si>
  <si>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</si>
  <si>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</si>
  <si>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</si>
  <si>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</si>
  <si>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</si>
  <si>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</si>
  <si>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</si>
  <si>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</si>
  <si>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</si>
  <si>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</si>
  <si>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</si>
  <si>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</si>
  <si>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</si>
  <si>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</si>
  <si>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</si>
  <si>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</si>
  <si>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</si>
  <si>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</si>
  <si>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</si>
  <si>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</si>
  <si>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</si>
  <si>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</si>
  <si>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</si>
  <si>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</si>
  <si>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</si>
  <si>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</si>
  <si>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</si>
  <si>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</si>
  <si>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</si>
  <si>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</si>
  <si>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</si>
  <si>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</si>
  <si>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</si>
  <si>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</si>
  <si>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</si>
  <si>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</si>
  <si>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</si>
  <si>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</si>
  <si>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</si>
  <si>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</si>
  <si>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</si>
  <si>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</si>
  <si>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</si>
  <si>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</si>
  <si>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</si>
  <si>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</si>
  <si>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</si>
  <si>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</si>
  <si>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</si>
  <si>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</si>
  <si>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</si>
  <si>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</si>
  <si>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</si>
  <si>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</si>
  <si>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</si>
  <si>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</si>
  <si>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</si>
  <si>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</si>
  <si>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</si>
  <si>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</si>
  <si>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</si>
  <si>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</si>
  <si>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</si>
  <si>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</si>
  <si>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</si>
  <si>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</si>
  <si>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</si>
  <si>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</si>
  <si>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</si>
  <si>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</si>
  <si>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</si>
  <si>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</si>
  <si>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</si>
  <si>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</si>
  <si>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</si>
  <si>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</si>
  <si>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</si>
  <si>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</si>
  <si>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</si>
  <si>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</si>
  <si>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</si>
  <si>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</si>
  <si>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</si>
  <si>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</si>
  <si>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</si>
  <si>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</si>
  <si>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</si>
  <si>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</si>
  <si>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</si>
  <si>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</si>
  <si>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</si>
  <si>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</si>
  <si>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</si>
  <si>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</si>
  <si>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</si>
  <si>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</si>
  <si>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</si>
  <si>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</si>
  <si>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</si>
  <si>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</si>
  <si>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</si>
  <si>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</si>
  <si>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</si>
  <si>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</si>
  <si>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</si>
  <si>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</si>
  <si>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</si>
  <si>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</si>
  <si>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</si>
  <si>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</si>
  <si>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</si>
  <si>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</si>
  <si>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</si>
  <si>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</si>
  <si>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</si>
  <si>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</si>
  <si>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</si>
  <si>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</si>
  <si>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</si>
  <si>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</si>
  <si>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</si>
  <si>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</si>
  <si>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</si>
  <si>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</si>
  <si>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</si>
  <si>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</si>
  <si>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</si>
  <si>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</si>
  <si>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</si>
  <si>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</si>
  <si>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</si>
  <si>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</si>
  <si>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</si>
  <si>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</si>
  <si>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</si>
  <si>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</si>
  <si>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</si>
  <si>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</si>
  <si>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</si>
  <si>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</si>
  <si>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</si>
  <si>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</si>
  <si>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</si>
  <si>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</si>
  <si>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</si>
  <si>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</si>
  <si>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</si>
  <si>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</si>
  <si>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</si>
  <si>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</si>
  <si>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</si>
  <si>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</si>
  <si>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</si>
  <si>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</si>
  <si>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</si>
  <si>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</si>
  <si>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</si>
  <si>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</si>
  <si>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</si>
  <si>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</si>
  <si>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</si>
  <si>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</si>
  <si>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</si>
  <si>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</si>
  <si>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</si>
  <si>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</si>
  <si>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</si>
  <si>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</si>
  <si>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</si>
  <si>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</si>
  <si>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</si>
  <si>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</si>
  <si>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</si>
  <si>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</si>
  <si>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</si>
  <si>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</si>
  <si>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</si>
  <si>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</si>
  <si>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</si>
  <si>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</si>
  <si>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</si>
  <si>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</si>
  <si>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</si>
  <si>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</si>
  <si>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</si>
  <si>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</si>
  <si>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</si>
  <si>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</si>
  <si>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</si>
  <si>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</si>
  <si>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</si>
  <si>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</si>
  <si>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</si>
  <si>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</si>
  <si>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</si>
  <si>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</si>
  <si>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</si>
  <si>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</si>
  <si>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</si>
  <si>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</si>
  <si>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</si>
  <si>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</si>
  <si>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</si>
  <si>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</si>
  <si>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</si>
  <si>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</si>
  <si>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</si>
  <si>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</si>
  <si>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</si>
  <si>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</si>
  <si>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</si>
  <si>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</si>
  <si>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</si>
  <si>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</si>
  <si>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</si>
  <si>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</si>
  <si>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</si>
  <si>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</si>
  <si>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</si>
  <si>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</si>
  <si>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</si>
  <si>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</si>
  <si>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</si>
  <si>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</si>
  <si>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</si>
  <si>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</si>
  <si>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</si>
  <si>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</si>
  <si>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</si>
  <si>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</si>
  <si>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</si>
  <si>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</si>
  <si>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</si>
  <si>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</si>
  <si>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</si>
  <si>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</si>
  <si>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</si>
  <si>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</si>
  <si>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</si>
  <si>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</si>
  <si>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</si>
  <si>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</si>
  <si>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</si>
  <si>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</si>
  <si>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</si>
  <si>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</si>
  <si>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</si>
  <si>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</si>
  <si>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</si>
  <si>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</si>
  <si>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</si>
  <si>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</si>
  <si>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</si>
  <si>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</si>
  <si>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</si>
  <si>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</si>
  <si>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</si>
  <si>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</si>
  <si>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</si>
  <si>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</si>
  <si>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</si>
  <si>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</si>
  <si>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</si>
  <si>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</si>
  <si>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</si>
  <si>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</si>
  <si>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</si>
  <si>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</si>
  <si>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</si>
  <si>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</si>
  <si>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</si>
  <si>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</si>
  <si>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</si>
  <si>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</si>
  <si>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</si>
  <si>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</si>
  <si>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</si>
  <si>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</si>
  <si>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</si>
  <si>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</si>
  <si>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</si>
  <si>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</si>
  <si>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</si>
  <si>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</si>
  <si>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</si>
  <si>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</si>
  <si>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</si>
  <si>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</si>
  <si>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</si>
  <si>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</si>
  <si>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</si>
  <si>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</si>
  <si>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</si>
  <si>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</si>
  <si>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</si>
  <si>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</si>
  <si>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</si>
  <si>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</si>
  <si>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</si>
  <si>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</si>
  <si>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</si>
  <si>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</si>
  <si>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</si>
  <si>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</si>
  <si>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</si>
  <si>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</si>
  <si>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</si>
  <si>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</si>
  <si>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</si>
  <si>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</si>
  <si>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</si>
  <si>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</si>
  <si>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</si>
  <si>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</si>
  <si>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</si>
  <si>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</si>
  <si>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</si>
  <si>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</si>
  <si>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</si>
  <si>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</si>
  <si>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</si>
  <si>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</si>
  <si>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</si>
  <si>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</si>
  <si>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</si>
  <si>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</si>
  <si>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</si>
  <si>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</si>
  <si>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</si>
  <si>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</si>
  <si>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</si>
  <si>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</si>
  <si>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</si>
  <si>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</si>
  <si>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</si>
  <si>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</si>
  <si>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</si>
  <si>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</si>
  <si>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</si>
  <si>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</si>
  <si>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</si>
  <si>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</si>
  <si>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</si>
  <si>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</si>
  <si>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</si>
  <si>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</si>
  <si>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</si>
  <si>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</si>
  <si>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</si>
  <si>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</si>
  <si>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</si>
  <si>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</si>
  <si>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</si>
  <si>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</si>
  <si>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</si>
  <si>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</si>
  <si>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</si>
  <si>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</si>
  <si>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</si>
  <si>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</si>
  <si>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</si>
  <si>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</si>
  <si>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</si>
  <si>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</si>
  <si>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</si>
  <si>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</si>
  <si>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</si>
  <si>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</si>
  <si>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</si>
  <si>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</si>
  <si>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</si>
  <si>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</si>
  <si>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</si>
  <si>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</si>
  <si>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</si>
  <si>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</si>
  <si>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</si>
  <si>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</si>
  <si>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</si>
  <si>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</si>
  <si>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</si>
  <si>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</si>
  <si>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</si>
  <si>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</si>
  <si>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</si>
  <si>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</si>
  <si>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</si>
  <si>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</si>
  <si>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</si>
  <si>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</si>
  <si>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</si>
  <si>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</si>
  <si>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</si>
  <si>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</si>
  <si>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</si>
  <si>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</si>
  <si>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</si>
  <si>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</si>
  <si>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</si>
  <si>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</si>
  <si>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</si>
  <si>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</si>
  <si>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</si>
  <si>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</si>
  <si>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</si>
  <si>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</si>
  <si>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</si>
  <si>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</si>
  <si>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</si>
  <si>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</si>
  <si>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</si>
  <si>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</si>
  <si>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</si>
  <si>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</si>
  <si>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</si>
  <si>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</si>
  <si>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</si>
  <si>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</si>
  <si>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</si>
  <si>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</si>
  <si>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</si>
  <si>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</si>
  <si>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</si>
  <si>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</si>
  <si>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</si>
  <si>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</si>
  <si>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</si>
  <si>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</si>
  <si>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</si>
  <si>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</si>
  <si>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</si>
  <si>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</si>
  <si>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</si>
  <si>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</si>
  <si>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</si>
  <si>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</si>
  <si>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</si>
  <si>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</si>
  <si>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</si>
  <si>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</si>
  <si>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</si>
  <si>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</si>
  <si>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</si>
  <si>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</si>
  <si>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</si>
  <si>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</si>
  <si>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</si>
  <si>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</si>
  <si>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</si>
  <si>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</si>
  <si>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</si>
  <si>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</si>
  <si>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</si>
  <si>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</si>
  <si>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</si>
  <si>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</si>
  <si>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</si>
  <si>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</si>
  <si>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</si>
  <si>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</si>
  <si>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</si>
  <si>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</si>
  <si>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</si>
  <si>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</si>
  <si>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</si>
  <si>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</si>
  <si>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</si>
  <si>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</si>
  <si>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</si>
  <si>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</si>
  <si>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</si>
  <si>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</si>
  <si>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</si>
  <si>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</si>
  <si>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</si>
  <si>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</si>
  <si>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</si>
  <si>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</si>
  <si>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</si>
  <si>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</si>
  <si>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</si>
  <si>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</si>
  <si>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</si>
  <si>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</si>
  <si>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</si>
  <si>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</si>
  <si>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</si>
  <si>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</si>
  <si>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</si>
  <si>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</si>
  <si>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</si>
  <si>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</si>
  <si>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</si>
  <si>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</si>
  <si>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</si>
  <si>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</si>
  <si>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</si>
  <si>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</si>
  <si>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</si>
  <si>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</si>
  <si>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</si>
  <si>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</si>
  <si>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</si>
  <si>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</si>
  <si>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</si>
  <si>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</si>
  <si>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</si>
  <si>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</si>
  <si>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</si>
  <si>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</si>
  <si>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</si>
  <si>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</si>
  <si>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</si>
  <si>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</si>
  <si>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</si>
  <si>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</si>
  <si>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</si>
  <si>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</si>
  <si>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</si>
  <si>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</si>
  <si>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</si>
  <si>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</si>
  <si>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</si>
  <si>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</si>
  <si>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</si>
  <si>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</si>
  <si>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</si>
  <si>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</si>
  <si>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</si>
  <si>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</si>
  <si>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</si>
  <si>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</si>
  <si>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</si>
  <si>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</si>
  <si>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</si>
  <si>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</si>
  <si>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</si>
  <si>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</si>
  <si>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</si>
  <si>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</si>
  <si>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</si>
  <si>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</si>
  <si>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</si>
  <si>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</si>
  <si>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</si>
  <si>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</si>
  <si>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</si>
  <si>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</si>
  <si>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</si>
  <si>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</si>
  <si>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</si>
  <si>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</si>
  <si>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</si>
  <si>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</si>
  <si>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</si>
  <si>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</si>
  <si>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</si>
  <si>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</si>
  <si>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</si>
  <si>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</si>
  <si>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</si>
  <si>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</si>
  <si>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</si>
  <si>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</si>
  <si>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</si>
  <si>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</si>
  <si>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</si>
  <si>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</si>
  <si>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</si>
  <si>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</si>
  <si>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</si>
  <si>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</si>
  <si>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</si>
  <si>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</si>
  <si>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</si>
  <si>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</si>
  <si>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</si>
  <si>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</si>
  <si>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</si>
  <si>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</si>
  <si>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</si>
  <si>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</si>
  <si>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</si>
  <si>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</si>
  <si>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</si>
  <si>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</si>
  <si>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</si>
  <si>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</si>
  <si>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</si>
  <si>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</si>
  <si>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</si>
  <si>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</si>
  <si>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</si>
  <si>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</si>
  <si>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</si>
  <si>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</si>
  <si>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</si>
  <si>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</si>
  <si>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</si>
  <si>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</si>
  <si>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</si>
  <si>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</si>
  <si>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</si>
  <si>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</si>
  <si>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</si>
  <si>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</si>
  <si>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</si>
  <si>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</si>
  <si>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</si>
  <si>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</si>
  <si>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</si>
  <si>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</si>
  <si>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</si>
  <si>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</si>
  <si>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</si>
  <si>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</si>
  <si>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</si>
  <si>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</si>
  <si>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</si>
  <si>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</si>
  <si>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</si>
  <si>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</si>
  <si>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</si>
  <si>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</si>
  <si>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</si>
  <si>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</si>
  <si>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</si>
  <si>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</si>
  <si>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</si>
  <si>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</si>
  <si>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</si>
  <si>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</si>
  <si>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</si>
  <si>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</si>
  <si>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</si>
  <si>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</si>
  <si>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</si>
  <si>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</si>
  <si>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</si>
  <si>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</si>
  <si>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</si>
  <si>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</si>
  <si>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</si>
  <si>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</si>
  <si>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</si>
  <si>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</si>
  <si>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</si>
  <si>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</si>
  <si>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</si>
  <si>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</si>
  <si>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</si>
  <si>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</si>
  <si>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</si>
  <si>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</si>
  <si>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</si>
  <si>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</si>
  <si>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</si>
  <si>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</si>
  <si>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</si>
  <si>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</si>
  <si>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</si>
  <si>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</si>
  <si>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</si>
  <si>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</si>
  <si>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</si>
  <si>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</si>
  <si>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</si>
  <si>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</si>
  <si>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</si>
  <si>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</si>
  <si>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</si>
  <si>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</si>
  <si>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</si>
  <si>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</si>
  <si>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</si>
  <si>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</si>
  <si>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</si>
  <si>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</si>
  <si>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</si>
  <si>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</si>
  <si>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</si>
  <si>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</si>
  <si>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</si>
  <si>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</si>
  <si>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</si>
  <si>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</si>
  <si>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</si>
  <si>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</si>
  <si>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</si>
  <si>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</si>
  <si>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</si>
  <si>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</si>
  <si>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</si>
  <si>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</si>
  <si>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</si>
  <si>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</si>
  <si>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</si>
  <si>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</si>
  <si>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</si>
  <si>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</si>
  <si>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</si>
  <si>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</si>
  <si>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</si>
  <si>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</si>
  <si>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</si>
  <si>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</si>
  <si>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</si>
  <si>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</si>
  <si>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</si>
  <si>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</si>
  <si>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</si>
  <si>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</si>
  <si>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</si>
  <si>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</si>
  <si>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</si>
  <si>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</si>
  <si>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</si>
  <si>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</si>
  <si>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</si>
  <si>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</si>
  <si>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</si>
  <si>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</si>
  <si>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</si>
  <si>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</si>
  <si>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</si>
  <si>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</si>
  <si>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</si>
  <si>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</si>
  <si>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</si>
  <si>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</si>
  <si>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</si>
  <si>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</si>
  <si>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</si>
  <si>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</si>
  <si>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</si>
  <si>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</si>
  <si>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</si>
  <si>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</si>
  <si>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</si>
  <si>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</si>
  <si>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</si>
  <si>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</si>
  <si>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</si>
  <si>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</si>
  <si>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</si>
  <si>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</si>
  <si>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</si>
  <si>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</si>
  <si>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</si>
  <si>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</si>
  <si>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</si>
  <si>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</si>
  <si>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</si>
  <si>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</si>
  <si>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</si>
  <si>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</si>
  <si>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</si>
  <si>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</si>
  <si>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</si>
  <si>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</si>
  <si>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</si>
  <si>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</si>
  <si>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</si>
  <si>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</si>
  <si>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</si>
  <si>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</si>
  <si>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</si>
  <si>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</si>
  <si>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</si>
  <si>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</si>
  <si>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</si>
  <si>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</si>
  <si>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</si>
  <si>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</si>
  <si>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</si>
  <si>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</si>
  <si>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</si>
  <si>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</si>
  <si>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</si>
  <si>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</si>
  <si>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</si>
  <si>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</si>
  <si>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</si>
  <si>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</si>
  <si>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</si>
  <si>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</si>
  <si>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</si>
  <si>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</si>
  <si>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</si>
  <si>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</si>
  <si>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</si>
  <si>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</si>
  <si>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</si>
  <si>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</si>
  <si>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</si>
  <si>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</si>
  <si>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</si>
  <si>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</si>
  <si>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</si>
  <si>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</si>
  <si>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</si>
  <si>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</si>
  <si>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</si>
  <si>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</si>
  <si>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</si>
  <si>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</si>
  <si>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</si>
  <si>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</si>
  <si>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</si>
  <si>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</si>
  <si>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</si>
  <si>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</si>
  <si>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</si>
  <si>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</si>
  <si>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</si>
  <si>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</si>
  <si>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</si>
  <si>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</si>
  <si>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</si>
  <si>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</si>
  <si>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</si>
  <si>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</si>
  <si>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</si>
  <si>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</si>
  <si>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</si>
  <si>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</si>
  <si>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</si>
  <si>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</si>
  <si>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</si>
  <si>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</si>
  <si>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</si>
  <si>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</si>
  <si>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</si>
  <si>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</si>
  <si>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</si>
  <si>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</si>
  <si>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</si>
  <si>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</si>
  <si>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</si>
  <si>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</si>
  <si>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</si>
  <si>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</si>
  <si>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</si>
  <si>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</si>
  <si>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</si>
  <si>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</si>
  <si>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</si>
  <si>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</si>
  <si>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</si>
  <si>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</si>
  <si>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</si>
  <si>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</si>
  <si>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</si>
  <si>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</si>
  <si>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</si>
  <si>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</si>
  <si>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</si>
  <si>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</si>
  <si>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</si>
  <si>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</si>
  <si>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</si>
  <si>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</si>
  <si>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</si>
  <si>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</si>
  <si>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</si>
  <si>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</si>
  <si>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</si>
  <si>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</si>
  <si>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</si>
  <si>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</si>
  <si>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</si>
  <si>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</si>
  <si>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</si>
  <si>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</si>
  <si>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</si>
  <si>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</si>
  <si>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</si>
  <si>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</si>
  <si>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</si>
  <si>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</si>
  <si>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</si>
  <si>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</si>
  <si>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</si>
  <si>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</si>
  <si>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</si>
  <si>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</si>
  <si>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</si>
  <si>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</si>
  <si>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</si>
  <si>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</si>
  <si>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</si>
  <si>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</si>
  <si>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</si>
  <si>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</si>
  <si>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</si>
  <si>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</si>
  <si>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</si>
  <si>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</si>
  <si>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</si>
  <si>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</si>
  <si>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</si>
  <si>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</si>
  <si>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</si>
  <si>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</si>
  <si>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</si>
  <si>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</si>
  <si>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</si>
  <si>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</si>
  <si>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</si>
  <si>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</si>
  <si>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</si>
  <si>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</si>
  <si>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</si>
  <si>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</si>
  <si>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</si>
  <si>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</si>
  <si>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</si>
  <si>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</si>
  <si>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</si>
  <si>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</si>
  <si>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</si>
  <si>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</si>
  <si>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</si>
  <si>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</si>
  <si>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</si>
  <si>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</si>
  <si>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</si>
  <si>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</si>
  <si>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</si>
  <si>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</si>
  <si>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</si>
  <si>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</si>
  <si>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</si>
  <si>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</si>
  <si>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</si>
  <si>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</si>
  <si>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</si>
  <si>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</si>
  <si>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</si>
  <si>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</si>
  <si>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</si>
  <si>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</si>
  <si>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</si>
  <si>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</si>
  <si>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</si>
  <si>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</si>
  <si>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</si>
  <si>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</si>
  <si>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</si>
  <si>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</si>
  <si>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</si>
  <si>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</si>
  <si>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</si>
  <si>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</si>
  <si>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</si>
  <si>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</si>
  <si>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</si>
  <si>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</si>
  <si>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</si>
  <si>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</si>
  <si>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</si>
  <si>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</si>
  <si>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</si>
  <si>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</si>
  <si>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</si>
  <si>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</si>
  <si>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</si>
  <si>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</si>
  <si>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</si>
  <si>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</si>
  <si>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</si>
  <si>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</si>
  <si>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</si>
  <si>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</si>
  <si>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</si>
  <si>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</si>
  <si>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</si>
  <si>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</si>
  <si>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</si>
  <si>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</si>
  <si>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</si>
  <si>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</si>
  <si>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</si>
  <si>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</si>
  <si>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</si>
  <si>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</si>
  <si>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</si>
  <si>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</si>
  <si>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</si>
  <si>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</si>
  <si>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</si>
  <si>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</si>
  <si>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</si>
  <si>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</si>
  <si>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</si>
  <si>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</si>
  <si>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</si>
  <si>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</si>
  <si>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</si>
  <si>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</si>
  <si>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</si>
  <si>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</si>
  <si>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</si>
  <si>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</si>
  <si>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</si>
  <si>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</si>
  <si>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</si>
  <si>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</si>
  <si>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</si>
  <si>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</si>
  <si>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</si>
  <si>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</si>
  <si>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</si>
  <si>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</si>
  <si>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</si>
  <si>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</si>
  <si>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</si>
  <si>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</si>
  <si>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</si>
  <si>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</si>
  <si>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</si>
  <si>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</si>
  <si>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</si>
  <si>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</si>
  <si>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</si>
  <si>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</si>
  <si>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</si>
  <si>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</si>
  <si>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</si>
  <si>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</si>
  <si>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</si>
  <si>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</si>
  <si>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</si>
  <si>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</si>
  <si>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</si>
  <si>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</si>
  <si>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</si>
  <si>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</si>
  <si>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</si>
  <si>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</si>
  <si>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</si>
  <si>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</si>
  <si>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</si>
  <si>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</si>
  <si>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</si>
  <si>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</si>
  <si>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</si>
  <si>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</si>
  <si>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</si>
  <si>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</si>
  <si>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</si>
  <si>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</si>
  <si>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</si>
  <si>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</si>
  <si>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</si>
  <si>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</si>
  <si>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</si>
  <si>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</si>
  <si>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</si>
  <si>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</si>
  <si>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</si>
  <si>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</si>
  <si>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</si>
  <si>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</si>
  <si>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</si>
  <si>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</si>
  <si>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</si>
  <si>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</si>
  <si>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</si>
  <si>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</si>
  <si>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</si>
  <si>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</si>
  <si>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</si>
  <si>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</si>
  <si>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</si>
  <si>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</si>
  <si>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</si>
  <si>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</si>
  <si>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</si>
  <si>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</si>
  <si>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</si>
  <si>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</si>
  <si>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</si>
  <si>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</si>
  <si>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</si>
  <si>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</si>
  <si>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</si>
  <si>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</si>
  <si>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</si>
  <si>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</si>
  <si>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</si>
  <si>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</si>
  <si>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</si>
  <si>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</si>
  <si>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</si>
  <si>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</si>
  <si>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</si>
  <si>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</si>
  <si>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</si>
  <si>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</si>
  <si>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</si>
  <si>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</si>
  <si>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</si>
  <si>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</si>
  <si>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</si>
  <si>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</si>
  <si>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</si>
  <si>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</si>
  <si>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</si>
  <si>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</si>
  <si>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</si>
  <si>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</si>
  <si>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</si>
  <si>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</si>
  <si>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</si>
  <si>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</si>
  <si>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</si>
  <si>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</si>
  <si>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</si>
  <si>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</si>
  <si>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</si>
  <si>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</si>
  <si>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</si>
  <si>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</si>
  <si>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</si>
  <si>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</si>
  <si>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</si>
  <si>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</si>
  <si>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</si>
  <si>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</si>
  <si>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</si>
  <si>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</si>
  <si>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</si>
  <si>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</si>
  <si>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</si>
  <si>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</si>
  <si>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</si>
  <si>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</si>
  <si>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</si>
  <si>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</si>
  <si>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</si>
  <si>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</si>
  <si>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</si>
  <si>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</si>
  <si>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</si>
  <si>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</si>
  <si>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</si>
  <si>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</si>
  <si>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</si>
  <si>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</si>
  <si>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</si>
  <si>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</si>
  <si>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</si>
  <si>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</si>
  <si>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</si>
  <si>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</si>
  <si>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</si>
  <si>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</si>
  <si>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</si>
  <si>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</si>
  <si>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</si>
  <si>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</si>
  <si>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</si>
  <si>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</si>
  <si>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</si>
  <si>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</si>
  <si>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</si>
  <si>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</si>
  <si>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</si>
  <si>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</si>
  <si>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</si>
  <si>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</si>
  <si>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</si>
  <si>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</si>
  <si>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</si>
  <si>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</si>
  <si>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</si>
  <si>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</si>
  <si>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</si>
  <si>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</si>
  <si>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</si>
  <si>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</si>
  <si>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</si>
  <si>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</si>
  <si>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</si>
  <si>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</si>
  <si>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</si>
  <si>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</si>
  <si>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</si>
  <si>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</si>
  <si>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</si>
  <si>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</si>
  <si>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</si>
  <si>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</si>
  <si>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</si>
  <si>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</si>
  <si>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</si>
  <si>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</si>
  <si>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</si>
  <si>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</si>
  <si>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</si>
  <si>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</si>
  <si>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</si>
  <si>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</si>
  <si>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</si>
  <si>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</si>
  <si>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</si>
  <si>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</si>
  <si>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</si>
  <si>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</si>
  <si>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</si>
  <si>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</si>
  <si>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</si>
  <si>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</si>
  <si>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</si>
  <si>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</si>
  <si>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</si>
  <si>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</si>
  <si>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</si>
  <si>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</si>
  <si>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</si>
  <si>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</si>
  <si>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</si>
  <si>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</si>
  <si>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</si>
  <si>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</si>
  <si>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</si>
  <si>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</si>
  <si>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</si>
  <si>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</si>
  <si>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</si>
  <si>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</si>
  <si>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</si>
  <si>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</si>
  <si>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</si>
  <si>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</si>
  <si>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</si>
  <si>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</si>
  <si>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</si>
  <si>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</si>
  <si>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</si>
  <si>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</si>
  <si>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</si>
  <si>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</si>
  <si>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</si>
  <si>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</si>
  <si>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</si>
  <si>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</si>
  <si>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</si>
  <si>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</si>
  <si>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</si>
  <si>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</si>
  <si>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</si>
  <si>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</si>
  <si>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</si>
  <si>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</si>
  <si>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</si>
  <si>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</si>
  <si>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</si>
  <si>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</si>
  <si>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</si>
  <si>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</si>
  <si>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</si>
  <si>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</si>
  <si>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</si>
  <si>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</si>
  <si>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</si>
  <si>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</si>
  <si>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</si>
  <si>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</si>
  <si>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</si>
  <si>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</si>
  <si>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</si>
  <si>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</si>
  <si>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</si>
  <si>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</si>
  <si>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</si>
  <si>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</si>
  <si>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</si>
  <si>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</si>
  <si>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</si>
  <si>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</si>
  <si>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</si>
  <si>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</si>
  <si>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</si>
  <si>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</si>
  <si>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</si>
  <si>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</si>
  <si>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</si>
  <si>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</si>
  <si>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</si>
  <si>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</si>
  <si>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</si>
  <si>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</si>
  <si>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</si>
  <si>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</si>
  <si>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</si>
  <si>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</si>
  <si>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</si>
  <si>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</si>
  <si>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</si>
  <si>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</si>
  <si>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</si>
  <si>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</si>
  <si>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</si>
  <si>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</si>
  <si>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</si>
  <si>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</si>
  <si>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</si>
  <si>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</si>
  <si>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</si>
  <si>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</si>
  <si>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</si>
  <si>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</si>
  <si>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</si>
  <si>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</si>
  <si>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</si>
  <si>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</si>
  <si>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</si>
  <si>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</si>
  <si>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</si>
  <si>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</si>
  <si>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</si>
  <si>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</si>
  <si>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</si>
  <si>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</si>
  <si>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</si>
  <si>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</si>
  <si>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</si>
  <si>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</si>
  <si>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</si>
  <si>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</si>
  <si>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</si>
  <si>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</si>
  <si>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</si>
  <si>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</si>
  <si>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</si>
  <si>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</si>
  <si>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</si>
  <si>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</si>
  <si>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</si>
  <si>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</si>
  <si>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</si>
  <si>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</si>
  <si>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</si>
  <si>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</si>
  <si>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</si>
  <si>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</si>
  <si>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</si>
  <si>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</si>
  <si>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</si>
  <si>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</si>
  <si>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</si>
  <si>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</si>
  <si>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</si>
  <si>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</si>
  <si>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</si>
  <si>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</si>
  <si>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</si>
  <si>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</si>
  <si>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</si>
  <si>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</si>
  <si>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</si>
  <si>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</si>
  <si>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</si>
  <si>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</si>
  <si>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</si>
  <si>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</si>
  <si>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</si>
  <si>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</si>
  <si>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</si>
  <si>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</si>
  <si>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</si>
  <si>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</si>
  <si>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</si>
  <si>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</si>
  <si>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</si>
  <si>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</si>
  <si>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</si>
  <si>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</si>
  <si>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</si>
  <si>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</si>
  <si>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</si>
  <si>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</si>
  <si>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</si>
  <si>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</si>
  <si>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</si>
  <si>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</si>
  <si>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</si>
  <si>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</si>
  <si>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</si>
  <si>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</si>
  <si>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</si>
  <si>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</si>
  <si>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</si>
  <si>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</si>
  <si>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</si>
  <si>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</si>
  <si>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</si>
  <si>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</si>
  <si>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</si>
  <si>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</si>
  <si>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</si>
  <si>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</si>
  <si>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</si>
  <si>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</si>
  <si>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</si>
  <si>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</si>
  <si>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</si>
  <si>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</si>
  <si>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</si>
  <si>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</si>
  <si>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</si>
  <si>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</si>
  <si>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</si>
  <si>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</si>
  <si>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</si>
  <si>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</si>
  <si>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</si>
  <si>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</si>
  <si>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</si>
  <si>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</si>
  <si>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</si>
  <si>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</si>
  <si>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</si>
  <si>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</si>
  <si>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</si>
  <si>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</si>
  <si>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</si>
  <si>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</si>
  <si>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</si>
  <si>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</si>
  <si>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</si>
  <si>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</si>
  <si>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</si>
  <si>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</si>
  <si>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</si>
  <si>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</si>
  <si>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</si>
  <si>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</si>
  <si>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</si>
  <si>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</si>
  <si>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</si>
  <si>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</si>
  <si>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</si>
  <si>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</si>
  <si>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</si>
  <si>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</si>
  <si>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</si>
  <si>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</si>
  <si>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</si>
  <si>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</si>
  <si>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</si>
  <si>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</si>
  <si>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</si>
  <si>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</si>
  <si>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</si>
  <si>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</si>
  <si>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</si>
  <si>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</si>
  <si>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</si>
  <si>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</si>
  <si>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</si>
  <si>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</si>
  <si>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</si>
  <si>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</si>
  <si>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</si>
  <si>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</si>
  <si>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</si>
  <si>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</si>
  <si>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</si>
  <si>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</si>
  <si>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</si>
  <si>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</si>
  <si>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</si>
  <si>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</si>
  <si>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</si>
  <si>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</si>
  <si>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</si>
  <si>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</si>
  <si>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</si>
  <si>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</si>
  <si>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</si>
  <si>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</si>
  <si>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</si>
  <si>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</si>
  <si>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</si>
  <si>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</si>
  <si>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</si>
  <si>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</si>
  <si>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</si>
  <si>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</si>
  <si>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</si>
  <si>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</si>
  <si>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</si>
  <si>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</si>
  <si>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</si>
  <si>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</si>
  <si>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</si>
  <si>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</si>
  <si>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</si>
  <si>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</si>
  <si>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</si>
  <si>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</si>
  <si>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</si>
  <si>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</si>
  <si>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</si>
  <si>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</si>
  <si>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</si>
  <si>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</si>
  <si>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</si>
  <si>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</si>
  <si>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</si>
  <si>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</si>
  <si>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</si>
  <si>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</si>
  <si>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</si>
  <si>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</si>
  <si>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</si>
  <si>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</si>
  <si>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</si>
  <si>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</si>
  <si>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</si>
  <si>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</si>
  <si>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</si>
  <si>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</si>
  <si>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</si>
  <si>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</si>
  <si>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</si>
  <si>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</si>
  <si>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</si>
  <si>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</si>
  <si>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</si>
  <si>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</si>
  <si>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</si>
  <si>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</si>
  <si>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</si>
  <si>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</si>
  <si>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</si>
  <si>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</si>
  <si>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</si>
  <si>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</si>
  <si>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</si>
  <si>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</si>
  <si>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</si>
  <si>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</si>
  <si>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</si>
  <si>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</si>
  <si>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</si>
  <si>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</si>
  <si>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</si>
  <si>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</si>
  <si>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</si>
  <si>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</si>
  <si>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</si>
  <si>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</si>
  <si>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</si>
  <si>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</si>
  <si>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</si>
  <si>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</si>
  <si>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</si>
  <si>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</si>
  <si>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</si>
  <si>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</si>
  <si>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</si>
  <si>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</si>
  <si>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</si>
  <si>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</si>
  <si>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</si>
  <si>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</si>
  <si>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</si>
  <si>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</si>
  <si>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</si>
  <si>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</si>
  <si>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</si>
  <si>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</si>
  <si>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</si>
  <si>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</si>
  <si>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</si>
  <si>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</si>
  <si>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</si>
  <si>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</si>
  <si>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</si>
  <si>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</si>
  <si>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</si>
  <si>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</si>
  <si>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</si>
  <si>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</si>
  <si>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</si>
  <si>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</si>
  <si>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</si>
  <si>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</si>
  <si>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</si>
  <si>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</si>
  <si>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</si>
  <si>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</si>
  <si>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</si>
  <si>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</si>
  <si>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</si>
  <si>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</si>
  <si>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</si>
  <si>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</si>
  <si>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</si>
  <si>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</si>
  <si>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</si>
  <si>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</si>
  <si>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</si>
  <si>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</si>
  <si>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</si>
  <si>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</si>
  <si>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</si>
  <si>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</si>
  <si>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</si>
  <si>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</si>
  <si>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</si>
  <si>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</si>
  <si>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</si>
  <si>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</si>
  <si>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</si>
  <si>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</si>
  <si>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</si>
  <si>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</si>
  <si>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</si>
  <si>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</si>
  <si>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</si>
  <si>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</si>
  <si>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</si>
  <si>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</si>
  <si>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</si>
  <si>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</si>
  <si>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</si>
  <si>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</si>
  <si>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</si>
  <si>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</si>
  <si>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</si>
  <si>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</si>
  <si>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</si>
  <si>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</si>
  <si>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</si>
  <si>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</si>
  <si>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</si>
  <si>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</si>
  <si>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</si>
  <si>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</si>
  <si>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</si>
  <si>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</si>
  <si>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</si>
  <si>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</si>
  <si>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</si>
  <si>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</si>
  <si>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</si>
  <si>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</si>
  <si>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</si>
  <si>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</si>
  <si>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</si>
  <si>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</si>
  <si>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</si>
  <si>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</si>
  <si>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</si>
  <si>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</si>
  <si>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</si>
  <si>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</si>
  <si>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</si>
  <si>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</si>
  <si>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</si>
  <si>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</si>
  <si>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</si>
  <si>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</si>
  <si>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</si>
  <si>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</si>
  <si>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</si>
  <si>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</si>
  <si>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</si>
  <si>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</si>
  <si>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</si>
  <si>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</si>
  <si>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</si>
  <si>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</si>
  <si>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</si>
  <si>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</si>
  <si>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</si>
  <si>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</si>
  <si>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</si>
  <si>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</si>
  <si>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</si>
  <si>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</si>
  <si>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</si>
  <si>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</si>
  <si>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</si>
  <si>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</si>
  <si>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</si>
  <si>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</si>
  <si>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</si>
  <si>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</si>
  <si>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</si>
  <si>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</si>
  <si>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</si>
  <si>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</si>
  <si>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</si>
  <si>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</si>
  <si>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</si>
  <si>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</si>
  <si>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</si>
  <si>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</si>
  <si>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</si>
  <si>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</si>
  <si>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</si>
  <si>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</si>
  <si>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</si>
  <si>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</si>
  <si>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</si>
  <si>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</si>
  <si>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</si>
  <si>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</si>
  <si>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</si>
  <si>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</si>
  <si>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</si>
  <si>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</si>
  <si>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</si>
  <si>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</si>
  <si>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</si>
  <si>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</si>
  <si>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</si>
  <si>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</si>
  <si>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</si>
  <si>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</si>
  <si>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</si>
  <si>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</si>
  <si>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</si>
  <si>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</si>
  <si>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</si>
  <si>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</si>
  <si>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</si>
  <si>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</si>
  <si>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</si>
  <si>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</si>
  <si>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</si>
  <si>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</si>
  <si>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</si>
  <si>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</si>
  <si>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</si>
  <si>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</si>
  <si>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</si>
  <si>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</si>
  <si>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</si>
  <si>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</si>
  <si>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</si>
  <si>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</si>
  <si>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</si>
  <si>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</si>
  <si>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</si>
  <si>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</si>
  <si>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</si>
  <si>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</si>
  <si>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</si>
  <si>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</si>
  <si>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</si>
  <si>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</si>
  <si>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</si>
  <si>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</si>
  <si>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</si>
  <si>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</si>
  <si>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</si>
  <si>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</si>
  <si>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</si>
  <si>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</si>
  <si>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</si>
  <si>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</si>
  <si>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</si>
  <si>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</si>
  <si>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</si>
  <si>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</si>
  <si>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</si>
  <si>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</si>
  <si>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</si>
  <si>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</si>
  <si>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</si>
  <si>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</si>
  <si>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</si>
  <si>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</si>
  <si>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</si>
  <si>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</si>
  <si>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</si>
  <si>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</si>
  <si>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</si>
  <si>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</si>
  <si>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</si>
  <si>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</si>
  <si>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</si>
  <si>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</si>
  <si>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</si>
  <si>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</si>
  <si>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</si>
  <si>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</si>
  <si>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</si>
  <si>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</si>
  <si>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</si>
  <si>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</si>
  <si>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</si>
  <si>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</si>
  <si>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</si>
  <si>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</si>
  <si>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</si>
  <si>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</si>
  <si>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</si>
  <si>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</si>
  <si>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</si>
  <si>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</si>
  <si>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</si>
  <si>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</si>
  <si>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</si>
  <si>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</si>
  <si>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</si>
  <si>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</si>
  <si>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</si>
  <si>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</si>
  <si>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</si>
  <si>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</si>
  <si>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</si>
  <si>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</si>
  <si>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</si>
  <si>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</si>
  <si>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</si>
  <si>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</si>
  <si>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</si>
  <si>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</si>
  <si>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</si>
  <si>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</si>
  <si>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</si>
  <si>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</si>
  <si>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</si>
  <si>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</si>
  <si>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</si>
  <si>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</si>
  <si>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</si>
  <si>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</si>
  <si>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</si>
  <si>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</si>
  <si>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</si>
  <si>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</si>
  <si>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</si>
  <si>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</si>
  <si>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</si>
  <si>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</si>
  <si>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</si>
  <si>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</si>
  <si>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</si>
  <si>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</si>
  <si>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</si>
  <si>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</si>
  <si>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</si>
  <si>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</si>
  <si>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</si>
  <si>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</si>
  <si>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</si>
  <si>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</si>
  <si>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</si>
  <si>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</si>
  <si>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</si>
  <si>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</si>
  <si>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</si>
  <si>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</si>
  <si>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</si>
  <si>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</si>
  <si>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</si>
  <si>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</si>
  <si>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</si>
  <si>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</si>
  <si>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</si>
  <si>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</si>
  <si>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</si>
  <si>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</si>
  <si>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</si>
  <si>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</si>
  <si>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</si>
  <si>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</si>
  <si>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</si>
  <si>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</si>
  <si>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</si>
  <si>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</si>
  <si>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</si>
  <si>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</si>
  <si>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</si>
  <si>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</si>
  <si>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</si>
  <si>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</si>
  <si>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</si>
  <si>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</si>
  <si>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</si>
  <si>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</si>
  <si>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</si>
  <si>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</si>
  <si>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</si>
  <si>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</si>
  <si>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</si>
  <si>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</si>
  <si>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</si>
  <si>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</si>
  <si>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</si>
  <si>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</si>
  <si>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</si>
  <si>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</si>
  <si>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</si>
  <si>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</si>
  <si>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</si>
  <si>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</si>
  <si>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</si>
  <si>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</si>
  <si>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</si>
  <si>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</si>
  <si>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</si>
  <si>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</si>
  <si>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</si>
  <si>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</si>
  <si>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</si>
  <si>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</si>
  <si>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</si>
  <si>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</si>
  <si>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</si>
  <si>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</si>
  <si>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</si>
  <si>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</si>
  <si>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</si>
  <si>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</si>
  <si>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</si>
  <si>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</si>
  <si>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</si>
  <si>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</si>
  <si>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</si>
  <si>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</si>
  <si>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</si>
  <si>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</si>
  <si>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</si>
  <si>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</si>
  <si>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</si>
  <si>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</si>
  <si>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</si>
  <si>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</si>
  <si>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</si>
  <si>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</si>
  <si>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</si>
  <si>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</si>
  <si>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</si>
  <si>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</si>
  <si>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</si>
  <si>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</si>
  <si>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</si>
  <si>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</si>
  <si>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</si>
  <si>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</si>
  <si>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</si>
  <si>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</si>
  <si>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</si>
  <si>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</si>
  <si>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</si>
  <si>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</si>
  <si>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</si>
  <si>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</si>
  <si>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</si>
  <si>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</si>
  <si>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</si>
  <si>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</si>
  <si>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</si>
  <si>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</si>
  <si>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</si>
  <si>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</si>
  <si>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</si>
  <si>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</si>
  <si>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</si>
  <si>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</si>
  <si>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</si>
  <si>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</si>
  <si>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</si>
  <si>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</si>
  <si>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</si>
  <si>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</si>
  <si>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</si>
  <si>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</si>
  <si>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</si>
  <si>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</si>
  <si>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</si>
  <si>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</si>
  <si>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</si>
  <si>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</si>
  <si>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</si>
  <si>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</si>
  <si>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</si>
  <si>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</si>
  <si>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</si>
  <si>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</si>
  <si>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</si>
  <si>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</si>
  <si>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</si>
  <si>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</si>
  <si>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</si>
  <si>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</si>
  <si>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</si>
  <si>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</si>
  <si>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</si>
  <si>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</si>
  <si>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</si>
  <si>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</si>
  <si>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</si>
  <si>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</si>
  <si>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</si>
  <si>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</si>
  <si>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</si>
  <si>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</si>
  <si>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</si>
  <si>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</si>
  <si>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</si>
  <si>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</si>
  <si>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</si>
  <si>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</si>
  <si>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</si>
  <si>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</si>
  <si>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</si>
  <si>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</si>
  <si>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</si>
  <si>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</si>
  <si>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</si>
  <si>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</si>
  <si>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</si>
  <si>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</si>
  <si>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</si>
  <si>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</si>
  <si>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</si>
  <si>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</si>
  <si>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</si>
  <si>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</si>
  <si>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</si>
  <si>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</si>
  <si>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</si>
  <si>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</si>
  <si>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</si>
  <si>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</si>
  <si>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</si>
  <si>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</si>
  <si>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</si>
  <si>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</si>
  <si>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</si>
  <si>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</si>
  <si>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</si>
  <si>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</si>
  <si>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</si>
  <si>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</si>
  <si>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</si>
  <si>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</si>
  <si>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</si>
  <si>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</si>
  <si>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</si>
  <si>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</si>
  <si>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</si>
  <si>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</si>
  <si>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</si>
  <si>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</si>
  <si>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</si>
  <si>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</si>
  <si>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</si>
  <si>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</si>
  <si>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</si>
  <si>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</si>
  <si>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</si>
  <si>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</si>
  <si>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</si>
  <si>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</si>
  <si>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</si>
  <si>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</si>
  <si>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</si>
  <si>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</si>
  <si>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</si>
  <si>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</si>
  <si>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</si>
  <si>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</si>
  <si>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</si>
  <si>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</si>
  <si>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</si>
  <si>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</si>
  <si>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</si>
  <si>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</si>
  <si>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</si>
  <si>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</si>
  <si>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</si>
  <si>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</si>
  <si>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</si>
  <si>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</si>
  <si>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</si>
  <si>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</si>
  <si>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</si>
  <si>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</si>
  <si>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</si>
  <si>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</si>
  <si>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</si>
  <si>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</si>
  <si>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</si>
  <si>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</si>
  <si>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</si>
  <si>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</si>
  <si>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</si>
  <si>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</si>
  <si>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</si>
  <si>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</si>
  <si>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</si>
  <si>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</si>
  <si>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</si>
  <si>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</si>
  <si>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</si>
  <si>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</si>
  <si>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</si>
  <si>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</si>
  <si>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</si>
  <si>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</si>
  <si>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</si>
  <si>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</si>
  <si>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</si>
  <si>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</si>
  <si>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</si>
  <si>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</si>
  <si>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</si>
  <si>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</si>
  <si>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</si>
  <si>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</si>
  <si>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</si>
  <si>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</si>
  <si>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</si>
  <si>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</si>
  <si>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</si>
  <si>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</si>
  <si>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</si>
  <si>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</si>
  <si>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</si>
  <si>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</si>
  <si>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</si>
  <si>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</si>
  <si>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</si>
  <si>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</si>
  <si>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</si>
  <si>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</si>
  <si>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</si>
  <si>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</si>
  <si>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</si>
  <si>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</si>
  <si>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</si>
  <si>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</si>
  <si>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</si>
  <si>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</si>
  <si>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</si>
  <si>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</si>
  <si>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</si>
  <si>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</si>
  <si>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</si>
  <si>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</si>
  <si>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</si>
  <si>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</si>
  <si>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</si>
  <si>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</si>
  <si>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</si>
  <si>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</si>
  <si>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</si>
  <si>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</si>
  <si>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</si>
  <si>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</si>
  <si>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</si>
  <si>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</si>
  <si>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</si>
  <si>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</si>
  <si>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</si>
  <si>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</si>
  <si>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</si>
  <si>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</si>
  <si>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</si>
  <si>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</si>
  <si>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</si>
  <si>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</si>
  <si>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</si>
  <si>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</si>
  <si>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</si>
  <si>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</si>
  <si>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</si>
  <si>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</si>
  <si>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</si>
  <si>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</si>
  <si>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</si>
  <si>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</si>
  <si>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</si>
  <si>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</si>
  <si>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</si>
  <si>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</si>
  <si>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</si>
  <si>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标准厂房</t>
  </si>
  <si>
    <t>工业</t>
    <phoneticPr fontId="7" type="noConversion"/>
  </si>
  <si>
    <t>是</t>
  </si>
  <si>
    <t>利息：取LPR加浮动点数</t>
  </si>
  <si>
    <t>成新度</t>
  </si>
  <si>
    <t>收益法</t>
  </si>
  <si>
    <t>押一</t>
  </si>
  <si>
    <t>按租金收入计税</t>
  </si>
  <si>
    <t>钢混</t>
  </si>
  <si>
    <t>非生产用房</t>
  </si>
  <si>
    <t>未包含在土地购买价格中</t>
  </si>
  <si>
    <t>全部缴纳</t>
  </si>
  <si>
    <t>已包含在土地取得成本中</t>
  </si>
  <si>
    <t>Ⅹ-八达岭开发区</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</si>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</sst>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90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估价对象为北京市房地产，为所有。根据《国有土地使用证》[]，估价对象（分摊）出让国有建设用地使用权面积为0平方米，建筑面积为1412.17平方米。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估价对象为北京市房地产,属开发建设的，该项目尚在开发建设中。根据《国有土地使用证》[]，估价对象（分摊）出让国有建设用地使用权面积为0平方米，规划建筑面积为1412.17平方米。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2022年9月5日（评估专业人员实地查勘之日）</v>
      </c>
    </row>
    <row r="13" spans="1:2" s="1318" customFormat="1">
      <c r="A13" s="1316" t="s">
        <v>954</v>
      </c>
      <c r="B13" s="1317" t="str">
        <f>'预评函-1'!A18</f>
        <v>本次估价的“房地产价值”是指在正常市场情况下，在价值时点2022年9月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650</v>
      </c>
    </row>
    <row r="21" spans="1:2" s="1318" customFormat="1">
      <c r="A21" s="1316" t="s">
        <v>962</v>
      </c>
      <c r="B21" s="1317">
        <f ca="1">'预评函-2'!D7</f>
        <v>4603</v>
      </c>
    </row>
    <row r="22" spans="1:2" s="1318" customFormat="1">
      <c r="A22" s="1316" t="s">
        <v>963</v>
      </c>
      <c r="B22" s="1317" t="str">
        <f ca="1">'预评函-2'!D6</f>
        <v>陆佰伍拾万元整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650</v>
      </c>
    </row>
    <row r="31" spans="1:2" s="1318" customFormat="1">
      <c r="A31" s="1316" t="s">
        <v>1001</v>
      </c>
      <c r="B31" s="1317">
        <f ca="1">'预评函-2'!D15</f>
        <v>4603</v>
      </c>
    </row>
    <row r="32" spans="1:2" s="1318" customFormat="1">
      <c r="A32" s="1316" t="s">
        <v>968</v>
      </c>
      <c r="B32" s="1317" t="str">
        <f ca="1">'预评函-2'!D14</f>
        <v>陆佰伍拾万元整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1412.17</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164</v>
      </c>
    </row>
    <row r="48" spans="1:2" s="1318" customFormat="1">
      <c r="A48" s="1316" t="s">
        <v>974</v>
      </c>
      <c r="B48" s="1317">
        <f ca="1">'预评函-3'!E4</f>
        <v>1161</v>
      </c>
    </row>
    <row r="49" spans="1:2" s="1318" customFormat="1">
      <c r="A49" s="1316" t="s">
        <v>975</v>
      </c>
      <c r="B49" s="1317" t="str">
        <f ca="1">'预评函-3'!D5</f>
        <v>壹佰陆拾肆万元整</v>
      </c>
    </row>
    <row r="50" spans="1:2" s="1318" customFormat="1">
      <c r="A50" s="1316" t="s">
        <v>999</v>
      </c>
      <c r="B50" s="1317" t="str">
        <f>'预评函-3'!F2</f>
        <v>在建建筑物价值</v>
      </c>
    </row>
    <row r="51" spans="1:2" s="1318" customFormat="1">
      <c r="A51" s="1316" t="s">
        <v>976</v>
      </c>
      <c r="B51" s="1317">
        <f ca="1">'预评函-3'!F4</f>
        <v>486</v>
      </c>
    </row>
    <row r="52" spans="1:2" s="1318" customFormat="1">
      <c r="A52" s="1316" t="s">
        <v>977</v>
      </c>
      <c r="B52" s="1317">
        <f ca="1">'预评函-3'!G4</f>
        <v>3442</v>
      </c>
    </row>
    <row r="53" spans="1:2" s="1318" customFormat="1">
      <c r="A53" s="1316" t="s">
        <v>1005</v>
      </c>
      <c r="B53" s="1317" t="str">
        <f ca="1">'预评函-3'!F5</f>
        <v>肆佰捌拾陆万元整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3" sqref="I13:I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44809</v>
      </c>
      <c r="C3" s="2548" t="s">
        <v>2672</v>
      </c>
      <c r="D3" s="2547">
        <f>B3</f>
        <v>44809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6"/>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59046</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39</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1412.17</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0</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t="s">
        <v>533</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t="s">
        <v>3194</v>
      </c>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1412.17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1412.17</v>
      </c>
      <c r="H5" s="16">
        <f t="shared" ref="H5:AT5" si="0">SUM(H13:H656)</f>
        <v>1412.17</v>
      </c>
      <c r="I5" s="16">
        <f t="shared" si="0"/>
        <v>1412.17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1412.17</v>
      </c>
      <c r="BA5" s="18">
        <f t="shared" si="1"/>
        <v>1412.17</v>
      </c>
      <c r="BB5" s="18">
        <f t="shared" si="1"/>
        <v>1412.17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3181</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标准厂房</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3183</v>
      </c>
      <c r="E13" s="16">
        <f>IF($C$3="是",ROUND($A$3*G13/$B$3,2),ROUND($A$3*(G13-AT13)/$B$3,2))</f>
        <v>0</v>
      </c>
      <c r="F13" s="32"/>
      <c r="G13" s="33">
        <f>H13+AC13+AT13</f>
        <v>1412.17</v>
      </c>
      <c r="H13" s="20">
        <f>SUMIF(I$12:AB$12,"总值",I13:AB13)</f>
        <v>1412.17</v>
      </c>
      <c r="I13" s="1762">
        <v>1412.17</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1412.17</v>
      </c>
      <c r="BA13" s="16">
        <f>SUM(BB13:BK13)</f>
        <v>1412.17</v>
      </c>
      <c r="BB13" s="16">
        <f>IF($D13="是",I13-J13,0)</f>
        <v>1412.17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5" sqref="F5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0</v>
      </c>
      <c r="E3" s="46">
        <f>'数据-基础表'!AZ5</f>
        <v>1412.17</v>
      </c>
      <c r="F3" s="2836"/>
      <c r="G3" s="1260"/>
      <c r="H3" s="1138" t="s">
        <v>1551</v>
      </c>
      <c r="I3" s="945" t="e">
        <f>ROUND('数据-基础表'!B3/'数据-基础表'!A3,2)</f>
        <v>#DIV/0!</v>
      </c>
      <c r="J3" s="2836"/>
      <c r="K3" s="2836"/>
      <c r="L3" s="2836"/>
      <c r="M3" s="2836"/>
      <c r="N3" s="2838"/>
      <c r="O3" s="2836"/>
      <c r="P3" s="2836"/>
    </row>
    <row r="4" spans="1:16" ht="15">
      <c r="A4" s="3317"/>
      <c r="B4" s="3318"/>
      <c r="C4" s="3319"/>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0" t="s">
        <v>1556</v>
      </c>
      <c r="C6" s="3320"/>
      <c r="D6" s="48">
        <f>ROUND($D$3*E6/$E$3,2)</f>
        <v>0</v>
      </c>
      <c r="E6" s="49">
        <f>E3-E5</f>
        <v>1412.17</v>
      </c>
      <c r="F6" s="2836"/>
      <c r="G6" s="2830" t="s">
        <v>1557</v>
      </c>
      <c r="H6" s="1261" t="s">
        <v>1558</v>
      </c>
      <c r="I6" s="2831" t="e">
        <f>ROUND(F31/D31,2)</f>
        <v>#DIV/0!</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1412.17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1412.17</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3182</v>
      </c>
      <c r="D19" s="48">
        <f>ROUND($D$3*E19/$E$3,2)</f>
        <v>0</v>
      </c>
      <c r="E19" s="56">
        <f t="shared" ref="E19:E26" si="1">SUM(F19:G19)</f>
        <v>1412.17</v>
      </c>
      <c r="F19" s="2976">
        <v>1412.17</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1412.17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1412.17</v>
      </c>
      <c r="F27" s="1255">
        <f>IF(SUM(F19:F26)=E8,SUM(F19:F26),"地上面积有误")</f>
        <v>1412.17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1412.17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1412.17</v>
      </c>
      <c r="F31" s="686">
        <f>F27+F30</f>
        <v>1412.17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AJ53" sqref="AJ5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44809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59046</v>
      </c>
      <c r="F6" s="68">
        <f>SUMIF(项目基本情况!D$12:I$12,C6,项目基本情况!D$15:I$15)</f>
        <v>39</v>
      </c>
      <c r="G6" s="69">
        <f>IF(ISERROR(ROUND(POWER(1+H6,D6-F6)*(POWER(1+H6,F6)-1)/(POWER(1+H6,D6)-1),3)),0,ROUND(POWER(1+H6,D6-F6)*(POWER(1+H6,F6)-1)/(POWER(1+H6,D6)-1),3))</f>
        <v>0.92200000000000004</v>
      </c>
      <c r="H6" s="741">
        <v>4.4999999999999998E-2</v>
      </c>
      <c r="I6" s="741">
        <v>0.05</v>
      </c>
      <c r="J6" s="70">
        <v>7.0000000000000007E-2</v>
      </c>
      <c r="K6" s="1142">
        <f>SUMIF('数据-汇总表'!C$19:C$33,A6,'数据-汇总表'!E$19:E$33)</f>
        <v>1412.17</v>
      </c>
      <c r="L6" s="742">
        <v>2500</v>
      </c>
      <c r="M6" s="71">
        <f t="shared" ref="M6:M14" si="0">ROUND(K6*L6/10000,0)</f>
        <v>353</v>
      </c>
      <c r="N6" s="740">
        <f>ROUND(1-(2022-2013)/60,2)</f>
        <v>0.85</v>
      </c>
      <c r="O6" s="71" t="str">
        <f>IF($N$5="成新度","——",ROUND(M6*N6,0))</f>
        <v>——</v>
      </c>
      <c r="P6" s="72" t="str">
        <f>IF($N$5="成新度","——",M6-O6)</f>
        <v>——</v>
      </c>
      <c r="Q6" s="743">
        <v>0.05</v>
      </c>
      <c r="R6" s="73">
        <f ca="1">SUMIF('数据-汇总表'!C$19:C$33,A6,'数据-汇总表'!R$19:R$27)</f>
        <v>0</v>
      </c>
      <c r="S6" s="54">
        <f>IF('数据-汇总表'!$I$17="按面积比例",SUMIF('数据-汇总表'!C$19:C$33,A6,'数据-汇总表'!K$19:K$33),SUMIF('数据-汇总表'!C$19:C$33,A6,'数据-汇总表'!N$19:N$33))</f>
        <v>0</v>
      </c>
      <c r="T6" s="1287">
        <f>ROUND($L$14*S6/10000,0)</f>
        <v>0</v>
      </c>
      <c r="U6" s="74">
        <v>1</v>
      </c>
      <c r="V6" s="75">
        <v>0.02</v>
      </c>
      <c r="W6" s="75">
        <v>0.1</v>
      </c>
      <c r="X6" s="1152"/>
      <c r="Y6" s="76">
        <f>N6</f>
        <v>0.85</v>
      </c>
      <c r="Z6" s="77"/>
      <c r="AA6" s="70"/>
      <c r="AB6" s="70"/>
      <c r="AC6" s="1152"/>
      <c r="AD6" s="78"/>
      <c r="AE6" s="1153">
        <f ca="1">IF(AN6="",0,SUMIF(INDIRECT("'"&amp;AN6&amp;"'"&amp;"!E:E"),$AE$5,INDIRECT("'"&amp;AN6&amp;"'"&amp;"!F:F")))</f>
        <v>39</v>
      </c>
      <c r="AF6" s="1483"/>
      <c r="AG6" s="143">
        <f>IF(AF6="",0,AE6-AF6)</f>
        <v>0</v>
      </c>
      <c r="AH6" s="79"/>
      <c r="AI6" s="81">
        <v>365</v>
      </c>
      <c r="AJ6" s="82"/>
      <c r="AK6" s="83">
        <v>0.01</v>
      </c>
      <c r="AL6" s="84">
        <v>1.5E-3</v>
      </c>
      <c r="AM6" s="85">
        <v>0.01</v>
      </c>
      <c r="AN6" s="1852" t="s">
        <v>3186</v>
      </c>
      <c r="AO6" s="55">
        <f ca="1">SUMIF(INDIRECT("'"&amp;AN6&amp;"'"&amp;"!A:A"),"总价",INDIRECT("'"&amp;AN6&amp;"'"&amp;"!B:B"))</f>
        <v>722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0.92200000000000004</v>
      </c>
      <c r="H16" s="95">
        <f>ROUND(SUMPRODUCT(H6:H13,K6:K13)/SUMPRODUCT((H6:H13&gt;0)*(K6:K13)),3)</f>
        <v>4.4999999999999998E-2</v>
      </c>
      <c r="I16" s="96"/>
      <c r="J16" s="96"/>
      <c r="K16" s="97">
        <f>SUM(K6:K15)</f>
        <v>1412.17</v>
      </c>
      <c r="L16" s="98">
        <f>ROUND(M16*10000/SUM(K6:K14),0)</f>
        <v>2500</v>
      </c>
      <c r="M16" s="98">
        <f>SUM(M6:M14)</f>
        <v>353</v>
      </c>
      <c r="N16" s="99">
        <f>ROUND(SUMPRODUCT(M6:M14,N6:N14)/M16,3)</f>
        <v>0.85</v>
      </c>
      <c r="O16" s="98">
        <f>SUM(O6:O14)</f>
        <v>0</v>
      </c>
      <c r="P16" s="98">
        <f>SUM(P6:P14)</f>
        <v>0</v>
      </c>
      <c r="Q16" s="100">
        <f>ROUND(SUMPRODUCT(Q6:Q13,K6:K13)/SUMPRODUCT((Q6:Q13&gt;0)*(K6:K13)),2)</f>
        <v>0.05</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150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1412.17</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44809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650</v>
      </c>
      <c r="C5" s="2688">
        <f ca="1">ROUND(B5*10000/$B$1,0)</f>
        <v>4603</v>
      </c>
      <c r="D5" s="2688" t="e">
        <f ca="1">ROUND(B5*10000/$B$2,0)</f>
        <v>#DIV/0!</v>
      </c>
      <c r="E5" s="2865"/>
      <c r="F5" s="2866"/>
      <c r="G5" s="2866"/>
      <c r="H5" s="2867"/>
      <c r="I5" s="2867"/>
      <c r="J5" s="2867"/>
      <c r="K5" s="2867"/>
    </row>
    <row r="6" spans="1:11" ht="16.5">
      <c r="A6" s="2688" t="s">
        <v>1081</v>
      </c>
      <c r="B6" s="2688">
        <f ca="1">SUM(G14:G23)</f>
        <v>650</v>
      </c>
      <c r="C6" s="2688">
        <f ca="1">ROUND(B6*10000/$B$1,0)</f>
        <v>4603</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1412.17</v>
      </c>
      <c r="C14" s="2694">
        <f>结果表!C118</f>
        <v>0</v>
      </c>
      <c r="D14" s="2694">
        <f ca="1">结果表!H118</f>
        <v>650</v>
      </c>
      <c r="E14" s="2694">
        <f ca="1">ROUND(D14*10000/B14,0)</f>
        <v>4603</v>
      </c>
      <c r="F14" s="2694" t="e">
        <f ca="1">ROUND(D14*10000/C14,0)</f>
        <v>#DIV/0!</v>
      </c>
      <c r="G14" s="2694">
        <f ca="1">结果表!D122</f>
        <v>650</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41" sqref="H4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3195</v>
      </c>
      <c r="D4" s="1893" t="s">
        <v>3186</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4</v>
      </c>
      <c r="D14" s="3360">
        <v>6</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47" t="s">
        <v>2632</v>
      </c>
      <c r="F18" s="3348"/>
      <c r="G18" s="3348"/>
      <c r="H18" s="3348"/>
      <c r="I18" s="3348"/>
      <c r="K18" s="308" t="s">
        <v>1734</v>
      </c>
      <c r="L18" s="308">
        <f>IF(C1="",'数据-汇总表'!E3,SUMIF(项目类型,C1,'数据-汇总表'!E17:E26)+SUMIF(项目类型,C1,'数据-汇总表'!I17:I26))</f>
        <v>1412.17</v>
      </c>
      <c r="M18" s="308">
        <f>IF(C1="",'数据-汇总表'!E3,SUMIF(项目类型,C1,'数据-汇总表'!E17:E26))</f>
        <v>1412.17</v>
      </c>
    </row>
    <row r="19" spans="1:36" ht="15">
      <c r="A19" s="1898" t="s">
        <v>1735</v>
      </c>
      <c r="B19" s="1899" t="s">
        <v>1736</v>
      </c>
      <c r="C19" s="139">
        <f ca="1">SUMIF(INDIRECT("'"&amp;C4&amp;"'"&amp;"!A:A"),结果表!B19,INDIRECT("'"&amp;C4&amp;"'"&amp;"!B:B"))</f>
        <v>542</v>
      </c>
      <c r="D19" s="140">
        <f ca="1">SUMIF(INDIRECT("'"&amp;D4&amp;"'"&amp;"!A:A"),结果表!B19,INDIRECT("'"&amp;D4&amp;"'"&amp;"!B:B"))</f>
        <v>722</v>
      </c>
      <c r="E19" s="1898" t="s">
        <v>1737</v>
      </c>
      <c r="F19" s="1899" t="s">
        <v>1736</v>
      </c>
      <c r="G19" s="141">
        <f ca="1">ROUND(C19*$C$18+D19*$D$18,0)</f>
        <v>650</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3838</v>
      </c>
      <c r="D20" s="143">
        <f ca="1">SUMIF(INDIRECT("'"&amp;D4&amp;"'"&amp;"!A:A"),结果表!B20,INDIRECT("'"&amp;D4&amp;"'"&amp;"!B:B"))</f>
        <v>5113</v>
      </c>
      <c r="E20" s="1901"/>
      <c r="F20" s="1138" t="s">
        <v>1740</v>
      </c>
      <c r="G20" s="144">
        <f ca="1">ROUND(C20*$C$18+D20*$D$18,0)</f>
        <v>4603</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0.33210332103321027</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650</v>
      </c>
      <c r="D32" s="1912" t="s">
        <v>3196</v>
      </c>
      <c r="E32" s="134"/>
      <c r="F32" s="134"/>
      <c r="G32" s="134"/>
      <c r="H32" s="134"/>
      <c r="I32" s="134"/>
    </row>
    <row r="33" spans="1:15" ht="15">
      <c r="A33" s="875" t="s">
        <v>1751</v>
      </c>
      <c r="B33" s="1913"/>
      <c r="C33" s="1914" t="s">
        <v>3197</v>
      </c>
      <c r="D33" s="1915" t="s">
        <v>3195</v>
      </c>
      <c r="E33" s="1916" t="s">
        <v>1752</v>
      </c>
      <c r="F33" s="1917" t="str">
        <f>IF(D32="楼面单价","取值（单价）","取值（总价）")</f>
        <v>取值（总价）</v>
      </c>
      <c r="G33" s="134"/>
      <c r="H33" s="134"/>
      <c r="I33" s="134"/>
    </row>
    <row r="34" spans="1:15" ht="15">
      <c r="A34" s="1918"/>
      <c r="B34" s="1919" t="s">
        <v>1753</v>
      </c>
      <c r="C34" s="153">
        <f ca="1">IF(C33="自定义",F34,C32-C35)</f>
        <v>164</v>
      </c>
      <c r="D34" s="951">
        <f ca="1">IF(C33="自定义",ROUND(C34/C32,3),IF(C33="收益比率",SUMIF(INDIRECT("'"&amp;D33&amp;"'"&amp;"!b:b"),"土地收益比率",INDIRECT("'"&amp;D33&amp;"'"&amp;"!c:c")),SUMIF(INDIRECT("'"&amp;D33&amp;"'"&amp;"!b:b"),"土地成本比率",INDIRECT("'"&amp;D33&amp;"'"&amp;"!c:c"))))</f>
        <v>0.253</v>
      </c>
      <c r="E34" s="1920" t="s">
        <v>1754</v>
      </c>
      <c r="F34" s="1451"/>
      <c r="G34" s="134"/>
      <c r="H34" s="134"/>
      <c r="I34" s="134"/>
    </row>
    <row r="35" spans="1:15" ht="15.75" thickBot="1">
      <c r="A35" s="1921"/>
      <c r="B35" s="1922" t="s">
        <v>1755</v>
      </c>
      <c r="C35" s="1285">
        <f ca="1">IF(C33="自定义",F35,ROUND(C32*D35,0))</f>
        <v>486</v>
      </c>
      <c r="D35" s="1286">
        <f ca="1">IF(C33="自定义",ROUND(C35/C32,3),IF(C33="收益比率",SUMIF(INDIRECT("'"&amp;D33&amp;"'"&amp;"!b:b"),"建筑物收益比率",INDIRECT("'"&amp;D33&amp;"'"&amp;"!c:c")),SUMIF(INDIRECT("'"&amp;D33&amp;"'"&amp;"!b:b"),"建筑物成本比率",INDIRECT("'"&amp;D33&amp;"'"&amp;"!c:c"))))</f>
        <v>0.747</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650</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44809</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0" t="s">
        <v>1785</v>
      </c>
      <c r="L48" s="3390"/>
      <c r="M48" s="3412">
        <f ca="1">H101</f>
        <v>650</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房地产抵押价值</v>
      </c>
      <c r="L49" s="3390"/>
      <c r="M49" s="3412">
        <f ca="1">IF(项目基本情况!E8="房地产抵押价值",H107,H109)</f>
        <v>650</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34</v>
      </c>
      <c r="E52" s="2508" t="s">
        <v>1799</v>
      </c>
      <c r="F52" s="2730">
        <f>'数据-取费表'!B41</f>
        <v>5.5000000000000007E-2</v>
      </c>
      <c r="G52" s="2731"/>
      <c r="H52" s="2720"/>
      <c r="I52" s="1944"/>
      <c r="J52" s="2699">
        <v>1</v>
      </c>
      <c r="K52" s="3391" t="s">
        <v>1800</v>
      </c>
      <c r="L52" s="3391"/>
      <c r="M52" s="2701" t="b">
        <f>D48</f>
        <v>0</v>
      </c>
      <c r="N52" s="2699" t="str">
        <f>E48</f>
        <v>销售额×税（费）率</v>
      </c>
      <c r="O52" s="2702">
        <f>F48</f>
        <v>5.5000000000000007E-2</v>
      </c>
    </row>
    <row r="53" spans="1:35" ht="12" customHeight="1">
      <c r="A53" s="2509" t="s">
        <v>1801</v>
      </c>
      <c r="B53" s="3349" t="s">
        <v>2792</v>
      </c>
      <c r="C53" s="3350"/>
      <c r="D53" s="1200">
        <f ca="1">ROUND(D45*'数据-取费表'!B41/(1+'数据-取费表'!C42),0)</f>
        <v>34</v>
      </c>
      <c r="E53" s="2508" t="s">
        <v>1799</v>
      </c>
      <c r="F53" s="2730">
        <f>'数据-取费表'!B41</f>
        <v>5.5000000000000007E-2</v>
      </c>
      <c r="G53" s="2731"/>
      <c r="H53" s="2720"/>
      <c r="I53" s="1944"/>
      <c r="J53" s="2699">
        <v>2</v>
      </c>
      <c r="K53" s="3391" t="s">
        <v>1802</v>
      </c>
      <c r="L53" s="3391"/>
      <c r="M53" s="2701">
        <f t="shared" ref="M53:O54" ca="1" si="0">D55</f>
        <v>0</v>
      </c>
      <c r="N53" s="2699" t="str">
        <f t="shared" si="0"/>
        <v>销售额×税（费）率</v>
      </c>
      <c r="O53" s="2702" t="str">
        <f t="shared" si="0"/>
        <v>免征</v>
      </c>
    </row>
    <row r="54" spans="1:35" ht="12" customHeight="1">
      <c r="A54" s="2509" t="s">
        <v>1803</v>
      </c>
      <c r="B54" s="3349" t="s">
        <v>2793</v>
      </c>
      <c r="C54" s="3350"/>
      <c r="D54" s="1200">
        <f ca="1">C68</f>
        <v>34</v>
      </c>
      <c r="E54" s="333" t="s">
        <v>1804</v>
      </c>
      <c r="F54" s="2730">
        <f>'数据-取费表'!B41</f>
        <v>5.5000000000000007E-2</v>
      </c>
      <c r="G54" s="2731"/>
      <c r="H54" s="2732"/>
      <c r="I54" s="1944"/>
      <c r="J54" s="2699">
        <v>3</v>
      </c>
      <c r="K54" s="3391" t="s">
        <v>1805</v>
      </c>
      <c r="L54" s="3391"/>
      <c r="M54" s="2701">
        <f t="shared" ca="1" si="0"/>
        <v>369</v>
      </c>
      <c r="N54" s="2699" t="str">
        <f t="shared" si="0"/>
        <v>增值额×税（费）率</v>
      </c>
      <c r="O54" s="2703" t="str">
        <f t="shared" si="0"/>
        <v>免征</v>
      </c>
    </row>
    <row r="55" spans="1:35" ht="24" customHeight="1">
      <c r="A55" s="3338" t="s">
        <v>1806</v>
      </c>
      <c r="B55" s="3339"/>
      <c r="C55" s="3339"/>
      <c r="D55" s="2498">
        <f ca="1">IF(H55="个人住宅",0,ROUND(D45*I55,0))</f>
        <v>0</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6</v>
      </c>
      <c r="N55" s="2179" t="str">
        <f>E59</f>
        <v>差额计税</v>
      </c>
      <c r="O55" s="2705">
        <f>F59</f>
        <v>0.01</v>
      </c>
    </row>
    <row r="56" spans="1:35" ht="24.75">
      <c r="A56" s="3338" t="s">
        <v>1808</v>
      </c>
      <c r="B56" s="3339"/>
      <c r="C56" s="3339"/>
      <c r="D56" s="2498">
        <f ca="1">IF(H56="个人住宅",D57,D58)</f>
        <v>369</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375</v>
      </c>
      <c r="O57" s="2709"/>
      <c r="P57" s="2869">
        <f ca="1">N57/M49</f>
        <v>0.57692307692307687</v>
      </c>
    </row>
    <row r="58" spans="1:35" ht="24.75">
      <c r="A58" s="2509" t="s">
        <v>1797</v>
      </c>
      <c r="B58" s="3349" t="s">
        <v>1814</v>
      </c>
      <c r="C58" s="3323"/>
      <c r="D58" s="2498">
        <f ca="1">IF(H58="转让取得",C81,C97)</f>
        <v>369</v>
      </c>
      <c r="E58" s="2508" t="s">
        <v>1809</v>
      </c>
      <c r="F58" s="308" t="s">
        <v>34</v>
      </c>
      <c r="G58" s="2731"/>
      <c r="H58" s="2734"/>
      <c r="I58" s="1945"/>
      <c r="J58" s="3391"/>
      <c r="K58" s="3391"/>
      <c r="L58" s="2706" t="s">
        <v>1815</v>
      </c>
      <c r="M58" s="2710"/>
      <c r="N58" s="2711" t="str">
        <f ca="1">NUMBERSTRING(INT(N57*10000),2)&amp;"元整"</f>
        <v>叁佰柒拾伍万元整</v>
      </c>
      <c r="O58" s="2712"/>
    </row>
    <row r="59" spans="1:35" ht="24.75" thickBot="1">
      <c r="A59" s="3394" t="s">
        <v>1816</v>
      </c>
      <c r="B59" s="3395"/>
      <c r="C59" s="3395"/>
      <c r="D59" s="2736">
        <f ca="1">IF(H59="非个人房产","——",IF(H59="个人住宅（满五唯一有凭证）",0,IF(H59="个人其他（无凭证）",ROUND(D45*F59,0),ROUND(C67*F59,0))))</f>
        <v>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f ca="1">M49-N57</f>
        <v>275</v>
      </c>
      <c r="O59" s="2715"/>
    </row>
    <row r="60" spans="1:35" ht="12" customHeight="1">
      <c r="A60" s="1946"/>
      <c r="B60" s="1884"/>
      <c r="C60" s="1884"/>
      <c r="D60" s="1884"/>
      <c r="E60" s="1714"/>
      <c r="F60" s="1945"/>
      <c r="G60" s="1945"/>
      <c r="H60" s="1947"/>
      <c r="I60" s="134"/>
      <c r="J60" s="3393"/>
      <c r="K60" s="3391"/>
      <c r="L60" s="2706" t="s">
        <v>1815</v>
      </c>
      <c r="M60" s="2710"/>
      <c r="N60" s="2711" t="str">
        <f ca="1">NUMBERSTRING(INT(N59*10000),2)&amp;"元整"</f>
        <v>贰佰柒拾伍万元整</v>
      </c>
      <c r="O60" s="2712"/>
    </row>
    <row r="61" spans="1:35" ht="13.5" thickBot="1">
      <c r="A61" s="3336" t="s">
        <v>1818</v>
      </c>
      <c r="B61" s="3336"/>
      <c r="C61" s="3336"/>
      <c r="D61" s="3336"/>
      <c r="E61" s="3336"/>
      <c r="F61" s="1945"/>
      <c r="G61" s="1945"/>
      <c r="H61" s="1947"/>
      <c r="I61" s="134"/>
      <c r="J61" s="2699">
        <f>J59+1</f>
        <v>7</v>
      </c>
      <c r="K61" s="3391" t="s">
        <v>1819</v>
      </c>
      <c r="L61" s="3391"/>
      <c r="M61" s="2716"/>
      <c r="N61" s="2717">
        <f ca="1">ROUND(N59*10000/'数据-汇总表'!E3,0)</f>
        <v>1947</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619</v>
      </c>
      <c r="D63" s="172"/>
      <c r="E63" s="173"/>
      <c r="F63" s="1945"/>
      <c r="G63" s="1945"/>
      <c r="H63" s="1947"/>
      <c r="I63" s="134"/>
      <c r="J63" s="3416" t="s">
        <v>1824</v>
      </c>
      <c r="K63" s="1453" t="s">
        <v>1825</v>
      </c>
      <c r="L63" s="1453">
        <f ca="1">IF(M49&gt;10000,M49*0.5%,IF(AND(M49&gt;1000,M49&lt;=10000),M49*1%,IF(AND(M49&gt;100,M49&lt;=1000),M49*3%,IF(AND(M49&gt;10,M49&lt;=100),M49*5%,M49*8%))))</f>
        <v>19.5</v>
      </c>
      <c r="M63" s="308">
        <f ca="1">ROUND(L63,1)</f>
        <v>19.5</v>
      </c>
      <c r="N63" s="2719"/>
      <c r="Z63" s="1889"/>
      <c r="AI63" s="1890"/>
    </row>
    <row r="64" spans="1:35" ht="14.25" customHeight="1">
      <c r="A64" s="174" t="s">
        <v>589</v>
      </c>
      <c r="B64" s="175" t="s">
        <v>1826</v>
      </c>
      <c r="C64" s="2741">
        <f ca="1">D45</f>
        <v>650</v>
      </c>
      <c r="D64" s="175" t="s">
        <v>32</v>
      </c>
      <c r="E64" s="177"/>
      <c r="F64" s="1945"/>
      <c r="G64" s="1945"/>
      <c r="H64" s="1947"/>
      <c r="I64" s="134"/>
      <c r="J64" s="3416"/>
      <c r="K64" s="1453" t="s">
        <v>1827</v>
      </c>
      <c r="L64" s="1453">
        <f ca="1">IF(M49&gt;2000,M49*0.5%,IF(AND(M49&gt;1000,M49&lt;=2000),M49*0.6%,IF(AND(M49&gt;500,M49&lt;=1000),M49*0.7%,IF(AND(M49&gt;200,M49&lt;=500),M49*0.8%,IF(AND(M49&gt;100,M49&lt;=200),M49*0.9%,IF(AND(M49&gt;50,M49&lt;=100),M49*1%,IF(AND(M49&gt;20,M49&lt;=50),M49*1.5%,IF(AND(M49&gt;10,M49&lt;=20),M49*2%,IF(AND(M49&gt;1,M49&lt;=10),M49*2.5%)))))))))</f>
        <v>4.55</v>
      </c>
      <c r="M64" s="308">
        <f t="shared" ref="M64:M65" ca="1" si="1">ROUND(L64,1)</f>
        <v>4.5999999999999996</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f ca="1">IF(M49&gt;1000,M49*0.1%,IF(AND(M49&gt;500,M49&lt;=1000),M49*0.5%,IF(AND(M49&gt;50,M49&lt;=500),M49*1%,IF(AND(M49&gt;1,M49&lt;=50),M49*1.5%))))</f>
        <v>3.25</v>
      </c>
      <c r="M65" s="308">
        <f t="shared" ca="1" si="1"/>
        <v>3.3</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f ca="1">M49*0.5%</f>
        <v>3.25</v>
      </c>
      <c r="M66" s="308">
        <f ca="1">IF(L66&gt;0.5,0.5,ROUND(L66,0))</f>
        <v>0.5</v>
      </c>
      <c r="N66" s="2720" t="s">
        <v>1833</v>
      </c>
      <c r="Z66" s="1889"/>
      <c r="AI66" s="1890"/>
    </row>
    <row r="67" spans="1:35" ht="14.25" customHeight="1">
      <c r="A67" s="178" t="s">
        <v>592</v>
      </c>
      <c r="B67" s="179" t="s">
        <v>1834</v>
      </c>
      <c r="C67" s="2744">
        <f ca="1">C63-C66</f>
        <v>619</v>
      </c>
      <c r="D67" s="175" t="s">
        <v>32</v>
      </c>
      <c r="E67" s="177"/>
      <c r="F67" s="1945"/>
      <c r="G67" s="1945"/>
      <c r="H67" s="1947"/>
      <c r="I67" s="134"/>
      <c r="J67" s="3416"/>
      <c r="K67" s="1453" t="s">
        <v>1835</v>
      </c>
      <c r="L67" s="1453">
        <f ca="1">IF(M49&gt;=10000,(8.25+(M49-10000)*0.01%),IF(AND(M49&gt;=8000,M49&lt;10000),(7.85+(M49-8000)*0.02%),IF(AND(M49&gt;=5000,M49&lt;8000),(6.65+(M49-5000)*0.04%),IF(AND(M49&gt;=2000,M49&lt;5000),(4.25+(PM49-2000)*0.08%),IF(AND(M49&gt;=1000,M49&lt;2000),(2.75+(M49-1000)*0.15%),IF(AND(M49&gt;=100,M49&lt;1000),(0.5+(M49-100)*0.25%),IF(AND(M49&gt;0,M49&lt;100),M49*0.5%)))))))</f>
        <v>1.875</v>
      </c>
      <c r="M67" s="308">
        <f ca="1">ROUND(L67*0.9,1)</f>
        <v>1.7</v>
      </c>
      <c r="N67" s="2719"/>
      <c r="Z67" s="1889"/>
      <c r="AI67" s="1890"/>
    </row>
    <row r="68" spans="1:35" ht="14.25" customHeight="1" thickBot="1">
      <c r="A68" s="181" t="s">
        <v>593</v>
      </c>
      <c r="B68" s="182" t="s">
        <v>1836</v>
      </c>
      <c r="C68" s="2745">
        <f ca="1">IF(C67&lt;=0,0,ROUND(C67*D68,0))</f>
        <v>34</v>
      </c>
      <c r="D68" s="2746">
        <f>'数据-取费表'!B41</f>
        <v>5.5000000000000007E-2</v>
      </c>
      <c r="E68" s="184"/>
      <c r="F68" s="1945"/>
      <c r="G68" s="1945"/>
      <c r="H68" s="1947"/>
      <c r="I68" s="134"/>
      <c r="J68" s="3416"/>
      <c r="K68" s="1453" t="s">
        <v>1837</v>
      </c>
      <c r="L68" s="1453">
        <f ca="1">IF(M49&gt;10000,M49*0.5%,IF(AND(M49&gt;5000,M49&lt;=10000),M49*1%,IF(AND(M49&gt;1000,M49&lt;=5000),M49*2%,IF(AND(M49&gt;200,M49&lt;=1000),M49*3%,M49*5%))))</f>
        <v>19.5</v>
      </c>
      <c r="M68" s="308">
        <f ca="1">ROUND(L68,1)</f>
        <v>19.5</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f ca="1">ROUND(SUM(M63:M68),0)</f>
        <v>49</v>
      </c>
      <c r="N69" s="2721">
        <f ca="1">M69/M49</f>
        <v>7.5384615384615383E-2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619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v>
      </c>
      <c r="D78" s="2753">
        <f>'数据-取费表'!B43</f>
        <v>5.000000000000001E-3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616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205.33333333333334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369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619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v>
      </c>
      <c r="D93" s="2753">
        <f>'数据-取费表'!B43</f>
        <v>5.000000000000001E-3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616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205.33333333333334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369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f ca="1">H118</f>
        <v>650</v>
      </c>
      <c r="I101" s="134"/>
    </row>
    <row r="102" spans="1:35" ht="18.75" customHeight="1">
      <c r="A102" s="3369" t="s">
        <v>1878</v>
      </c>
      <c r="B102" s="2760" t="s">
        <v>1877</v>
      </c>
      <c r="C102" s="2761">
        <f ca="1">C19</f>
        <v>542</v>
      </c>
      <c r="D102" s="2762">
        <f ca="1">D19</f>
        <v>722</v>
      </c>
      <c r="E102" s="3413"/>
      <c r="F102" s="3367"/>
      <c r="G102" s="1964" t="s">
        <v>1879</v>
      </c>
      <c r="H102" s="2731">
        <f ca="1">I118</f>
        <v>4603</v>
      </c>
      <c r="I102" s="134"/>
    </row>
    <row r="103" spans="1:35" ht="42.75" customHeight="1">
      <c r="A103" s="3369"/>
      <c r="B103" s="2760" t="s">
        <v>1879</v>
      </c>
      <c r="C103" s="2763">
        <f ca="1">C20</f>
        <v>3838</v>
      </c>
      <c r="D103" s="2764">
        <f ca="1">D20</f>
        <v>5113</v>
      </c>
      <c r="E103" s="3407" t="s">
        <v>1880</v>
      </c>
      <c r="F103" s="3408"/>
      <c r="G103" s="1965" t="s">
        <v>1881</v>
      </c>
      <c r="H103" s="2771">
        <f>IF(D36="正常操作",H104+H105+H106,H105+H106)</f>
        <v>0</v>
      </c>
      <c r="I103" s="134"/>
    </row>
    <row r="104" spans="1:35" ht="18.75" customHeight="1">
      <c r="A104" s="3369" t="s">
        <v>1882</v>
      </c>
      <c r="B104" s="2765" t="s">
        <v>1877</v>
      </c>
      <c r="C104" s="2766">
        <f ca="1">H118</f>
        <v>650</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4603</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650</v>
      </c>
      <c r="I107" s="134"/>
    </row>
    <row r="108" spans="1:35" ht="18.75" customHeight="1">
      <c r="A108" s="134"/>
      <c r="B108" s="134"/>
      <c r="C108" s="134"/>
      <c r="D108" s="134"/>
      <c r="E108" s="3366"/>
      <c r="F108" s="3367"/>
      <c r="G108" s="1964" t="s">
        <v>1879</v>
      </c>
      <c r="H108" s="2731">
        <f ca="1">ROUND(H107*10000/'数据-汇总表'!E3,0)</f>
        <v>4603</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1412.17</v>
      </c>
      <c r="C118" s="2503">
        <f>M19</f>
        <v>0</v>
      </c>
      <c r="D118" s="2503">
        <f ca="1">ROUND(IF(D32="总价",C34,E118*B118/10000),0)</f>
        <v>164</v>
      </c>
      <c r="E118" s="2503">
        <f ca="1">ROUND(IF(C33="自定义",IF(D32="楼面单价",C34,D118*10000/B118),I118-G118),0)</f>
        <v>1161</v>
      </c>
      <c r="F118" s="2503">
        <f ca="1">ROUND(IF(D32="总价",C35,G118*B118/10000),0)</f>
        <v>486</v>
      </c>
      <c r="G118" s="2503">
        <f ca="1">ROUND(IF(D32="楼面单价",C35,F118*10000/B118),0)</f>
        <v>3442</v>
      </c>
      <c r="H118" s="2503">
        <f ca="1">ROUND(IF(D32="总价",C32,I118*B118/10000),0)</f>
        <v>650</v>
      </c>
      <c r="I118" s="2503">
        <f ca="1">ROUND(IF(D32="楼面单价",C32,H118*10000/B118),0)</f>
        <v>4603</v>
      </c>
    </row>
    <row r="119" spans="1:27" ht="18.75" customHeight="1">
      <c r="A119" s="3337" t="s">
        <v>1897</v>
      </c>
      <c r="B119" s="3337"/>
      <c r="C119" s="3337"/>
      <c r="D119" s="3377" t="str">
        <f ca="1">NUMBERSTRING(INT(D118*10000),2)&amp;"元整"</f>
        <v>壹佰陆拾肆万元整</v>
      </c>
      <c r="E119" s="3379"/>
      <c r="F119" s="3377" t="str">
        <f ca="1">NUMBERSTRING(INT(F118*10000),2)&amp;"元整"</f>
        <v>肆佰捌拾陆万元整</v>
      </c>
      <c r="G119" s="3379"/>
      <c r="H119" s="3377" t="str">
        <f ca="1">NUMBERSTRING(INT(H118*10000),2)&amp;"元整"</f>
        <v>陆佰伍拾万元整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650</v>
      </c>
      <c r="E122" s="3405"/>
      <c r="F122" s="3405"/>
      <c r="G122" s="3405"/>
      <c r="H122" s="3405"/>
      <c r="I122" s="3406"/>
      <c r="AA122" s="734"/>
    </row>
    <row r="123" spans="1:27" ht="18.75" customHeight="1">
      <c r="A123" s="3337" t="s">
        <v>1897</v>
      </c>
      <c r="B123" s="3337"/>
      <c r="C123" s="3337"/>
      <c r="D123" s="3377" t="str">
        <f ca="1">NUMBERSTRING(INT(D122*10000),2)&amp;"元整"</f>
        <v>陆佰伍拾万元整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8" sqref="D6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542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3838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114</v>
      </c>
      <c r="D5" s="217" t="s">
        <v>1914</v>
      </c>
      <c r="E5" s="218" t="s">
        <v>1915</v>
      </c>
      <c r="F5" s="218" t="s">
        <v>1916</v>
      </c>
      <c r="G5" s="219"/>
    </row>
    <row r="6" spans="1:9" s="220" customFormat="1" ht="13.5" customHeight="1">
      <c r="A6" s="867" t="s">
        <v>1917</v>
      </c>
      <c r="B6" s="221" t="s">
        <v>1918</v>
      </c>
      <c r="C6" s="222">
        <f>[2]基准地价修正!$E$33</f>
        <v>90</v>
      </c>
      <c r="D6" s="223"/>
      <c r="E6" s="224"/>
      <c r="F6" s="224"/>
      <c r="G6" s="225"/>
    </row>
    <row r="7" spans="1:9" s="220" customFormat="1" ht="13.5" customHeight="1">
      <c r="A7" s="867" t="s">
        <v>1919</v>
      </c>
      <c r="B7" s="221" t="s">
        <v>1920</v>
      </c>
      <c r="C7" s="226">
        <f>ROUND(C6*F7,0)</f>
        <v>3</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3192</v>
      </c>
      <c r="H9" s="1252"/>
      <c r="I9" s="1995" t="s">
        <v>1924</v>
      </c>
    </row>
    <row r="10" spans="1:9" s="220" customFormat="1" ht="13.5" customHeight="1">
      <c r="A10" s="868" t="s">
        <v>620</v>
      </c>
      <c r="B10" s="230" t="s">
        <v>1925</v>
      </c>
      <c r="C10" s="231">
        <f ca="1">ROUND(D10*E10/10000,0)</f>
        <v>21</v>
      </c>
      <c r="D10" s="935">
        <f ca="1">IF(B1="",'数据-汇总表'!E6,IF(INDIRECT("'数据-取费表'!c"&amp;$G$1)="住宅",INDIRECT("'数据-取费表'!s"&amp;$G$1),INDIRECT("'数据-取费表'!k"&amp;$G$1)+INDIRECT("'数据-取费表'!s"&amp;$G$1)))</f>
        <v>1412.17</v>
      </c>
      <c r="E10" s="231">
        <f>'数据-取费表'!B28</f>
        <v>150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1412.17</v>
      </c>
      <c r="E19" s="217">
        <f>'数据-取费表'!B31</f>
        <v>200</v>
      </c>
      <c r="F19" s="237"/>
      <c r="G19" s="1993" t="s">
        <v>3193</v>
      </c>
    </row>
    <row r="20" spans="1:7" s="220" customFormat="1" ht="13.5" customHeight="1">
      <c r="A20" s="261" t="s">
        <v>1938</v>
      </c>
      <c r="B20" s="216" t="s">
        <v>1939</v>
      </c>
      <c r="C20" s="238">
        <f ca="1">ROUND((C5+C19)*F20,0)</f>
        <v>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6</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6</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137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404</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353</v>
      </c>
      <c r="D34" s="223"/>
      <c r="E34" s="226"/>
      <c r="F34" s="263">
        <f ca="1">IF('数据-取费表'!B24=0,1,IF(B1="",'数据-取费表'!N16,INDIRECT("'数据-取费表'!n"&amp;$G$1)))</f>
        <v>1</v>
      </c>
      <c r="G34" s="225" t="s">
        <v>1971</v>
      </c>
    </row>
    <row r="35" spans="1:7" ht="13.5" customHeight="1">
      <c r="A35" s="869" t="s">
        <v>615</v>
      </c>
      <c r="B35" s="221" t="s">
        <v>1972</v>
      </c>
      <c r="C35" s="226">
        <f ca="1">ROUND(C34*F35,0)</f>
        <v>18</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28</v>
      </c>
      <c r="D37" s="223">
        <f ca="1">D19</f>
        <v>1412.17</v>
      </c>
      <c r="E37" s="255">
        <f>'数据-取费表'!B35</f>
        <v>200</v>
      </c>
      <c r="F37" s="265"/>
      <c r="G37" s="267" t="s">
        <v>1977</v>
      </c>
    </row>
    <row r="38" spans="1:7" ht="13.5" customHeight="1">
      <c r="A38" s="869" t="s">
        <v>618</v>
      </c>
      <c r="B38" s="221" t="s">
        <v>1978</v>
      </c>
      <c r="C38" s="226">
        <f ca="1">ROUND(C34*F38,0)</f>
        <v>5</v>
      </c>
      <c r="D38" s="226"/>
      <c r="E38" s="226"/>
      <c r="F38" s="265">
        <f>'数据-取费表'!B36</f>
        <v>1.4999999999999999E-2</v>
      </c>
      <c r="G38" s="225" t="s">
        <v>1973</v>
      </c>
    </row>
    <row r="39" spans="1:7" s="220" customFormat="1" ht="13.5" customHeight="1">
      <c r="A39" s="261" t="s">
        <v>1979</v>
      </c>
      <c r="B39" s="216" t="s">
        <v>1980</v>
      </c>
      <c r="C39" s="238">
        <f ca="1">ROUND(C33*F20,0)</f>
        <v>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8</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8</v>
      </c>
      <c r="D42" s="244"/>
      <c r="E42" s="244"/>
      <c r="F42" s="245"/>
      <c r="G42" s="3420" t="s">
        <v>1989</v>
      </c>
    </row>
    <row r="43" spans="1:7" ht="13.5" customHeight="1">
      <c r="A43" s="869" t="s">
        <v>611</v>
      </c>
      <c r="B43" s="221" t="s">
        <v>1990</v>
      </c>
      <c r="C43" s="244">
        <f ca="1">ROUND(IF('数据-取费表'!B22&lt;=1,C39*F22*'数据-取费表'!B21/2,C39*(POWER((1+F22),'数据-取费表'!B21/2)-1)),0)</f>
        <v>0</v>
      </c>
      <c r="D43" s="244"/>
      <c r="E43" s="244"/>
      <c r="F43" s="245"/>
      <c r="G43" s="3421"/>
    </row>
    <row r="44" spans="1:7" ht="13.5" customHeight="1">
      <c r="A44" s="869" t="s">
        <v>612</v>
      </c>
      <c r="B44" s="221" t="s">
        <v>1991</v>
      </c>
      <c r="C44" s="244">
        <f ca="1">ROUND(IF('数据-取费表'!B22&lt;=1,C40*F22*'数据-取费表'!B21/2,C40*(POWER((1+F22),'数据-取费表'!B21/2)-1)),4)</f>
        <v>4.0000000000000002E-4</v>
      </c>
      <c r="D44" s="244"/>
      <c r="E44" s="244"/>
      <c r="F44" s="245"/>
      <c r="G44" s="3422"/>
    </row>
    <row r="45" spans="1:7" s="220" customFormat="1" ht="13.5" customHeight="1">
      <c r="A45" s="261" t="s">
        <v>1992</v>
      </c>
      <c r="B45" s="250" t="s">
        <v>1958</v>
      </c>
      <c r="C45" s="251">
        <f ca="1">C46</f>
        <v>21</v>
      </c>
      <c r="D45" s="241">
        <f ca="1">C47</f>
        <v>1E-3</v>
      </c>
      <c r="E45" s="242" t="s">
        <v>1984</v>
      </c>
      <c r="F45" s="2488">
        <f ca="1">F27</f>
        <v>0.05</v>
      </c>
      <c r="G45" s="253" t="s">
        <v>1993</v>
      </c>
    </row>
    <row r="46" spans="1:7" s="220" customFormat="1" ht="13.5" customHeight="1">
      <c r="A46" s="869" t="s">
        <v>610</v>
      </c>
      <c r="B46" s="254" t="s">
        <v>1994</v>
      </c>
      <c r="C46" s="255">
        <f ca="1">ROUND((C33+C39)*F27,0)</f>
        <v>21</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476</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405</v>
      </c>
      <c r="D51" s="238"/>
      <c r="E51" s="238"/>
      <c r="F51" s="270"/>
      <c r="G51" s="240" t="s">
        <v>2005</v>
      </c>
    </row>
    <row r="52" spans="1:7" s="214" customFormat="1" ht="16.5" thickBot="1">
      <c r="A52" s="271" t="s">
        <v>2006</v>
      </c>
      <c r="B52" s="272"/>
      <c r="C52" s="273">
        <f ca="1">C31+C51</f>
        <v>542</v>
      </c>
      <c r="D52" s="272"/>
      <c r="E52" s="272"/>
      <c r="F52" s="272"/>
      <c r="G52" s="274"/>
    </row>
    <row r="55" spans="1:7" ht="15">
      <c r="B55" s="276" t="s">
        <v>2007</v>
      </c>
      <c r="C55" s="277"/>
    </row>
    <row r="56" spans="1:7">
      <c r="B56" s="279" t="s">
        <v>1237</v>
      </c>
      <c r="C56" s="281">
        <f ca="1">1-C57</f>
        <v>0.253</v>
      </c>
    </row>
    <row r="57" spans="1:7">
      <c r="B57" s="279" t="s">
        <v>1238</v>
      </c>
      <c r="C57" s="280">
        <f ca="1">ROUND(C51/C52,3)</f>
        <v>0.747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465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3293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211826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211826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211826</v>
      </c>
      <c r="D10" s="935">
        <f ca="1">IF(B1="",'数据-汇总表'!E6,IF(INDIRECT("'数据-取费表'!c"&amp;$G$1)="住宅",INDIRECT("'数据-取费表'!s"&amp;$G$1),INDIRECT("'数据-取费表'!k"&amp;$G$1)+INDIRECT("'数据-取费表'!s"&amp;$G$1)))</f>
        <v>1412.17</v>
      </c>
      <c r="E10" s="231">
        <f>'数据-取费表'!B28</f>
        <v>150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282434</v>
      </c>
      <c r="D19" s="939">
        <f ca="1">D9+D10</f>
        <v>1412.17</v>
      </c>
      <c r="E19" s="217">
        <f>'数据-取费表'!B31</f>
        <v>200</v>
      </c>
      <c r="F19" s="237"/>
      <c r="G19" s="1993"/>
    </row>
    <row r="20" spans="1:7" s="220" customFormat="1" ht="13.5" customHeight="1">
      <c r="A20" s="261" t="s">
        <v>2019</v>
      </c>
      <c r="B20" s="216" t="s">
        <v>2020</v>
      </c>
      <c r="C20" s="238">
        <f ca="1">ROUND((C5+C19)*F20,0)</f>
        <v>9885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20717</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8791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11721</v>
      </c>
      <c r="D24" s="244"/>
      <c r="E24" s="244"/>
      <c r="F24" s="245"/>
      <c r="G24" s="246" t="s">
        <v>2031</v>
      </c>
    </row>
    <row r="25" spans="1:7" s="220" customFormat="1" ht="24">
      <c r="A25" s="869" t="s">
        <v>1921</v>
      </c>
      <c r="B25" s="221" t="s">
        <v>2032</v>
      </c>
      <c r="C25" s="1243">
        <f ca="1">ROUND(IF('数据-取费表'!B22&lt;=1,C20*F22*'数据-取费表'!B22/2,C20*(POWER((1+F22),'数据-取费表'!B22/2)-1)),0)</f>
        <v>205</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25207</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25207</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593899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4042336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3530425</v>
      </c>
      <c r="D34" s="223"/>
      <c r="E34" s="226"/>
      <c r="F34" s="263"/>
      <c r="G34" s="225"/>
    </row>
    <row r="35" spans="1:7" ht="13.5" customHeight="1">
      <c r="A35" s="869" t="s">
        <v>615</v>
      </c>
      <c r="B35" s="221" t="s">
        <v>1972</v>
      </c>
      <c r="C35" s="226">
        <f ca="1">ROUND(C34*F35,0)</f>
        <v>176521</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282434</v>
      </c>
      <c r="D37" s="223">
        <f ca="1">D19</f>
        <v>1412.17</v>
      </c>
      <c r="E37" s="255">
        <f>'数据-取费表'!B35</f>
        <v>200</v>
      </c>
      <c r="F37" s="265"/>
      <c r="G37" s="267"/>
    </row>
    <row r="38" spans="1:7" ht="13.5" customHeight="1">
      <c r="A38" s="869" t="s">
        <v>618</v>
      </c>
      <c r="B38" s="221" t="s">
        <v>1978</v>
      </c>
      <c r="C38" s="226">
        <f ca="1">ROUND(C34*F38,0)</f>
        <v>52956</v>
      </c>
      <c r="D38" s="226"/>
      <c r="E38" s="226"/>
      <c r="F38" s="265">
        <f>'数据-取费表'!B36</f>
        <v>1.4999999999999999E-2</v>
      </c>
      <c r="G38" s="225" t="s">
        <v>1973</v>
      </c>
    </row>
    <row r="39" spans="1:7" s="220" customFormat="1" ht="13.5" customHeight="1">
      <c r="A39" s="261" t="s">
        <v>1979</v>
      </c>
      <c r="B39" s="216" t="s">
        <v>1980</v>
      </c>
      <c r="C39" s="238">
        <f ca="1">ROUND(C33*F20,0)</f>
        <v>80847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85556</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83878</v>
      </c>
      <c r="D42" s="244"/>
      <c r="E42" s="244"/>
      <c r="F42" s="245"/>
      <c r="G42" s="3420" t="s">
        <v>2036</v>
      </c>
    </row>
    <row r="43" spans="1:7" ht="13.5" customHeight="1">
      <c r="A43" s="869" t="s">
        <v>611</v>
      </c>
      <c r="B43" s="221" t="s">
        <v>1990</v>
      </c>
      <c r="C43" s="244">
        <f ca="1">ROUND(IF('数据-取费表'!B22&lt;=1,C39*F22*'数据-取费表'!B20/2,C39*(POWER((1+F22),'数据-取费表'!B20/2)-1)),0)</f>
        <v>1678</v>
      </c>
      <c r="D43" s="244"/>
      <c r="E43" s="244"/>
      <c r="F43" s="245"/>
      <c r="G43" s="3421"/>
    </row>
    <row r="44" spans="1:7" ht="13.5" customHeight="1">
      <c r="A44" s="869" t="s">
        <v>612</v>
      </c>
      <c r="B44" s="221" t="s">
        <v>1991</v>
      </c>
      <c r="C44" s="244">
        <f ca="1">ROUND(IF('数据-取费表'!B22&lt;=1,C40*F22*'数据-取费表'!B20/2,C40*(POWER((1+F22),'数据-取费表'!B20/2)-1)),4)</f>
        <v>4.0000000000000002E-4</v>
      </c>
      <c r="D44" s="244"/>
      <c r="E44" s="244"/>
      <c r="F44" s="245"/>
      <c r="G44" s="3422"/>
    </row>
    <row r="45" spans="1:7" s="220" customFormat="1" ht="13.5" customHeight="1">
      <c r="A45" s="261" t="s">
        <v>1992</v>
      </c>
      <c r="B45" s="250" t="s">
        <v>1958</v>
      </c>
      <c r="C45" s="251">
        <f ca="1">C46</f>
        <v>206159</v>
      </c>
      <c r="D45" s="241">
        <f ca="1">C47</f>
        <v>1E-3</v>
      </c>
      <c r="E45" s="242" t="s">
        <v>1984</v>
      </c>
      <c r="F45" s="2488">
        <f ca="1">F27</f>
        <v>0.05</v>
      </c>
      <c r="G45" s="253" t="s">
        <v>1993</v>
      </c>
    </row>
    <row r="46" spans="1:7" s="220" customFormat="1" ht="13.5" customHeight="1">
      <c r="A46" s="869" t="s">
        <v>610</v>
      </c>
      <c r="B46" s="254" t="s">
        <v>1994</v>
      </c>
      <c r="C46" s="255">
        <f ca="1">ROUND((C33+C39)*F27,0)</f>
        <v>206159</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4766679</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4051677</v>
      </c>
      <c r="D51" s="238"/>
      <c r="E51" s="238"/>
      <c r="F51" s="270"/>
      <c r="G51" s="240" t="s">
        <v>2005</v>
      </c>
    </row>
    <row r="52" spans="1:7" s="214" customFormat="1" ht="16.5" thickBot="1">
      <c r="A52" s="271" t="s">
        <v>2006</v>
      </c>
      <c r="B52" s="272"/>
      <c r="C52" s="273">
        <f ca="1">C31+C51</f>
        <v>4645576</v>
      </c>
      <c r="D52" s="272"/>
      <c r="E52" s="272"/>
      <c r="F52" s="272"/>
      <c r="G52" s="274"/>
    </row>
    <row r="55" spans="1:7" ht="15">
      <c r="B55" s="276" t="s">
        <v>2007</v>
      </c>
      <c r="C55" s="277"/>
    </row>
    <row r="56" spans="1:7">
      <c r="B56" s="279" t="s">
        <v>1237</v>
      </c>
      <c r="C56" s="281">
        <f ca="1">1-C57</f>
        <v>0.128</v>
      </c>
    </row>
    <row r="57" spans="1:7">
      <c r="B57" s="279" t="s">
        <v>1238</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1412.17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1412.17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21</v>
      </c>
      <c r="D20" s="936">
        <f ca="1">IF(C1="",'数据-汇总表'!E6,IF(INDIRECT("'数据-取费表'!c"&amp;$K$1)="住宅",INDIRECT("'数据-取费表'!s"&amp;$K$1),INDIRECT("'数据-取费表'!k"&amp;$K$1)+INDIRECT("'数据-取费表'!s"&amp;$K$1)))</f>
        <v>1412.17</v>
      </c>
      <c r="E20" s="24">
        <f>'数据-取费表'!B28</f>
        <v>150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722</v>
      </c>
      <c r="C2" s="1522" t="s">
        <v>1240</v>
      </c>
      <c r="D2" s="1522"/>
      <c r="E2" s="1523"/>
      <c r="F2" s="1524"/>
      <c r="G2" s="2885"/>
      <c r="H2" s="2874"/>
      <c r="I2" s="2874"/>
      <c r="J2" s="2874"/>
      <c r="K2" s="2875"/>
      <c r="L2" s="2874"/>
      <c r="M2" s="2874"/>
    </row>
    <row r="3" spans="1:37" ht="18" customHeight="1" thickBot="1">
      <c r="A3" s="1525" t="s">
        <v>1241</v>
      </c>
      <c r="B3" s="1526">
        <f ca="1">IF(ISERROR(B2*10000/F43),0,ROUND(B2*10000/F43,0))</f>
        <v>5113</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46</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46</v>
      </c>
      <c r="D6" s="160" t="s">
        <v>2609</v>
      </c>
      <c r="E6" s="308" t="s">
        <v>1129</v>
      </c>
      <c r="F6" s="309">
        <f ca="1">INDIRECT("'数据-取费表'!u"&amp;$G$1)</f>
        <v>1</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1412.17</v>
      </c>
      <c r="G7" s="1519"/>
      <c r="H7" s="310"/>
      <c r="I7" s="3426"/>
      <c r="J7" s="312"/>
      <c r="K7" s="313"/>
      <c r="L7" s="308" t="s">
        <v>1130</v>
      </c>
      <c r="M7" s="309">
        <f ca="1">F7</f>
        <v>1412.17</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405</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353</v>
      </c>
      <c r="D14" s="1480" t="s">
        <v>1142</v>
      </c>
      <c r="E14" s="1477"/>
      <c r="F14" s="325"/>
      <c r="G14" s="1519"/>
      <c r="H14" s="1094" t="s">
        <v>822</v>
      </c>
      <c r="I14" s="308" t="s">
        <v>1143</v>
      </c>
      <c r="J14" s="24">
        <f ca="1">C29</f>
        <v>476</v>
      </c>
      <c r="K14" s="15"/>
      <c r="L14" s="897"/>
      <c r="M14" s="898"/>
    </row>
    <row r="15" spans="1:37" s="1532" customFormat="1" ht="18" customHeight="1" thickBot="1">
      <c r="A15" s="1094" t="s">
        <v>823</v>
      </c>
      <c r="B15" s="308" t="s">
        <v>1144</v>
      </c>
      <c r="C15" s="24">
        <f ca="1">ROUND(C14*F15,0)</f>
        <v>18</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v>
      </c>
      <c r="K16" s="1200" t="s">
        <v>1149</v>
      </c>
      <c r="L16" s="1201"/>
      <c r="M16" s="1185"/>
    </row>
    <row r="17" spans="1:37" s="1532" customFormat="1" ht="18" customHeight="1">
      <c r="A17" s="1094" t="s">
        <v>1114</v>
      </c>
      <c r="B17" s="308" t="s">
        <v>1150</v>
      </c>
      <c r="C17" s="24">
        <f ca="1">ROUND(F17*(F43+INDIRECT("'数据-取费表'!S"&amp;$G$1))/10000,0)</f>
        <v>28</v>
      </c>
      <c r="D17" s="308" t="s">
        <v>1151</v>
      </c>
      <c r="E17" s="308" t="s">
        <v>1152</v>
      </c>
      <c r="F17" s="26">
        <f>'数据-取费表'!B35</f>
        <v>200</v>
      </c>
      <c r="G17" s="1531"/>
      <c r="H17" s="1094" t="s">
        <v>822</v>
      </c>
      <c r="I17" s="308" t="s">
        <v>1153</v>
      </c>
      <c r="J17" s="2485">
        <f ca="1">ROUND(IF(AND(项目基本情况!B11="自然人",项目基本情况!B10="北京市"),J6*M17/(1+'数据-取费表'!C42),J18+J19+J20),0)</f>
        <v>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404</v>
      </c>
      <c r="D19" s="136" t="s">
        <v>1160</v>
      </c>
      <c r="E19" s="1495"/>
      <c r="F19" s="26"/>
      <c r="G19" s="1519"/>
      <c r="H19" s="1094" t="s">
        <v>823</v>
      </c>
      <c r="I19" s="308" t="s">
        <v>1161</v>
      </c>
      <c r="J19" s="24">
        <f ca="1">IF(K19="按租金收入计税",ROUND(J6*M19/(1+'数据-取费表'!C42),2),ROUND(C29*M19*0.7,2))</f>
        <v>4</v>
      </c>
      <c r="K19" s="1505" t="s">
        <v>1162</v>
      </c>
      <c r="L19" s="308" t="s">
        <v>1146</v>
      </c>
      <c r="M19" s="328">
        <f>IF(K19="按租金收入计税",'数据-取费表'!B51,'数据-取费表'!B50)</f>
        <v>1.2E-2</v>
      </c>
    </row>
    <row r="20" spans="1:37" s="1532" customFormat="1" ht="18" customHeight="1">
      <c r="A20" s="1094" t="s">
        <v>826</v>
      </c>
      <c r="B20" s="308" t="s">
        <v>1163</v>
      </c>
      <c r="C20" s="24">
        <f ca="1">ROUND(C19*F20,0)</f>
        <v>8</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4.8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8</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v>
      </c>
      <c r="K25" s="1208" t="s">
        <v>1188</v>
      </c>
      <c r="L25" s="1209"/>
      <c r="M25" s="1210"/>
    </row>
    <row r="26" spans="1:37">
      <c r="A26" s="1094" t="s">
        <v>821</v>
      </c>
      <c r="B26" s="308" t="s">
        <v>1189</v>
      </c>
      <c r="C26" s="24">
        <f ca="1">ROUND((C19+C20)*F26,0)</f>
        <v>21</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476</v>
      </c>
      <c r="D29" s="1205"/>
      <c r="E29" s="1203"/>
      <c r="F29" s="1206"/>
      <c r="G29" s="1531"/>
      <c r="H29" s="340" t="s">
        <v>820</v>
      </c>
      <c r="I29" s="341" t="s">
        <v>1203</v>
      </c>
      <c r="J29" s="342">
        <f ca="1">ROUND(J26/(1+F40)^F41,0)</f>
        <v>0</v>
      </c>
      <c r="K29" s="343" t="s">
        <v>1204</v>
      </c>
      <c r="L29" s="344"/>
      <c r="M29" s="345">
        <f ca="1">INDIRECT("'数据-取费表'!k"&amp;$G$1)</f>
        <v>1412.17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2.41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5.26</v>
      </c>
      <c r="D33" s="1505" t="s">
        <v>3188</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4.8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0.6</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0.5</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32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722</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39</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5113</v>
      </c>
      <c r="D43" s="343" t="s">
        <v>1212</v>
      </c>
      <c r="E43" s="344" t="s">
        <v>1213</v>
      </c>
      <c r="F43" s="345">
        <f ca="1">INDIRECT("'数据-取费表'!k"&amp;$G$1)</f>
        <v>1412.17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-1488</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722</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39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2013</v>
      </c>
      <c r="K49" s="1558" t="s">
        <v>1259</v>
      </c>
      <c r="L49" s="1562"/>
      <c r="O49" s="1563" t="s">
        <v>829</v>
      </c>
      <c r="P49" s="1554" t="s">
        <v>1260</v>
      </c>
      <c r="Q49" s="1555">
        <f ca="1">C29</f>
        <v>476</v>
      </c>
      <c r="R49" s="1555" t="s">
        <v>1253</v>
      </c>
    </row>
    <row r="50" spans="1:18" s="1519" customFormat="1" ht="13.5" thickBot="1">
      <c r="A50" s="1088"/>
      <c r="B50" s="1091"/>
      <c r="C50" s="1231"/>
      <c r="D50" s="1065"/>
      <c r="E50" s="1168" t="s">
        <v>1130</v>
      </c>
      <c r="F50" s="1169">
        <f ca="1">F7</f>
        <v>1412.17</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51</v>
      </c>
      <c r="K51" s="1569" t="s">
        <v>1265</v>
      </c>
      <c r="L51" s="1570">
        <f ca="1">ROUND(-PV(INDIRECT("'数据-取费表'!h"&amp;$G$1),J51,(C39-C13*C76),0),0)</f>
        <v>73</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39</v>
      </c>
      <c r="K53" s="3423" t="s">
        <v>1272</v>
      </c>
      <c r="L53" s="3424"/>
      <c r="O53" s="1553" t="s">
        <v>833</v>
      </c>
      <c r="P53" s="1554" t="s">
        <v>1273</v>
      </c>
      <c r="Q53" s="1555">
        <f ca="1">Q47+Q48</f>
        <v>722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405</v>
      </c>
      <c r="D56" s="1582"/>
      <c r="E56" s="1583"/>
      <c r="F56" s="1575"/>
      <c r="I56" s="1584" t="s">
        <v>1278</v>
      </c>
      <c r="J56" s="1585" t="s">
        <v>3183</v>
      </c>
      <c r="K56" s="1556" t="s">
        <v>1279</v>
      </c>
      <c r="L56" s="1559" t="str">
        <f ca="1">IF(L48&lt;J51,"——",L48-J53)</f>
        <v>——</v>
      </c>
      <c r="O56" s="1553" t="s">
        <v>827</v>
      </c>
      <c r="P56" s="1554" t="s">
        <v>1252</v>
      </c>
      <c r="Q56" s="1555">
        <f ca="1">C40+J29</f>
        <v>722</v>
      </c>
      <c r="R56" s="1555" t="s">
        <v>1253</v>
      </c>
    </row>
    <row r="57" spans="1:18" s="1519" customFormat="1" ht="24.75" thickBot="1">
      <c r="A57" s="1586"/>
      <c r="B57" s="1062" t="s">
        <v>1202</v>
      </c>
      <c r="C57" s="244">
        <f ca="1">C29</f>
        <v>476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45</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40</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39.979999999999997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722</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0.6</v>
      </c>
      <c r="D65" s="1076" t="s">
        <v>1178</v>
      </c>
      <c r="E65" s="1062" t="s">
        <v>1179</v>
      </c>
      <c r="F65" s="336">
        <f t="shared" ca="1" si="0"/>
        <v>1.5E-3</v>
      </c>
      <c r="I65" s="1597" t="s">
        <v>1303</v>
      </c>
      <c r="J65" s="1598">
        <v>40</v>
      </c>
      <c r="K65" s="1598">
        <v>30</v>
      </c>
      <c r="L65" s="1598">
        <v>50</v>
      </c>
      <c r="M65" s="1600">
        <v>0.02</v>
      </c>
      <c r="O65" s="1553" t="s">
        <v>827</v>
      </c>
      <c r="P65" s="1554" t="s">
        <v>1304</v>
      </c>
      <c r="Q65" s="1555">
        <f ca="1">C40+J29</f>
        <v>722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-45</v>
      </c>
      <c r="D67" s="1075" t="s">
        <v>1188</v>
      </c>
      <c r="E67" s="1080"/>
      <c r="F67" s="1081"/>
      <c r="O67" s="1563" t="s">
        <v>829</v>
      </c>
      <c r="P67" s="1554" t="s">
        <v>1286</v>
      </c>
      <c r="Q67" s="1601">
        <f ca="1">L51</f>
        <v>73</v>
      </c>
      <c r="R67" s="1555" t="s">
        <v>1306</v>
      </c>
    </row>
    <row r="68" spans="1:18" s="1519" customFormat="1" ht="16.5" thickBot="1">
      <c r="A68" s="1059" t="s">
        <v>819</v>
      </c>
      <c r="B68" s="1060" t="s">
        <v>1209</v>
      </c>
      <c r="C68" s="307">
        <f ca="1">ROUND(C67*(1-((1+F70)/(1+F68))^F69)/(F68-F70),0)</f>
        <v>-766</v>
      </c>
      <c r="D68" s="1077" t="s">
        <v>1193</v>
      </c>
      <c r="E68" s="1062" t="s">
        <v>1194</v>
      </c>
      <c r="F68" s="318">
        <f ca="1">F40</f>
        <v>0.05</v>
      </c>
      <c r="O68" s="1563" t="s">
        <v>830</v>
      </c>
      <c r="P68" s="1602" t="s">
        <v>1307</v>
      </c>
      <c r="Q68" s="1555">
        <f ca="1">ROUND(Q69-Q70*Q71,0)</f>
        <v>4</v>
      </c>
      <c r="R68" s="1555" t="s">
        <v>838</v>
      </c>
    </row>
    <row r="69" spans="1:18" s="1519" customFormat="1" ht="13.5" thickBot="1">
      <c r="A69" s="1063"/>
      <c r="B69" s="1064"/>
      <c r="C69" s="312"/>
      <c r="D69" s="1082" t="s">
        <v>1197</v>
      </c>
      <c r="E69" s="1062" t="s">
        <v>1198</v>
      </c>
      <c r="F69" s="339">
        <f ca="1">F41</f>
        <v>39</v>
      </c>
      <c r="O69" s="1563" t="s">
        <v>835</v>
      </c>
      <c r="P69" s="1602" t="s">
        <v>1308</v>
      </c>
      <c r="Q69" s="1555">
        <f ca="1">C39</f>
        <v>32</v>
      </c>
      <c r="R69" s="1555" t="s">
        <v>1253</v>
      </c>
    </row>
    <row r="70" spans="1:18" s="1519" customFormat="1" ht="13.5" thickBot="1">
      <c r="A70" s="1066"/>
      <c r="B70" s="1067"/>
      <c r="C70" s="316"/>
      <c r="D70" s="1078"/>
      <c r="E70" s="1062" t="s">
        <v>1201</v>
      </c>
      <c r="F70" s="1166"/>
      <c r="O70" s="1563" t="s">
        <v>836</v>
      </c>
      <c r="P70" s="1602" t="s">
        <v>1309</v>
      </c>
      <c r="Q70" s="1555">
        <f ca="1">C13</f>
        <v>405</v>
      </c>
      <c r="R70" s="1555" t="s">
        <v>1253</v>
      </c>
    </row>
    <row r="71" spans="1:18" s="1519" customFormat="1" ht="13.5" thickBot="1">
      <c r="A71" s="1083" t="s">
        <v>820</v>
      </c>
      <c r="B71" s="1084" t="s">
        <v>1211</v>
      </c>
      <c r="C71" s="342">
        <f ca="1">ROUND(C68*10000/F71,0)</f>
        <v>-5424</v>
      </c>
      <c r="D71" s="1085" t="s">
        <v>1212</v>
      </c>
      <c r="E71" s="1086" t="s">
        <v>1213</v>
      </c>
      <c r="F71" s="345">
        <f ca="1">F43</f>
        <v>1412.17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28</v>
      </c>
      <c r="D75" s="1519"/>
      <c r="E75" s="1519"/>
      <c r="F75" s="1519"/>
      <c r="K75" s="1537"/>
      <c r="L75" s="1519"/>
      <c r="O75" s="1553" t="s">
        <v>833</v>
      </c>
      <c r="P75" s="1554" t="s">
        <v>1273</v>
      </c>
      <c r="Q75" s="1555">
        <f ca="1">Q65+Q66</f>
        <v>722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0.125</v>
      </c>
    </row>
    <row r="80" spans="1:18">
      <c r="B80" s="346" t="s">
        <v>1235</v>
      </c>
      <c r="C80" s="280">
        <f ca="1">ROUND(C75/C39,3)</f>
        <v>0.875</v>
      </c>
    </row>
    <row r="81" spans="2:3">
      <c r="B81" s="276" t="s">
        <v>1236</v>
      </c>
      <c r="C81" s="244"/>
    </row>
    <row r="82" spans="2:3">
      <c r="B82" s="279" t="s">
        <v>1237</v>
      </c>
      <c r="C82" s="281">
        <f ca="1">1-C83</f>
        <v>0.43899999999999995</v>
      </c>
    </row>
    <row r="83" spans="2:3">
      <c r="B83" s="279" t="s">
        <v>1238</v>
      </c>
      <c r="C83" s="280">
        <f ca="1">ROUND(C13/C40,3)</f>
        <v>0.56100000000000005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722</v>
      </c>
      <c r="C2" s="2009" t="s">
        <v>2099</v>
      </c>
      <c r="D2" s="2010" t="s">
        <v>2100</v>
      </c>
      <c r="E2" s="2783">
        <f>SUM(E6:E13)</f>
        <v>1412.17</v>
      </c>
      <c r="F2" s="2886"/>
      <c r="G2" s="1625"/>
      <c r="H2" s="1625"/>
      <c r="I2" s="1625"/>
      <c r="J2" s="1625"/>
      <c r="K2" s="1625"/>
      <c r="L2" s="1625"/>
      <c r="M2" s="1625"/>
      <c r="N2" s="1625"/>
      <c r="O2" s="1625"/>
      <c r="P2" s="1625"/>
      <c r="Q2" s="1625"/>
      <c r="R2" s="1625"/>
      <c r="S2" s="1625"/>
    </row>
    <row r="3" spans="1:22" ht="15.75">
      <c r="A3" s="2007" t="s">
        <v>1119</v>
      </c>
      <c r="B3" s="2777">
        <f ca="1">ROUND(B2*10000/E2,0)</f>
        <v>5113</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722</v>
      </c>
      <c r="C6" s="2009" t="s">
        <v>2099</v>
      </c>
      <c r="D6" s="2888"/>
      <c r="E6" s="2782">
        <f>IF(OR(A6=0,F6="否"),0,'数据-取费表'!K6+'数据-取费表'!S6)</f>
        <v>1412.17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1412.17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1412.17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44809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1412.17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44809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1412.17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估价对象为北京市房地产，为所有。根据《国有土地使用证》[]，估价对象（分摊）出让国有建设用地使用权面积为0平方米，建筑面积为1412.17平方米。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估价对象为北京市房地产,属开发建设的，该项目尚在开发建设中。根据《国有土地使用证》[]，估价对象（分摊）出让国有建设用地使用权面积为0平方米，规划建筑面积为1412.17平方米。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2022年9月5日（评估专业人员实地查勘之日）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44809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108</v>
      </c>
      <c r="G10" s="422"/>
      <c r="H10" s="132">
        <f>ROUND(100/'数据-取费表'!G16,0)</f>
        <v>108</v>
      </c>
      <c r="I10" s="422"/>
      <c r="J10" s="132">
        <f>ROUND(100/'数据-取费表'!G16,0)</f>
        <v>108</v>
      </c>
      <c r="K10" s="628"/>
      <c r="L10" s="2898"/>
      <c r="M10" s="2899"/>
      <c r="N10" s="2899"/>
      <c r="O10" s="2952"/>
      <c r="P10" s="3452"/>
      <c r="Q10" s="1478" t="str">
        <f t="shared" si="6"/>
        <v>土地使用年限（年）</v>
      </c>
      <c r="R10" s="710" t="s">
        <v>17</v>
      </c>
      <c r="S10" s="711">
        <f t="shared" si="0"/>
        <v>108</v>
      </c>
      <c r="T10" s="710" t="s">
        <v>17</v>
      </c>
      <c r="U10" s="711">
        <f t="shared" si="1"/>
        <v>108</v>
      </c>
      <c r="V10" s="710" t="s">
        <v>17</v>
      </c>
      <c r="W10" s="711">
        <f t="shared" si="2"/>
        <v>108</v>
      </c>
      <c r="X10" s="712"/>
      <c r="Y10" s="3324"/>
      <c r="Z10" s="55" t="str">
        <f t="shared" si="7"/>
        <v>土地使用年限（年）</v>
      </c>
      <c r="AA10" s="713">
        <f t="shared" si="3"/>
        <v>0.92592592592592593</v>
      </c>
      <c r="AB10" s="713">
        <f t="shared" si="4"/>
        <v>0.92592592592592593</v>
      </c>
      <c r="AC10" s="713">
        <f t="shared" si="5"/>
        <v>0.92592592592592593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1412.17</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1412.17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108</v>
      </c>
      <c r="G10" s="391"/>
      <c r="H10" s="132">
        <f>ROUND(100/'数据-取费表'!G16,0)</f>
        <v>108</v>
      </c>
      <c r="I10" s="391"/>
      <c r="J10" s="132">
        <f>ROUND(100/'数据-取费表'!G16,0)</f>
        <v>108</v>
      </c>
      <c r="K10" s="628"/>
      <c r="L10" s="2898"/>
      <c r="M10" s="2899"/>
      <c r="N10" s="2899"/>
      <c r="O10" s="2952"/>
      <c r="P10" s="3452"/>
      <c r="Q10" s="1478" t="str">
        <f t="shared" si="6"/>
        <v>土地使用年限（年）</v>
      </c>
      <c r="R10" s="710" t="s">
        <v>17</v>
      </c>
      <c r="S10" s="711">
        <f t="shared" si="0"/>
        <v>108</v>
      </c>
      <c r="T10" s="710" t="s">
        <v>17</v>
      </c>
      <c r="U10" s="711">
        <f t="shared" si="1"/>
        <v>108</v>
      </c>
      <c r="V10" s="710" t="s">
        <v>17</v>
      </c>
      <c r="W10" s="711">
        <f t="shared" si="2"/>
        <v>108</v>
      </c>
      <c r="X10" s="712"/>
      <c r="Y10" s="3324"/>
      <c r="Z10" s="55" t="str">
        <f t="shared" si="7"/>
        <v>土地使用年限（年）</v>
      </c>
      <c r="AA10" s="713">
        <f t="shared" si="3"/>
        <v>0.92592592592592593</v>
      </c>
      <c r="AB10" s="713">
        <f t="shared" si="4"/>
        <v>0.92592592592592593</v>
      </c>
      <c r="AC10" s="713">
        <f t="shared" si="5"/>
        <v>0.92592592592592593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1412.17</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t="str">
        <f>IF(E2="商业",项目基本情况!B37,IF(E2="办公",项目基本情况!C37,IF(E2="住宅",项目基本情况!D37,项目基本情况!E37)))</f>
        <v>十级</v>
      </c>
      <c r="H2" s="2137" t="s">
        <v>2395</v>
      </c>
      <c r="I2" s="2139" t="str">
        <f>IF(E2="商业",项目基本情况!B38,IF(E2="办公",项目基本情况!C38,IF(E2="住宅",项目基本情况!D38,项目基本情况!E38)))</f>
        <v>Ⅹ-八达岭开发区</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t="str">
        <f>G2</f>
        <v>十级</v>
      </c>
      <c r="Y7" s="1329" t="s">
        <v>2415</v>
      </c>
      <c r="Z7" s="1330" t="e">
        <f>G3</f>
        <v>#DIV/0!</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44809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5"/>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5"/>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5"/>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5"/>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5"/>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5"/>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t="str">
        <f>G2</f>
        <v>十级</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650</v>
      </c>
      <c r="E5" s="1627"/>
    </row>
    <row r="6" spans="1:5" ht="15.75">
      <c r="A6" s="1627"/>
      <c r="B6" s="3233"/>
      <c r="C6" s="1630" t="s">
        <v>1348</v>
      </c>
      <c r="D6" s="940" t="str">
        <f ca="1">NUMBERSTRING(INT(D5*10000),2)&amp;"元整"</f>
        <v>陆佰伍拾万元整</v>
      </c>
      <c r="E6" s="1627"/>
    </row>
    <row r="7" spans="1:5" ht="15.75">
      <c r="A7" s="1627"/>
      <c r="B7" s="3238"/>
      <c r="C7" s="1631" t="s">
        <v>1349</v>
      </c>
      <c r="D7" s="941">
        <f ca="1">结果表!H102</f>
        <v>4603</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650</v>
      </c>
      <c r="E13" s="1627"/>
    </row>
    <row r="14" spans="1:5" ht="15.75">
      <c r="A14" s="1627"/>
      <c r="B14" s="3233"/>
      <c r="C14" s="1630" t="s">
        <v>1348</v>
      </c>
      <c r="D14" s="940" t="str">
        <f ca="1">NUMBERSTRING(INT(D13*10000),2)&amp;"元整"</f>
        <v>陆佰伍拾万元整</v>
      </c>
      <c r="E14" s="1627"/>
    </row>
    <row r="15" spans="1:5" ht="15">
      <c r="A15" s="1627"/>
      <c r="B15" s="3238"/>
      <c r="C15" s="1631" t="s">
        <v>1358</v>
      </c>
      <c r="D15" s="949">
        <f ca="1">结果表!H108</f>
        <v>4603</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25204</v>
      </c>
      <c r="C2" s="2" t="s">
        <v>133</v>
      </c>
      <c r="D2" s="205"/>
      <c r="E2" s="205"/>
      <c r="F2" s="205"/>
      <c r="G2" s="205"/>
    </row>
    <row r="3" spans="1:7" s="206" customFormat="1" ht="18" customHeight="1" thickBot="1">
      <c r="A3" s="209" t="s">
        <v>85</v>
      </c>
      <c r="B3" s="210">
        <f ca="1">ROUND(B2*10000/'数据-汇总表'!E3,0)</f>
        <v>178477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21</v>
      </c>
      <c r="D10" s="935">
        <f>'数据-汇总表'!E6</f>
        <v>1412.17</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28</v>
      </c>
      <c r="D19" s="939">
        <f>'数据-汇总表'!E3</f>
        <v>1412.17</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865</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1053</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1053</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24799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353</v>
      </c>
      <c r="D34" s="223"/>
      <c r="E34" s="226"/>
      <c r="F34" s="263">
        <f>IF('数据-取费表'!B24=0,1,'数据-取费表'!N16)</f>
        <v>1</v>
      </c>
      <c r="G34" s="225" t="s">
        <v>116</v>
      </c>
    </row>
    <row r="35" spans="1:7" ht="13.5" customHeight="1">
      <c r="A35" s="869" t="s">
        <v>615</v>
      </c>
      <c r="B35" s="221" t="s">
        <v>60</v>
      </c>
      <c r="C35" s="226">
        <f>ROUND(C34*F35,0)</f>
        <v>18</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28</v>
      </c>
      <c r="D37" s="223">
        <f>'数据-汇总表'!E3</f>
        <v>1412.17</v>
      </c>
      <c r="E37" s="255">
        <f>'数据-取费表'!B35</f>
        <v>200</v>
      </c>
      <c r="F37" s="265"/>
      <c r="G37" s="267" t="s">
        <v>119</v>
      </c>
    </row>
    <row r="38" spans="1:7" ht="13.5" customHeight="1">
      <c r="A38" s="869" t="s">
        <v>618</v>
      </c>
      <c r="B38" s="221" t="s">
        <v>63</v>
      </c>
      <c r="C38" s="226">
        <f>ROUND(C34*F38,0)</f>
        <v>5</v>
      </c>
      <c r="D38" s="226"/>
      <c r="E38" s="226"/>
      <c r="F38" s="265">
        <f>'数据-取费表'!B36</f>
        <v>1.4999999999999999E-2</v>
      </c>
      <c r="G38" s="225" t="s">
        <v>117</v>
      </c>
    </row>
    <row r="39" spans="1:7" s="220" customFormat="1" ht="13.5" customHeight="1">
      <c r="A39" s="866" t="s">
        <v>602</v>
      </c>
      <c r="B39" s="216" t="s">
        <v>104</v>
      </c>
      <c r="C39" s="238">
        <f>ROUND(C33*F20,0)</f>
        <v>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8</v>
      </c>
      <c r="D42" s="244"/>
      <c r="E42" s="244"/>
      <c r="F42" s="245"/>
      <c r="G42" s="3420" t="s">
        <v>121</v>
      </c>
    </row>
    <row r="43" spans="1:7" ht="13.5" customHeight="1">
      <c r="A43" s="869" t="s">
        <v>611</v>
      </c>
      <c r="B43" s="221" t="s">
        <v>851</v>
      </c>
      <c r="C43" s="244">
        <f ca="1">ROUND(IF('数据-取费表'!B22&lt;=1,C39*F22*'数据-取费表'!B21/2,C39*(POWER((1+F22),'数据-取费表'!B21/2)-1)),0)</f>
        <v>0</v>
      </c>
      <c r="D43" s="244"/>
      <c r="E43" s="244"/>
      <c r="F43" s="245"/>
      <c r="G43" s="3421"/>
    </row>
    <row r="44" spans="1:7" ht="13.5" customHeight="1">
      <c r="A44" s="869" t="s">
        <v>612</v>
      </c>
      <c r="B44" s="221" t="s">
        <v>853</v>
      </c>
      <c r="C44" s="244">
        <f ca="1">ROUND(IF('数据-取费表'!B22&lt;=1,C40*F22*'数据-取费表'!B21/2,C40*(POWER((1+F22),'数据-取费表'!B21/2)-1)),4)</f>
        <v>4.0000000000000002E-4</v>
      </c>
      <c r="D44" s="244"/>
      <c r="E44" s="244"/>
      <c r="F44" s="245"/>
      <c r="G44" s="3422"/>
    </row>
    <row r="45" spans="1:7" s="220" customFormat="1" ht="13.5" customHeight="1">
      <c r="A45" s="866" t="s">
        <v>605</v>
      </c>
      <c r="B45" s="250" t="s">
        <v>112</v>
      </c>
      <c r="C45" s="251">
        <f>C46</f>
        <v>21</v>
      </c>
      <c r="D45" s="241">
        <f>C47</f>
        <v>1E-3</v>
      </c>
      <c r="E45" s="242" t="s">
        <v>129</v>
      </c>
      <c r="F45" s="252"/>
      <c r="G45" s="253" t="s">
        <v>859</v>
      </c>
    </row>
    <row r="46" spans="1:7" s="220" customFormat="1" ht="13.5" customHeight="1">
      <c r="A46" s="869" t="s">
        <v>613</v>
      </c>
      <c r="B46" s="254" t="s">
        <v>852</v>
      </c>
      <c r="C46" s="255">
        <f>ROUND((C33+C39)*F27,0)</f>
        <v>21</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476</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405</v>
      </c>
      <c r="D51" s="238"/>
      <c r="E51" s="238"/>
      <c r="F51" s="270"/>
      <c r="G51" s="240" t="s">
        <v>64</v>
      </c>
    </row>
    <row r="52" spans="1:7" s="214" customFormat="1" ht="16.5" thickBot="1">
      <c r="A52" s="271" t="s">
        <v>65</v>
      </c>
      <c r="B52" s="272"/>
      <c r="C52" s="273">
        <f ca="1">C31+C51</f>
        <v>25204</v>
      </c>
      <c r="D52" s="272"/>
      <c r="E52" s="272"/>
      <c r="F52" s="272"/>
      <c r="G52" s="274"/>
    </row>
    <row r="55" spans="1:7" ht="15">
      <c r="B55" s="276" t="s">
        <v>66</v>
      </c>
      <c r="C55" s="277"/>
    </row>
    <row r="56" spans="1:7">
      <c r="B56" s="279" t="s">
        <v>67</v>
      </c>
      <c r="C56" s="280">
        <f ca="1">ROUND(C51/C52,3)</f>
        <v>1.6E-2</v>
      </c>
    </row>
    <row r="57" spans="1:7">
      <c r="B57" s="279" t="s">
        <v>68</v>
      </c>
      <c r="C57" s="281">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44809</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1412.17</v>
      </c>
      <c r="C4" s="944">
        <f>项目基本情况!C18</f>
        <v>0</v>
      </c>
      <c r="D4" s="944">
        <f ca="1">结果表!D118</f>
        <v>164</v>
      </c>
      <c r="E4" s="944">
        <f ca="1">结果表!E118</f>
        <v>1161</v>
      </c>
      <c r="F4" s="944">
        <f ca="1">结果表!F118</f>
        <v>486</v>
      </c>
      <c r="G4" s="944">
        <f ca="1">结果表!G118</f>
        <v>3442</v>
      </c>
      <c r="H4" s="944">
        <f ca="1">结果表!H118</f>
        <v>650</v>
      </c>
      <c r="I4" s="944">
        <f ca="1">结果表!I118</f>
        <v>4603</v>
      </c>
    </row>
    <row r="5" spans="1:9" ht="30" customHeight="1">
      <c r="A5" s="3246" t="s">
        <v>1364</v>
      </c>
      <c r="B5" s="3246"/>
      <c r="C5" s="3246"/>
      <c r="D5" s="3247" t="str">
        <f ca="1">结果表!D119</f>
        <v>壹佰陆拾肆万元整</v>
      </c>
      <c r="E5" s="3247"/>
      <c r="F5" s="3247" t="str">
        <f ca="1">结果表!F119</f>
        <v>肆佰捌拾陆万元整</v>
      </c>
      <c r="G5" s="3247"/>
      <c r="H5" s="3247" t="str">
        <f ca="1">结果表!H119</f>
        <v>陆佰伍拾万元整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650</v>
      </c>
      <c r="E8" s="3245"/>
      <c r="F8" s="3245"/>
      <c r="G8" s="3245"/>
      <c r="H8" s="3245"/>
      <c r="I8" s="3245"/>
    </row>
    <row r="9" spans="1:9" ht="15">
      <c r="A9" s="3246" t="s">
        <v>1364</v>
      </c>
      <c r="B9" s="3246"/>
      <c r="C9" s="3246"/>
      <c r="D9" s="3247" t="str">
        <f ca="1">结果表!D123</f>
        <v>陆佰伍拾万元整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2022-09-05T06:08:25Z</dcterms:modified>
</cp:coreProperties>
</file>