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31" l="1"/>
  <c r="J4" i="31" s="1"/>
  <c r="K4" i="31" s="1"/>
  <c r="H122" i="78"/>
  <c r="I122" i="78" s="1"/>
  <c r="J122" i="78" s="1"/>
  <c r="G122" i="78"/>
  <c r="E122" i="78"/>
  <c r="D122" i="78" s="1"/>
  <c r="C122" i="78" s="1"/>
  <c r="J122" i="34"/>
  <c r="E4" i="31"/>
  <c r="D4" i="31" s="1"/>
  <c r="C4" i="31" s="1"/>
  <c r="F4" i="31"/>
  <c r="H4" i="31"/>
  <c r="D122" i="34"/>
  <c r="C122" i="34" s="1"/>
  <c r="E122" i="34"/>
  <c r="H122" i="34"/>
  <c r="I122" i="34" s="1"/>
  <c r="G122" i="34"/>
  <c r="C34" i="78"/>
  <c r="G34" i="78" s="1"/>
  <c r="F60" i="34"/>
  <c r="E60" i="34"/>
  <c r="D60" i="34"/>
  <c r="I34" i="78" l="1"/>
  <c r="E34" i="78"/>
  <c r="B131" i="78" l="1"/>
  <c r="B129" i="78"/>
  <c r="B127" i="78"/>
  <c r="G126" i="78"/>
  <c r="E126" i="78"/>
  <c r="F126" i="78" s="1"/>
  <c r="D126" i="78"/>
  <c r="D124" i="78"/>
  <c r="E124" i="78" s="1"/>
  <c r="F124" i="78" s="1"/>
  <c r="G124" i="78" s="1"/>
  <c r="H124" i="78" s="1"/>
  <c r="I124" i="78" s="1"/>
  <c r="J124" i="78" s="1"/>
  <c r="K124" i="78" s="1"/>
  <c r="L124" i="78" s="1"/>
  <c r="M124" i="78" s="1"/>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Q31" i="78"/>
  <c r="Z31" i="78" s="1"/>
  <c r="J31" i="78"/>
  <c r="W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I33" i="34"/>
  <c r="G33" i="34"/>
  <c r="E33"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U6" i="1" s="1"/>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s="1"/>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J51" i="67" s="1"/>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W23" i="34" s="1"/>
  <c r="F19" i="34"/>
  <c r="S19" i="34" s="1"/>
  <c r="H17" i="34"/>
  <c r="U17" i="34" s="1"/>
  <c r="F15" i="34"/>
  <c r="S15" i="34" s="1"/>
  <c r="J15" i="34"/>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F59" i="34" s="1"/>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E8" i="76"/>
  <c r="M22" i="67"/>
  <c r="E10" i="76"/>
  <c r="M29" i="15"/>
  <c r="D6" i="73"/>
  <c r="D2" i="36"/>
  <c r="F6" i="73"/>
  <c r="F43" i="67"/>
  <c r="F36" i="15"/>
  <c r="F7" i="67"/>
  <c r="C76" i="15"/>
  <c r="F6" i="15"/>
  <c r="F43" i="15"/>
  <c r="J15" i="15"/>
  <c r="F36" i="67"/>
  <c r="M9" i="15"/>
  <c r="D2" i="34"/>
  <c r="M22" i="15"/>
  <c r="E11" i="76"/>
  <c r="L48" i="67"/>
  <c r="M29" i="67"/>
  <c r="F7" i="73"/>
  <c r="M28" i="15"/>
  <c r="M24" i="67"/>
  <c r="B9" i="76"/>
  <c r="F26" i="67"/>
  <c r="B12" i="76"/>
  <c r="D2" i="37"/>
  <c r="F13" i="15"/>
  <c r="B10" i="76"/>
  <c r="J15" i="67"/>
  <c r="D2" i="35"/>
  <c r="E7" i="76"/>
  <c r="F40" i="15"/>
  <c r="F42" i="15"/>
  <c r="AO9" i="1"/>
  <c r="E2" i="69"/>
  <c r="F37" i="67"/>
  <c r="F9" i="67"/>
  <c r="M8" i="15"/>
  <c r="F8" i="15"/>
  <c r="F8" i="67"/>
  <c r="F42" i="67"/>
  <c r="L47" i="15"/>
  <c r="D2" i="21"/>
  <c r="M24" i="15"/>
  <c r="E9" i="76"/>
  <c r="AO12" i="1"/>
  <c r="C76" i="67"/>
  <c r="AO10" i="1"/>
  <c r="AO8" i="1"/>
  <c r="F13" i="67"/>
  <c r="M8" i="67"/>
  <c r="F38" i="67"/>
  <c r="AO7" i="1"/>
  <c r="D7" i="73"/>
  <c r="M23" i="15"/>
  <c r="D4" i="73"/>
  <c r="B8" i="76"/>
  <c r="M27" i="67"/>
  <c r="E12" i="76"/>
  <c r="AO11" i="1"/>
  <c r="AO13" i="1"/>
  <c r="B11" i="76"/>
  <c r="M26" i="67"/>
  <c r="F37" i="15"/>
  <c r="D3" i="73"/>
  <c r="M23" i="67"/>
  <c r="E2" i="68"/>
  <c r="F16" i="15"/>
  <c r="D35" i="9"/>
  <c r="E13" i="76"/>
  <c r="D2" i="33"/>
  <c r="F5" i="73"/>
  <c r="M6" i="67"/>
  <c r="F3" i="73"/>
  <c r="F4" i="73"/>
  <c r="M9" i="67"/>
  <c r="M6" i="15"/>
  <c r="L47" i="67"/>
  <c r="L48" i="15"/>
  <c r="D34" i="9"/>
  <c r="F9" i="15"/>
  <c r="F6" i="67"/>
  <c r="B13" i="76"/>
  <c r="F38" i="15"/>
  <c r="F26" i="15"/>
  <c r="M26" i="15"/>
  <c r="F40" i="67"/>
  <c r="D5" i="73"/>
  <c r="M28" i="67"/>
  <c r="M27" i="15"/>
  <c r="F16" i="67"/>
  <c r="F7" i="15"/>
  <c r="B7" i="76"/>
  <c r="F20" i="31"/>
  <c r="J53" i="67" l="1"/>
  <c r="F1" i="67" s="1"/>
  <c r="P74" i="67"/>
  <c r="Q52" i="67"/>
  <c r="AC30" i="34"/>
  <c r="U31" i="34"/>
  <c r="S28" i="34"/>
  <c r="AB37" i="34"/>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6" i="67"/>
  <c r="C16" i="15"/>
  <c r="C14" i="67"/>
  <c r="C14" i="15"/>
  <c r="G1" i="73"/>
  <c r="C17" i="67"/>
  <c r="C17" i="15"/>
  <c r="M107" i="43" l="1"/>
  <c r="C5" i="43"/>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18" i="67"/>
  <c r="C53" i="67"/>
  <c r="C48" i="67" s="1"/>
  <c r="C10" i="67"/>
  <c r="C5" i="67" s="1"/>
  <c r="J24" i="15"/>
  <c r="J18" i="15"/>
  <c r="J26" i="15"/>
  <c r="C53" i="15"/>
  <c r="C48" i="15" s="1"/>
  <c r="C10" i="15"/>
  <c r="C5" i="15" s="1"/>
  <c r="F24" i="67"/>
  <c r="C24" i="67" s="1"/>
  <c r="F22" i="68"/>
  <c r="F22" i="11"/>
  <c r="F22" i="69"/>
  <c r="F25" i="12"/>
  <c r="F24" i="15"/>
  <c r="C24" i="15" s="1"/>
  <c r="F41" i="15"/>
  <c r="F41" i="67"/>
  <c r="F69" i="67" l="1"/>
  <c r="J29" i="67"/>
  <c r="F69" i="15"/>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J14" i="67"/>
  <c r="C57" i="67"/>
  <c r="C13" i="67"/>
  <c r="J19" i="67"/>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C75" i="67"/>
  <c r="C37" i="67"/>
  <c r="Q70" i="67"/>
  <c r="C56" i="67"/>
  <c r="C65" i="67" s="1"/>
  <c r="J13" i="67"/>
  <c r="J23" i="67" s="1"/>
  <c r="J22" i="67"/>
  <c r="Q48" i="15"/>
  <c r="J13" i="15"/>
  <c r="J23" i="15" s="1"/>
  <c r="J22" i="15"/>
  <c r="C61" i="67"/>
  <c r="C64" i="67"/>
  <c r="Q70" i="15"/>
  <c r="C56" i="15"/>
  <c r="C65" i="15" s="1"/>
  <c r="C37" i="15"/>
  <c r="C75" i="15"/>
  <c r="C61" i="15"/>
  <c r="C64" i="15"/>
  <c r="M21" i="67"/>
  <c r="F35" i="15"/>
  <c r="M21" i="15"/>
  <c r="F35" i="67"/>
  <c r="B6" i="76"/>
  <c r="E6" i="76"/>
  <c r="C34" i="67" l="1"/>
  <c r="C31" i="67" s="1"/>
  <c r="C30" i="67" s="1"/>
  <c r="C39" i="67" s="1"/>
  <c r="C40" i="67" s="1"/>
  <c r="F63" i="67"/>
  <c r="C62" i="67" s="1"/>
  <c r="C59" i="67" s="1"/>
  <c r="C58" i="67" s="1"/>
  <c r="C67" i="67" s="1"/>
  <c r="C68" i="67" s="1"/>
  <c r="J20" i="67"/>
  <c r="J17" i="67" s="1"/>
  <c r="J16" i="67" s="1"/>
  <c r="J25" i="67" s="1"/>
  <c r="C25" i="69"/>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L51" i="15"/>
  <c r="L51" i="67"/>
  <c r="C80" i="67" l="1"/>
  <c r="C79" i="67" s="1"/>
  <c r="Q69" i="67"/>
  <c r="Q68" i="67" s="1"/>
  <c r="C40" i="15"/>
  <c r="C43" i="15" s="1"/>
  <c r="Q69" i="15"/>
  <c r="Q68" i="15" s="1"/>
  <c r="C80" i="15"/>
  <c r="C79" i="15" s="1"/>
  <c r="C49" i="69"/>
  <c r="C51" i="69" s="1"/>
  <c r="C52" i="69" s="1"/>
  <c r="B2" i="69" s="1"/>
  <c r="B3" i="69" s="1"/>
  <c r="C49" i="68"/>
  <c r="C51" i="68" s="1"/>
  <c r="C31" i="68"/>
  <c r="N59" i="34"/>
  <c r="L46" i="36"/>
  <c r="N52" i="37"/>
  <c r="K68" i="39"/>
  <c r="J70" i="39"/>
  <c r="B3" i="76"/>
  <c r="Q67" i="67"/>
  <c r="L57" i="67"/>
  <c r="L60" i="67" s="1"/>
  <c r="L46" i="67" s="1"/>
  <c r="D2" i="67" s="1"/>
  <c r="Q67" i="15"/>
  <c r="L57" i="15"/>
  <c r="L60" i="15" s="1"/>
  <c r="L46" i="15" s="1"/>
  <c r="C71" i="67"/>
  <c r="C45" i="67"/>
  <c r="C46" i="67" s="1"/>
  <c r="Q56" i="67"/>
  <c r="Q47" i="67"/>
  <c r="Q53" i="67" s="1"/>
  <c r="Q65" i="67"/>
  <c r="C43" i="67"/>
  <c r="C83" i="67"/>
  <c r="C82" i="67" s="1"/>
  <c r="C71" i="15"/>
  <c r="C46" i="15" l="1"/>
  <c r="C83" i="15"/>
  <c r="C82" i="15" s="1"/>
  <c r="Q65" i="15"/>
  <c r="Q47" i="15"/>
  <c r="Q53" i="15" s="1"/>
  <c r="Q56" i="15"/>
  <c r="B2" i="15"/>
  <c r="C52" i="68"/>
  <c r="B2" i="68" s="1"/>
  <c r="B3" i="68" s="1"/>
  <c r="C57" i="69"/>
  <c r="C56" i="69" s="1"/>
  <c r="L68" i="39"/>
  <c r="K70" i="39"/>
  <c r="O52" i="37"/>
  <c r="F7" i="37" s="1"/>
  <c r="M46" i="36"/>
  <c r="O59" i="34"/>
  <c r="J7" i="34"/>
  <c r="Q57" i="15"/>
  <c r="Q66" i="15"/>
  <c r="Q66" i="67"/>
  <c r="Q75" i="67" s="1"/>
  <c r="Q57" i="67"/>
  <c r="Q62" i="67" s="1"/>
  <c r="B2" i="67"/>
  <c r="B3" i="67"/>
  <c r="AO6" i="1"/>
  <c r="D19" i="9"/>
  <c r="C57" i="68" l="1"/>
  <c r="C56" i="68" s="1"/>
  <c r="Q62" i="15"/>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D15" i="74" l="1"/>
  <c r="G15" i="74" s="1"/>
  <c r="S22" i="31"/>
  <c r="AN15" i="1" s="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R22" i="3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D53" i="9"/>
  <c r="C93" i="9"/>
  <c r="C86" i="9" s="1"/>
  <c r="H108" i="9"/>
  <c r="D15" i="53" s="1"/>
  <c r="B31" i="72" s="1"/>
  <c r="D13" i="53"/>
  <c r="D122" i="9"/>
  <c r="C79" i="9" l="1"/>
  <c r="C80" i="9" s="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<sst xmlns="http://schemas.openxmlformats.org/spreadsheetml/2006/main" count="7827" uniqueCount="3174">
  <si>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</si>
  <si>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</si>
  <si>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</si>
  <si>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</si>
  <si>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</si>
  <si>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</si>
  <si>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</si>
  <si>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</si>
  <si>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</si>
  <si>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</si>
  <si>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</si>
  <si>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</si>
  <si>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</si>
  <si>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</si>
  <si>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</si>
  <si>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</si>
  <si>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</si>
  <si>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</si>
  <si>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</si>
  <si>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</si>
  <si>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</si>
  <si>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</si>
  <si>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</si>
  <si>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</si>
  <si>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</si>
  <si>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</si>
  <si>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</si>
  <si>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</si>
  <si>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</si>
  <si>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</si>
  <si>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</si>
  <si>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</si>
  <si>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</si>
  <si>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</si>
  <si>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</si>
  <si>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</si>
  <si>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</si>
  <si>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</si>
  <si>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</si>
  <si>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</si>
  <si>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</si>
  <si>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</si>
  <si>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</si>
  <si>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</si>
  <si>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</si>
  <si>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</si>
  <si>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</si>
  <si>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</si>
  <si>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</si>
  <si>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</si>
  <si>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</si>
  <si>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</si>
  <si>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</si>
  <si>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</si>
  <si>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</si>
  <si>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</si>
  <si>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</si>
  <si>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</si>
  <si>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</si>
  <si>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</si>
  <si>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</si>
  <si>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</si>
  <si>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</si>
  <si>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</si>
  <si>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</si>
  <si>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</si>
  <si>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</si>
  <si>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</si>
  <si>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</si>
  <si>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</si>
  <si>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</si>
  <si>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</si>
  <si>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</si>
  <si>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</si>
  <si>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</si>
  <si>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</si>
  <si>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</si>
  <si>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</si>
  <si>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</si>
  <si>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</si>
  <si>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</si>
  <si>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</si>
  <si>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</si>
  <si>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</si>
  <si>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</si>
  <si>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</si>
  <si>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</si>
  <si>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</si>
  <si>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</si>
  <si>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</si>
  <si>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</si>
  <si>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</si>
  <si>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</si>
  <si>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</si>
  <si>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</si>
  <si>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</si>
  <si>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</si>
  <si>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</si>
  <si>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</si>
  <si>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</si>
  <si>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</si>
  <si>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</si>
  <si>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</si>
  <si>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</si>
  <si>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</si>
  <si>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</si>
  <si>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</si>
  <si>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</si>
  <si>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</si>
  <si>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</si>
  <si>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</si>
  <si>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</si>
  <si>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</si>
  <si>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</si>
  <si>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</si>
  <si>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</si>
  <si>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</si>
  <si>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</si>
  <si>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</si>
  <si>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</si>
  <si>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</si>
  <si>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</si>
  <si>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</si>
  <si>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</si>
  <si>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</si>
  <si>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</si>
  <si>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</si>
  <si>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</si>
  <si>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</si>
  <si>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</si>
  <si>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</si>
  <si>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</si>
  <si>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</si>
  <si>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</si>
  <si>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</si>
  <si>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</si>
  <si>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</si>
  <si>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</si>
  <si>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</si>
  <si>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</si>
  <si>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</si>
  <si>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</si>
  <si>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</si>
  <si>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</si>
  <si>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</si>
  <si>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</si>
  <si>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</si>
  <si>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</si>
  <si>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</si>
  <si>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</si>
  <si>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</si>
  <si>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</si>
  <si>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</si>
  <si>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</si>
  <si>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</si>
  <si>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</si>
  <si>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</si>
  <si>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</si>
  <si>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</si>
  <si>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</si>
  <si>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</si>
  <si>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</si>
  <si>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</si>
  <si>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</si>
  <si>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</si>
  <si>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</si>
  <si>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</si>
  <si>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</si>
  <si>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</si>
  <si>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</si>
  <si>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</si>
  <si>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</si>
  <si>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</si>
  <si>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</si>
  <si>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</si>
  <si>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</si>
  <si>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</si>
  <si>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</si>
  <si>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</si>
  <si>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</si>
  <si>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</si>
  <si>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</si>
  <si>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</si>
  <si>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</si>
  <si>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</si>
  <si>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</si>
  <si>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</si>
  <si>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</si>
  <si>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</si>
  <si>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</si>
  <si>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</si>
  <si>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</si>
  <si>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</si>
  <si>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</si>
  <si>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</si>
  <si>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</si>
  <si>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</si>
  <si>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</si>
  <si>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</si>
  <si>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</si>
  <si>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</si>
  <si>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</si>
  <si>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</si>
  <si>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</si>
  <si>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</si>
  <si>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</si>
  <si>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</si>
  <si>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</si>
  <si>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</si>
  <si>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</si>
  <si>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</si>
  <si>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</si>
  <si>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</si>
  <si>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</si>
  <si>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</si>
  <si>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</si>
  <si>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</si>
  <si>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</si>
  <si>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</si>
  <si>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</si>
  <si>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</si>
  <si>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</si>
  <si>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</si>
  <si>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</si>
  <si>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</si>
  <si>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</si>
  <si>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</si>
  <si>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</si>
  <si>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</si>
  <si>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</si>
  <si>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</si>
  <si>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</si>
  <si>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</si>
  <si>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</si>
  <si>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</si>
  <si>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</si>
  <si>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</si>
  <si>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</si>
  <si>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</si>
  <si>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</si>
  <si>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</si>
  <si>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</si>
  <si>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</si>
  <si>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</si>
  <si>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</si>
  <si>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</si>
  <si>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</si>
  <si>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</si>
  <si>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</si>
  <si>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</si>
  <si>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</si>
  <si>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</si>
  <si>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</si>
  <si>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</si>
  <si>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</si>
  <si>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</si>
  <si>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</si>
  <si>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</si>
  <si>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</si>
  <si>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</si>
  <si>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</si>
  <si>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</si>
  <si>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</si>
  <si>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</si>
  <si>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</si>
  <si>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</si>
  <si>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</si>
  <si>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</si>
  <si>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</si>
  <si>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</si>
  <si>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</si>
  <si>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</si>
  <si>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</si>
  <si>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</si>
  <si>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</si>
  <si>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</si>
  <si>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</si>
  <si>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</si>
  <si>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</si>
  <si>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</si>
  <si>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</si>
  <si>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</si>
  <si>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</si>
  <si>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</si>
  <si>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</si>
  <si>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</si>
  <si>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</si>
  <si>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</si>
  <si>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</si>
  <si>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</si>
  <si>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</si>
  <si>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</si>
  <si>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</si>
  <si>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</si>
  <si>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</si>
  <si>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</si>
  <si>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</si>
  <si>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</si>
  <si>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</si>
  <si>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</si>
  <si>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</si>
  <si>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</si>
  <si>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</si>
  <si>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</si>
  <si>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</si>
  <si>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</si>
  <si>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</si>
  <si>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</si>
  <si>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</si>
  <si>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</si>
  <si>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</si>
  <si>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</si>
  <si>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</si>
  <si>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</si>
  <si>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</si>
  <si>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</si>
  <si>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</si>
  <si>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</si>
  <si>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</si>
  <si>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</si>
  <si>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</si>
  <si>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</si>
  <si>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</si>
  <si>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</si>
  <si>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</si>
  <si>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</si>
  <si>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</si>
  <si>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</si>
  <si>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</si>
  <si>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</si>
  <si>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</si>
  <si>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</si>
  <si>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</si>
  <si>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</si>
  <si>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</si>
  <si>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</si>
  <si>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</si>
  <si>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</si>
  <si>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</si>
  <si>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</si>
  <si>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</si>
  <si>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</si>
  <si>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</si>
  <si>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</si>
  <si>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</si>
  <si>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</si>
  <si>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</si>
  <si>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</si>
  <si>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</si>
  <si>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</si>
  <si>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</si>
  <si>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</si>
  <si>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</si>
  <si>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</si>
  <si>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</si>
  <si>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</si>
  <si>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</si>
  <si>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</si>
  <si>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</si>
  <si>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</si>
  <si>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</si>
  <si>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</si>
  <si>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</si>
  <si>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</si>
  <si>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</si>
  <si>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</si>
  <si>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</si>
  <si>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</si>
  <si>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</si>
  <si>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</si>
  <si>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</si>
  <si>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</si>
  <si>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</si>
  <si>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</si>
  <si>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</si>
  <si>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</si>
  <si>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</si>
  <si>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</si>
  <si>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</si>
  <si>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</si>
  <si>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</si>
  <si>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</si>
  <si>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</si>
  <si>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</si>
  <si>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</si>
  <si>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</si>
  <si>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</si>
  <si>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</si>
  <si>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</si>
  <si>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</si>
  <si>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</si>
  <si>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</si>
  <si>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</si>
  <si>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</si>
  <si>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</si>
  <si>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</si>
  <si>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</si>
  <si>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</si>
  <si>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</si>
  <si>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</si>
  <si>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</si>
  <si>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</si>
  <si>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</si>
  <si>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</si>
  <si>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</si>
  <si>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</si>
  <si>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</si>
  <si>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</si>
  <si>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</si>
  <si>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</si>
  <si>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</si>
  <si>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</si>
  <si>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</si>
  <si>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</si>
  <si>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</si>
  <si>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</si>
  <si>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</si>
  <si>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</si>
  <si>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</si>
  <si>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</si>
  <si>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</si>
  <si>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</si>
  <si>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</si>
  <si>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</si>
  <si>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</si>
  <si>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</si>
  <si>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</si>
  <si>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</si>
  <si>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</si>
  <si>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</si>
  <si>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</si>
  <si>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</si>
  <si>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</si>
  <si>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</si>
  <si>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</si>
  <si>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</si>
  <si>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</si>
  <si>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</si>
  <si>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</si>
  <si>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</si>
  <si>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</si>
  <si>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</si>
  <si>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</si>
  <si>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</si>
  <si>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</si>
  <si>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</si>
  <si>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</si>
  <si>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</si>
  <si>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</si>
  <si>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</si>
  <si>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</si>
  <si>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</si>
  <si>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</si>
  <si>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</si>
  <si>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</si>
  <si>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</si>
  <si>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</si>
  <si>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</si>
  <si>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</si>
  <si>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</si>
  <si>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</si>
  <si>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</si>
  <si>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</si>
  <si>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</si>
  <si>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</si>
  <si>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</si>
  <si>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</si>
  <si>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</si>
  <si>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</si>
  <si>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</si>
  <si>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</si>
  <si>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</si>
  <si>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</si>
  <si>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</si>
  <si>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</si>
  <si>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</si>
  <si>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</si>
  <si>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</si>
  <si>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</si>
  <si>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</si>
  <si>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</si>
  <si>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</si>
  <si>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</si>
  <si>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</si>
  <si>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</si>
  <si>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</si>
  <si>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</si>
  <si>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</si>
  <si>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</si>
  <si>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</si>
  <si>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</si>
  <si>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</si>
  <si>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</si>
  <si>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</si>
  <si>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</si>
  <si>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</si>
  <si>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</si>
  <si>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</si>
  <si>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</si>
  <si>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</si>
  <si>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</si>
  <si>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</si>
  <si>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</si>
  <si>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</si>
  <si>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</si>
  <si>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</si>
  <si>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</si>
  <si>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</si>
  <si>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</si>
  <si>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</si>
  <si>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</si>
  <si>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</si>
  <si>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</si>
  <si>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</si>
  <si>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</si>
  <si>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</si>
  <si>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</si>
  <si>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</si>
  <si>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</si>
  <si>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</si>
  <si>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</si>
  <si>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</si>
  <si>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</si>
  <si>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</si>
  <si>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</si>
  <si>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</si>
  <si>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</si>
  <si>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</si>
  <si>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</si>
  <si>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</si>
  <si>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</si>
  <si>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</si>
  <si>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</si>
  <si>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</si>
  <si>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</si>
  <si>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</si>
  <si>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</si>
  <si>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</si>
  <si>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</si>
  <si>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</si>
  <si>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</si>
  <si>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</si>
  <si>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</si>
  <si>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</si>
  <si>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</si>
  <si>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</si>
  <si>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</si>
  <si>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</si>
  <si>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</si>
  <si>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</si>
  <si>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</si>
  <si>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</si>
  <si>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</si>
  <si>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</si>
  <si>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</si>
  <si>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</si>
  <si>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</si>
  <si>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</si>
  <si>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</si>
  <si>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</si>
  <si>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</si>
  <si>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</si>
  <si>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</si>
  <si>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</si>
  <si>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</si>
  <si>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</si>
  <si>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</si>
  <si>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</si>
  <si>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</si>
  <si>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</si>
  <si>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</si>
  <si>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</si>
  <si>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</si>
  <si>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</si>
  <si>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</si>
  <si>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</si>
  <si>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</si>
  <si>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</si>
  <si>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</si>
  <si>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</si>
  <si>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</si>
  <si>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</si>
  <si>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</si>
  <si>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</si>
  <si>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</si>
  <si>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</si>
  <si>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</si>
  <si>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</si>
  <si>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</si>
  <si>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</si>
  <si>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</si>
  <si>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</si>
  <si>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</si>
  <si>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</si>
  <si>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</si>
  <si>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</si>
  <si>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</si>
  <si>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</si>
  <si>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</si>
  <si>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</si>
  <si>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</si>
  <si>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</si>
  <si>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</si>
  <si>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</si>
  <si>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</si>
  <si>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</si>
  <si>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</si>
  <si>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</si>
  <si>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</si>
  <si>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</si>
  <si>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</si>
  <si>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</si>
  <si>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</si>
  <si>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</si>
  <si>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</si>
  <si>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</si>
  <si>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</si>
  <si>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</si>
  <si>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</si>
  <si>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</si>
  <si>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</si>
  <si>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</si>
  <si>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</si>
  <si>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</si>
  <si>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</si>
  <si>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</si>
  <si>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</si>
  <si>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</si>
  <si>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</si>
  <si>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</si>
  <si>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</si>
  <si>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</si>
  <si>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</si>
  <si>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</si>
  <si>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</si>
  <si>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</si>
  <si>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</si>
  <si>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</si>
  <si>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</si>
  <si>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</si>
  <si>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</si>
  <si>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</si>
  <si>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</si>
  <si>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</si>
  <si>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</si>
  <si>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</si>
  <si>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</si>
  <si>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</si>
  <si>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</si>
  <si>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</si>
  <si>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</si>
  <si>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</si>
  <si>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</si>
  <si>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</si>
  <si>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</si>
  <si>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</si>
  <si>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</si>
  <si>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</si>
  <si>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</si>
  <si>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</si>
  <si>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</si>
  <si>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</si>
  <si>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</si>
  <si>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</si>
  <si>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</si>
  <si>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</si>
  <si>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</si>
  <si>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</si>
  <si>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</si>
  <si>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</si>
  <si>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</si>
  <si>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</si>
  <si>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</si>
  <si>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</si>
  <si>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</si>
  <si>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</si>
  <si>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</si>
  <si>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</si>
  <si>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</si>
  <si>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</si>
  <si>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</si>
  <si>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</si>
  <si>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</si>
  <si>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</si>
  <si>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</si>
  <si>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</si>
  <si>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</si>
  <si>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</si>
  <si>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</si>
  <si>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</si>
  <si>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</si>
  <si>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</si>
  <si>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</si>
  <si>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</si>
  <si>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</si>
  <si>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</si>
  <si>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</si>
  <si>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</si>
  <si>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</si>
  <si>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</si>
  <si>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</si>
  <si>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</si>
  <si>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</si>
  <si>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</si>
  <si>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</si>
  <si>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</si>
  <si>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</si>
  <si>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</si>
  <si>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</si>
  <si>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</si>
  <si>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</si>
  <si>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</si>
  <si>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</si>
  <si>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</si>
  <si>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</si>
  <si>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</si>
  <si>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</si>
  <si>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</si>
  <si>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</si>
  <si>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</si>
  <si>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</si>
  <si>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</si>
  <si>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</si>
  <si>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</si>
  <si>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</si>
  <si>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</si>
  <si>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</si>
  <si>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</si>
  <si>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</si>
  <si>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</si>
  <si>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</si>
  <si>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</si>
  <si>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</si>
  <si>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</si>
  <si>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</si>
  <si>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</si>
  <si>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</si>
  <si>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</si>
  <si>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</si>
  <si>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</si>
  <si>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</si>
  <si>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</si>
  <si>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</si>
  <si>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</si>
  <si>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</si>
  <si>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</si>
  <si>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</si>
  <si>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</si>
  <si>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</si>
  <si>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</si>
  <si>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</si>
  <si>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</si>
  <si>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</si>
  <si>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</si>
  <si>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</si>
  <si>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</si>
  <si>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</si>
  <si>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</si>
  <si>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</si>
  <si>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</si>
  <si>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</si>
  <si>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</si>
  <si>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</si>
  <si>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</si>
  <si>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</si>
  <si>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</si>
  <si>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</si>
  <si>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</si>
  <si>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</si>
  <si>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</si>
  <si>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</si>
  <si>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</si>
  <si>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</si>
  <si>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</si>
  <si>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</si>
  <si>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</si>
  <si>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</si>
  <si>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</si>
  <si>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</si>
  <si>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</si>
  <si>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</si>
  <si>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</si>
  <si>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</si>
  <si>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</si>
  <si>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</si>
  <si>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</si>
  <si>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</si>
  <si>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</si>
  <si>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</si>
  <si>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</si>
  <si>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</si>
  <si>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</si>
  <si>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</si>
  <si>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</si>
  <si>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</si>
  <si>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</si>
  <si>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</si>
  <si>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</si>
  <si>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</si>
  <si>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</si>
  <si>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</si>
  <si>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</si>
  <si>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</si>
  <si>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</si>
  <si>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</si>
  <si>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</si>
  <si>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</si>
  <si>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</si>
  <si>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</si>
  <si>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</si>
  <si>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</si>
  <si>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</si>
  <si>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</si>
  <si>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</si>
  <si>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</si>
  <si>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</si>
  <si>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</si>
  <si>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</si>
  <si>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</si>
  <si>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</si>
  <si>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</si>
  <si>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</si>
  <si>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</si>
  <si>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</si>
  <si>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</si>
  <si>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</si>
  <si>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</si>
  <si>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</si>
  <si>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</si>
  <si>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</si>
  <si>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</si>
  <si>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</si>
  <si>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</si>
  <si>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</si>
  <si>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</si>
  <si>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</si>
  <si>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</si>
  <si>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</si>
  <si>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</si>
  <si>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</si>
  <si>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</si>
  <si>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</si>
  <si>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</si>
  <si>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</si>
  <si>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</si>
  <si>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</si>
  <si>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</si>
  <si>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</si>
  <si>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</si>
  <si>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</si>
  <si>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</si>
  <si>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</si>
  <si>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</si>
  <si>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</si>
  <si>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</si>
  <si>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</si>
  <si>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</si>
  <si>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</si>
  <si>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</si>
  <si>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</si>
  <si>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</si>
  <si>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</si>
  <si>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</si>
  <si>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</si>
  <si>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</si>
  <si>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</si>
  <si>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</si>
  <si>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</si>
  <si>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</si>
  <si>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</si>
  <si>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</si>
  <si>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</si>
  <si>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</si>
  <si>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</si>
  <si>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</si>
  <si>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</si>
  <si>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</si>
  <si>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</si>
  <si>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</si>
  <si>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</si>
  <si>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</si>
  <si>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</si>
  <si>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</si>
  <si>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</si>
  <si>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</si>
  <si>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</si>
  <si>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</si>
  <si>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</si>
  <si>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</si>
  <si>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</si>
  <si>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</si>
  <si>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</si>
  <si>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</si>
  <si>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</si>
  <si>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</si>
  <si>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</si>
  <si>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</si>
  <si>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</si>
  <si>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</si>
  <si>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</si>
  <si>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</si>
  <si>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</si>
  <si>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</si>
  <si>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</si>
  <si>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</si>
  <si>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</si>
  <si>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</si>
  <si>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</si>
  <si>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</si>
  <si>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</si>
  <si>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</si>
  <si>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</si>
  <si>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</si>
  <si>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</si>
  <si>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</si>
  <si>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</si>
  <si>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</si>
  <si>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</si>
  <si>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</si>
  <si>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</si>
  <si>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</si>
  <si>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</si>
  <si>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</si>
  <si>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</si>
  <si>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</si>
  <si>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</si>
  <si>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</si>
  <si>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</si>
  <si>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</si>
  <si>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</si>
  <si>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</si>
  <si>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</si>
  <si>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</si>
  <si>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</si>
  <si>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</si>
  <si>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</si>
  <si>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</si>
  <si>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</si>
  <si>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</si>
  <si>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</si>
  <si>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</si>
  <si>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</si>
  <si>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</si>
  <si>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</si>
  <si>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</si>
  <si>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</si>
  <si>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</si>
  <si>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</si>
  <si>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</si>
  <si>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</si>
  <si>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</si>
  <si>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</si>
  <si>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</si>
  <si>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</si>
  <si>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</si>
  <si>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</si>
  <si>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</si>
  <si>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</si>
  <si>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</si>
  <si>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</si>
  <si>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</si>
  <si>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</si>
  <si>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</si>
  <si>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</si>
  <si>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</si>
  <si>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</si>
  <si>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</si>
  <si>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</si>
  <si>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</si>
  <si>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</si>
  <si>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</si>
  <si>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</si>
  <si>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</si>
  <si>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</si>
  <si>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</si>
  <si>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</si>
  <si>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</si>
  <si>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</si>
  <si>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</si>
  <si>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</si>
  <si>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</si>
  <si>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</si>
  <si>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</si>
  <si>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</si>
  <si>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</si>
  <si>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</si>
  <si>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</si>
  <si>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</si>
  <si>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</si>
  <si>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</si>
  <si>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</si>
  <si>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</si>
  <si>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</si>
  <si>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</si>
  <si>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</si>
  <si>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</si>
  <si>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</si>
  <si>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</si>
  <si>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</si>
  <si>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</si>
  <si>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</si>
  <si>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</si>
  <si>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</si>
  <si>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</si>
  <si>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</si>
  <si>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</si>
  <si>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</si>
  <si>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</si>
  <si>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</si>
  <si>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</si>
  <si>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</si>
  <si>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</si>
  <si>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</si>
  <si>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</si>
  <si>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</si>
  <si>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</si>
  <si>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</si>
  <si>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</si>
  <si>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</si>
  <si>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</si>
  <si>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</si>
  <si>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</si>
  <si>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</si>
  <si>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</si>
  <si>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</si>
  <si>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</si>
  <si>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</si>
  <si>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</si>
  <si>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</si>
  <si>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</si>
  <si>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</si>
  <si>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</si>
  <si>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</si>
  <si>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</si>
  <si>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</si>
  <si>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</si>
  <si>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</si>
  <si>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</si>
  <si>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</si>
  <si>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</si>
  <si>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</si>
  <si>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</si>
  <si>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</si>
  <si>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</si>
  <si>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</si>
  <si>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</si>
  <si>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</si>
  <si>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</si>
  <si>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</si>
  <si>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</si>
  <si>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</si>
  <si>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</si>
  <si>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</si>
  <si>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</si>
  <si>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</si>
  <si>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</si>
  <si>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</si>
  <si>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</si>
  <si>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</si>
  <si>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</si>
  <si>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</si>
  <si>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</si>
  <si>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</si>
  <si>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</si>
  <si>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</si>
  <si>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</si>
  <si>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</si>
  <si>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</si>
  <si>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</si>
  <si>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</si>
  <si>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</si>
  <si>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</si>
  <si>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</si>
  <si>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</si>
  <si>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</si>
  <si>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</si>
  <si>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</si>
  <si>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</si>
  <si>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</si>
  <si>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</si>
  <si>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</si>
  <si>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</si>
  <si>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</si>
  <si>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</si>
  <si>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</si>
  <si>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</si>
  <si>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</si>
  <si>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</si>
  <si>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</si>
  <si>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</si>
  <si>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</si>
  <si>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</si>
  <si>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</si>
  <si>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</si>
  <si>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</si>
  <si>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</si>
  <si>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</si>
  <si>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</si>
  <si>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</si>
  <si>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</si>
  <si>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</si>
  <si>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</si>
  <si>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</si>
  <si>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</si>
  <si>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</si>
  <si>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</si>
  <si>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</si>
  <si>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</si>
  <si>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</si>
  <si>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</si>
  <si>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</si>
  <si>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</si>
  <si>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</si>
  <si>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</si>
  <si>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</si>
  <si>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</si>
  <si>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</si>
  <si>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</si>
  <si>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</si>
  <si>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</si>
  <si>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</si>
  <si>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</si>
  <si>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</si>
  <si>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</si>
  <si>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</si>
  <si>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</si>
  <si>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</si>
  <si>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</si>
  <si>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</si>
  <si>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</si>
  <si>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</si>
  <si>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</si>
  <si>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</si>
  <si>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</si>
  <si>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</si>
  <si>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</si>
  <si>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</si>
  <si>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</si>
  <si>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</si>
  <si>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</si>
  <si>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</si>
  <si>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</si>
  <si>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</si>
  <si>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</si>
  <si>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</si>
  <si>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</si>
  <si>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</si>
  <si>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</si>
  <si>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</si>
  <si>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</si>
  <si>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</si>
  <si>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</si>
  <si>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</si>
  <si>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</si>
  <si>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</si>
  <si>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</si>
  <si>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</si>
  <si>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</si>
  <si>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</si>
  <si>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</si>
  <si>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</si>
  <si>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</si>
  <si>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</si>
  <si>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</si>
  <si>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</si>
  <si>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</si>
  <si>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</si>
  <si>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</si>
  <si>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</si>
  <si>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</si>
  <si>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</si>
  <si>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</si>
  <si>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</si>
  <si>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</si>
  <si>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</si>
  <si>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</si>
  <si>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</si>
  <si>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</si>
  <si>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</si>
  <si>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</si>
  <si>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</si>
  <si>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</si>
  <si>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</si>
  <si>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</si>
  <si>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</si>
  <si>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</si>
  <si>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</si>
  <si>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</si>
  <si>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</si>
  <si>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</si>
  <si>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</si>
  <si>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</si>
  <si>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</si>
  <si>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</si>
  <si>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</si>
  <si>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</si>
  <si>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</si>
  <si>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</si>
  <si>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</si>
  <si>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</si>
  <si>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</si>
  <si>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</si>
  <si>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</si>
  <si>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</si>
  <si>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</si>
  <si>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</si>
  <si>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</si>
  <si>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</si>
  <si>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</si>
  <si>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</si>
  <si>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</si>
  <si>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</si>
  <si>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</si>
  <si>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</si>
  <si>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</si>
  <si>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</si>
  <si>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</si>
  <si>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</si>
  <si>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</si>
  <si>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</si>
  <si>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</si>
  <si>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</si>
  <si>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</si>
  <si>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</si>
  <si>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</si>
  <si>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</si>
  <si>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</si>
  <si>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</si>
  <si>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</si>
  <si>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</si>
  <si>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</si>
  <si>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</si>
  <si>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</si>
  <si>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</si>
  <si>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</si>
  <si>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</si>
  <si>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</si>
  <si>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</si>
  <si>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</si>
  <si>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</si>
  <si>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</si>
  <si>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</si>
  <si>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</si>
  <si>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</si>
  <si>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</si>
  <si>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</si>
  <si>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</si>
  <si>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</si>
  <si>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</si>
  <si>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</si>
  <si>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</si>
  <si>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</si>
  <si>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</si>
  <si>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</si>
  <si>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</si>
  <si>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</si>
  <si>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</si>
  <si>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</si>
  <si>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</si>
  <si>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</si>
  <si>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</si>
  <si>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</si>
  <si>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</si>
  <si>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</si>
  <si>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</si>
  <si>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</si>
  <si>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</si>
  <si>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</si>
  <si>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</si>
  <si>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</si>
  <si>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</si>
  <si>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</si>
  <si>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</si>
  <si>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</si>
  <si>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</si>
  <si>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</si>
  <si>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</si>
  <si>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</si>
  <si>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</si>
  <si>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</si>
  <si>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</si>
  <si>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</si>
  <si>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</si>
  <si>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</si>
  <si>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</si>
  <si>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</si>
  <si>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</si>
  <si>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</si>
  <si>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</si>
  <si>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</si>
  <si>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</si>
  <si>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</si>
  <si>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</si>
  <si>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</si>
  <si>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</si>
  <si>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</si>
  <si>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</si>
  <si>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</si>
  <si>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</si>
  <si>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</si>
  <si>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</si>
  <si>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</si>
  <si>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</si>
  <si>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</si>
  <si>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</si>
  <si>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</si>
  <si>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</si>
  <si>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</si>
  <si>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</si>
  <si>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</si>
  <si>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</si>
  <si>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</si>
  <si>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</si>
  <si>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</si>
  <si>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</si>
  <si>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</si>
  <si>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</si>
  <si>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</si>
  <si>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</si>
  <si>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</si>
  <si>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</si>
  <si>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</si>
  <si>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</si>
  <si>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</si>
  <si>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</si>
  <si>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</si>
  <si>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</si>
  <si>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</si>
  <si>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</si>
  <si>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</si>
  <si>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</si>
  <si>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</si>
  <si>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</si>
  <si>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</si>
  <si>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</si>
  <si>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</si>
  <si>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</si>
  <si>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</si>
  <si>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</si>
  <si>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</si>
  <si>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</si>
  <si>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</si>
  <si>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</si>
  <si>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</si>
  <si>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</si>
  <si>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</si>
  <si>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</si>
  <si>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</si>
  <si>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</si>
  <si>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</si>
  <si>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</si>
  <si>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</si>
  <si>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</si>
  <si>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</si>
  <si>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</si>
  <si>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</si>
  <si>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</si>
  <si>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</si>
  <si>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</si>
  <si>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</si>
  <si>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</si>
  <si>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</si>
  <si>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</si>
  <si>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</si>
  <si>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</si>
  <si>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</si>
  <si>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</si>
  <si>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</si>
  <si>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</si>
  <si>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</si>
  <si>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</si>
  <si>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</si>
  <si>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</si>
  <si>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</si>
  <si>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</si>
  <si>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</si>
  <si>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</si>
  <si>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</si>
  <si>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</si>
  <si>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</si>
  <si>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</si>
  <si>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</si>
  <si>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</si>
  <si>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</si>
  <si>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</si>
  <si>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</si>
  <si>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</si>
  <si>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</si>
  <si>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</si>
  <si>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</si>
  <si>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</si>
  <si>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</si>
  <si>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</si>
  <si>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</si>
  <si>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</si>
  <si>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</si>
  <si>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</si>
  <si>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</si>
  <si>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</si>
  <si>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</si>
  <si>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</si>
  <si>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</si>
  <si>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</si>
  <si>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</si>
  <si>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</si>
  <si>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</si>
  <si>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</si>
  <si>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</si>
  <si>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</si>
  <si>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</si>
  <si>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</si>
  <si>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</si>
  <si>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</si>
  <si>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</si>
  <si>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</si>
  <si>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</si>
  <si>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</si>
  <si>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</si>
  <si>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</si>
  <si>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</si>
  <si>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</si>
  <si>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</si>
  <si>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</si>
  <si>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</si>
  <si>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</si>
  <si>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</si>
  <si>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</si>
  <si>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</si>
  <si>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</si>
  <si>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</si>
  <si>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</si>
  <si>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</si>
  <si>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</si>
  <si>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</si>
  <si>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</si>
  <si>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</si>
  <si>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</si>
  <si>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</si>
  <si>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</si>
  <si>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</si>
  <si>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</si>
  <si>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</si>
  <si>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</si>
  <si>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</si>
  <si>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</si>
  <si>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</si>
  <si>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</si>
  <si>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</si>
  <si>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</si>
  <si>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</si>
  <si>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</si>
  <si>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</si>
  <si>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</si>
  <si>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</si>
  <si>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</si>
  <si>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</si>
  <si>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</si>
  <si>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</si>
  <si>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</si>
  <si>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</si>
  <si>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</si>
  <si>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</si>
  <si>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</si>
  <si>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</si>
  <si>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</si>
  <si>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</si>
  <si>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</si>
  <si>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</si>
  <si>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</si>
  <si>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</si>
  <si>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</si>
  <si>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</si>
  <si>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</si>
  <si>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</si>
  <si>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</si>
  <si>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</si>
  <si>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</si>
  <si>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</si>
  <si>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</si>
  <si>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</si>
  <si>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</si>
  <si>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</si>
  <si>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</si>
  <si>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</si>
  <si>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</si>
  <si>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</si>
  <si>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</si>
  <si>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</si>
  <si>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</si>
  <si>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</si>
  <si>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</si>
  <si>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</si>
  <si>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</si>
  <si>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</si>
  <si>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</si>
  <si>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</si>
  <si>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</si>
  <si>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</si>
  <si>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</si>
  <si>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</si>
  <si>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</si>
  <si>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</si>
  <si>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</si>
  <si>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</si>
  <si>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</si>
  <si>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</si>
  <si>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</si>
  <si>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</si>
  <si>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</si>
  <si>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</si>
  <si>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</si>
  <si>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</si>
  <si>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</si>
  <si>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</si>
  <si>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</si>
  <si>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</si>
  <si>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</si>
  <si>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</si>
  <si>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</si>
  <si>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</si>
  <si>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</si>
  <si>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</si>
  <si>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</si>
  <si>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</si>
  <si>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</si>
  <si>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</si>
  <si>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</si>
  <si>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</si>
  <si>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</si>
  <si>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</si>
  <si>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</si>
  <si>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</si>
  <si>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</si>
  <si>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</si>
  <si>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</si>
  <si>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</si>
  <si>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</si>
  <si>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</si>
  <si>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</si>
  <si>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</si>
  <si>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</si>
  <si>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</si>
  <si>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</si>
  <si>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</si>
  <si>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</si>
  <si>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</si>
  <si>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</si>
  <si>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</si>
  <si>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</si>
  <si>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</si>
  <si>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</si>
  <si>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</si>
  <si>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</si>
  <si>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</si>
  <si>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</si>
  <si>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</si>
  <si>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</si>
  <si>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</si>
  <si>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</si>
  <si>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</si>
  <si>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</si>
  <si>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</si>
  <si>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</si>
  <si>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</si>
  <si>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</si>
  <si>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</si>
  <si>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</si>
  <si>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</si>
  <si>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</si>
  <si>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</si>
  <si>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</si>
  <si>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</si>
  <si>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</si>
  <si>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</si>
  <si>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</si>
  <si>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</si>
  <si>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</si>
  <si>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</si>
  <si>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</si>
  <si>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</si>
  <si>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</si>
  <si>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</si>
  <si>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</si>
  <si>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</si>
  <si>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</si>
  <si>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</si>
  <si>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</si>
  <si>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</si>
  <si>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</si>
  <si>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</si>
  <si>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</si>
  <si>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</si>
  <si>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</si>
  <si>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</si>
  <si>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</si>
  <si>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</si>
  <si>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</si>
  <si>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</si>
  <si>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</si>
  <si>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</si>
  <si>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</si>
  <si>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</si>
  <si>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</si>
  <si>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</si>
  <si>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</si>
  <si>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</si>
  <si>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</si>
  <si>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</si>
  <si>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</si>
  <si>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</si>
  <si>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</si>
  <si>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</si>
  <si>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</si>
  <si>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</si>
  <si>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</si>
  <si>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</si>
  <si>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</si>
  <si>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</si>
  <si>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</si>
  <si>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</si>
  <si>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</si>
  <si>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</si>
  <si>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</si>
  <si>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</si>
  <si>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</si>
  <si>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</si>
  <si>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</si>
  <si>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</si>
  <si>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</si>
  <si>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</si>
  <si>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</si>
  <si>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</si>
  <si>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</si>
  <si>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</si>
  <si>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</si>
  <si>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</si>
  <si>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</si>
  <si>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</si>
  <si>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</si>
  <si>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</si>
  <si>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</si>
  <si>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</si>
  <si>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</si>
  <si>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</si>
  <si>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</si>
  <si>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</si>
  <si>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</si>
  <si>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</si>
  <si>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</si>
  <si>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</si>
  <si>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</si>
  <si>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</si>
  <si>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</si>
  <si>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</si>
  <si>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</si>
  <si>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</si>
  <si>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</si>
  <si>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</si>
  <si>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</si>
  <si>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</si>
  <si>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</si>
  <si>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</si>
  <si>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</si>
  <si>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</si>
  <si>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</si>
  <si>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</si>
  <si>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</si>
  <si>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</si>
  <si>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</si>
  <si>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</si>
  <si>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</si>
  <si>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</si>
  <si>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</si>
  <si>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</si>
  <si>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</si>
  <si>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</si>
  <si>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</si>
  <si>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</si>
  <si>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</si>
  <si>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</si>
  <si>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</si>
  <si>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</si>
  <si>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</si>
  <si>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</si>
  <si>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</si>
  <si>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</si>
  <si>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</si>
  <si>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</si>
  <si>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</si>
  <si>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</si>
  <si>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</si>
  <si>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</si>
  <si>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</si>
  <si>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</si>
  <si>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</si>
  <si>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</si>
  <si>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</si>
  <si>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</si>
  <si>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</si>
  <si>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</si>
  <si>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</si>
  <si>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</si>
  <si>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</si>
  <si>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</si>
  <si>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</si>
  <si>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</si>
  <si>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</si>
  <si>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</si>
  <si>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</si>
  <si>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</si>
  <si>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</si>
  <si>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</si>
  <si>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</si>
  <si>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</si>
  <si>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</si>
  <si>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</si>
  <si>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</si>
  <si>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</si>
  <si>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</si>
  <si>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</si>
  <si>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</si>
  <si>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</si>
  <si>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</si>
  <si>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</si>
  <si>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</si>
  <si>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</si>
  <si>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</si>
  <si>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</si>
  <si>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</si>
  <si>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</si>
  <si>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</si>
  <si>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</si>
  <si>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</si>
  <si>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</si>
  <si>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</si>
  <si>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</si>
  <si>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</si>
  <si>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</si>
  <si>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</si>
  <si>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</si>
  <si>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</si>
  <si>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</si>
  <si>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</si>
  <si>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</si>
  <si>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</si>
  <si>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</si>
  <si>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</si>
  <si>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</si>
  <si>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</si>
  <si>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</si>
  <si>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</si>
  <si>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</si>
  <si>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</si>
  <si>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</si>
  <si>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</si>
  <si>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</si>
  <si>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</si>
  <si>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</si>
  <si>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</si>
  <si>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</si>
  <si>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</si>
  <si>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</si>
  <si>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</si>
  <si>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</si>
  <si>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</si>
  <si>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</si>
  <si>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</si>
  <si>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</si>
  <si>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</si>
  <si>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</si>
  <si>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</si>
  <si>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</si>
  <si>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</si>
  <si>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</si>
  <si>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</si>
  <si>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</si>
  <si>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</si>
  <si>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</si>
  <si>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</si>
  <si>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</si>
  <si>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</si>
  <si>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</si>
  <si>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</si>
  <si>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</si>
  <si>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</si>
  <si>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</si>
  <si>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</si>
  <si>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</si>
  <si>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</si>
  <si>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</si>
  <si>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</si>
  <si>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</si>
  <si>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</si>
  <si>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</si>
  <si>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</si>
  <si>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</si>
  <si>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</si>
  <si>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</si>
  <si>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</si>
  <si>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</si>
  <si>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</si>
  <si>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</si>
  <si>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</si>
  <si>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</si>
  <si>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</si>
  <si>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</si>
  <si>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</si>
  <si>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</si>
  <si>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</si>
  <si>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</si>
  <si>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</si>
  <si>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</si>
  <si>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</si>
  <si>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</si>
  <si>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</si>
  <si>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</si>
  <si>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</si>
  <si>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</si>
  <si>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</si>
  <si>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</si>
  <si>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</si>
  <si>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</si>
  <si>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</si>
  <si>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</si>
  <si>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</si>
  <si>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</si>
  <si>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</si>
  <si>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</si>
  <si>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</si>
  <si>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</si>
  <si>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</si>
  <si>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</si>
  <si>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</si>
  <si>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</si>
  <si>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</si>
  <si>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</si>
  <si>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</si>
  <si>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</si>
  <si>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</si>
  <si>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</si>
  <si>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</si>
  <si>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</si>
  <si>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</si>
  <si>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</si>
  <si>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</si>
  <si>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</si>
  <si>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</si>
  <si>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</si>
  <si>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</si>
  <si>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</si>
  <si>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</si>
  <si>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</si>
  <si>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</si>
  <si>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</si>
  <si>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</si>
  <si>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</si>
  <si>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</si>
  <si>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</si>
  <si>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</si>
  <si>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</si>
  <si>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</si>
  <si>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</si>
  <si>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</si>
  <si>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</si>
  <si>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</si>
  <si>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</si>
  <si>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</si>
  <si>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</si>
  <si>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</si>
  <si>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</si>
  <si>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</si>
  <si>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</si>
  <si>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</si>
  <si>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</si>
  <si>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</si>
  <si>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</si>
  <si>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</si>
  <si>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</si>
  <si>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</si>
  <si>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</si>
  <si>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</si>
  <si>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</si>
  <si>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</si>
  <si>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</si>
  <si>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</si>
  <si>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</si>
  <si>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</si>
  <si>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</si>
  <si>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</si>
  <si>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</si>
  <si>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</si>
  <si>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</si>
  <si>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</si>
  <si>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</si>
  <si>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</si>
  <si>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</si>
  <si>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</si>
  <si>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</si>
  <si>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</si>
  <si>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</si>
  <si>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</si>
  <si>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</si>
  <si>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</si>
  <si>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</si>
  <si>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</si>
  <si>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</si>
  <si>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</si>
  <si>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</si>
  <si>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</si>
  <si>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</si>
  <si>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</si>
  <si>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</si>
  <si>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</si>
  <si>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</si>
  <si>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</si>
  <si>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</si>
  <si>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</si>
  <si>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</si>
  <si>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</si>
  <si>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</si>
  <si>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</si>
  <si>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</si>
  <si>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</si>
  <si>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</si>
  <si>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</si>
  <si>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</si>
  <si>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</si>
  <si>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</si>
  <si>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</si>
  <si>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</si>
  <si>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</si>
  <si>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</si>
  <si>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</si>
  <si>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</si>
  <si>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</si>
  <si>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</si>
  <si>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</si>
  <si>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</si>
  <si>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</si>
  <si>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</si>
  <si>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</si>
  <si>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</si>
  <si>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</si>
  <si>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</si>
  <si>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</si>
  <si>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</si>
  <si>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</si>
  <si>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</si>
  <si>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</si>
  <si>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</si>
  <si>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</si>
  <si>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</si>
  <si>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</si>
  <si>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</si>
  <si>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</si>
  <si>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</si>
  <si>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</si>
  <si>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</si>
  <si>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</si>
  <si>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</si>
  <si>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</si>
  <si>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</si>
  <si>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</si>
  <si>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</si>
  <si>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</si>
  <si>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</si>
  <si>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</si>
  <si>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</si>
  <si>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</si>
  <si>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</si>
  <si>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</si>
  <si>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</si>
  <si>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</si>
  <si>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</si>
  <si>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</si>
  <si>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</si>
  <si>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</si>
  <si>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</si>
  <si>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</si>
  <si>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</si>
  <si>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</si>
  <si>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</si>
  <si>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</si>
  <si>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</si>
  <si>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</si>
  <si>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</si>
  <si>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</si>
  <si>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</si>
  <si>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</si>
  <si>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</si>
  <si>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</si>
  <si>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</si>
  <si>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</si>
  <si>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</si>
  <si>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</si>
  <si>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</si>
  <si>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</si>
  <si>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</si>
  <si>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</si>
  <si>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</si>
  <si>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</si>
  <si>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</si>
  <si>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</si>
  <si>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</si>
  <si>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</si>
  <si>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</si>
  <si>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</si>
  <si>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</si>
  <si>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</si>
  <si>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</si>
  <si>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</si>
  <si>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</si>
  <si>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</si>
  <si>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</si>
  <si>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</si>
  <si>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</si>
  <si>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</si>
  <si>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</si>
  <si>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</si>
  <si>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</si>
  <si>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</si>
  <si>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</si>
  <si>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</si>
  <si>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</si>
  <si>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</si>
  <si>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</si>
  <si>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</si>
  <si>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</si>
  <si>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</si>
  <si>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</si>
  <si>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</si>
  <si>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</si>
  <si>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</si>
  <si>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</si>
  <si>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</si>
  <si>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</si>
  <si>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</si>
  <si>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</si>
  <si>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</si>
  <si>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</si>
  <si>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</si>
  <si>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</si>
  <si>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</si>
  <si>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</si>
  <si>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</si>
  <si>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</si>
  <si>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</si>
  <si>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</si>
  <si>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</si>
  <si>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</si>
  <si>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</si>
  <si>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</si>
  <si>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</si>
  <si>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</si>
  <si>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</si>
  <si>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</si>
  <si>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</si>
  <si>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</si>
  <si>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</si>
  <si>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</si>
  <si>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</si>
  <si>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</si>
  <si>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</si>
  <si>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</si>
  <si>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</si>
  <si>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</si>
  <si>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</si>
  <si>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</si>
  <si>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</si>
  <si>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</si>
  <si>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</si>
  <si>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</si>
  <si>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</si>
  <si>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</si>
  <si>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</si>
  <si>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</si>
  <si>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</si>
  <si>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</si>
  <si>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</si>
  <si>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</si>
  <si>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</si>
  <si>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</si>
  <si>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</si>
  <si>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</si>
  <si>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</si>
  <si>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</si>
  <si>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</si>
  <si>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</si>
  <si>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</si>
  <si>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</si>
  <si>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</si>
  <si>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</si>
  <si>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</si>
  <si>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</si>
  <si>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</si>
  <si>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</si>
  <si>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</si>
  <si>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</si>
  <si>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</si>
  <si>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</si>
  <si>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</si>
  <si>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</si>
  <si>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</si>
  <si>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</si>
  <si>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</si>
  <si>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</si>
  <si>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</si>
  <si>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</si>
  <si>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</si>
  <si>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</si>
  <si>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</si>
  <si>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</si>
  <si>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</si>
  <si>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</si>
  <si>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</si>
  <si>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</si>
  <si>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</si>
  <si>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</si>
  <si>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</si>
  <si>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</si>
  <si>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</si>
  <si>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</si>
  <si>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</si>
  <si>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</si>
  <si>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</si>
  <si>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</si>
  <si>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</si>
  <si>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</si>
  <si>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</si>
  <si>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</si>
  <si>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</si>
  <si>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</si>
  <si>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</si>
  <si>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</si>
  <si>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</si>
  <si>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</si>
  <si>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</si>
  <si>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</si>
  <si>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</si>
  <si>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</si>
  <si>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</si>
  <si>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</si>
  <si>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</si>
  <si>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</si>
  <si>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</si>
  <si>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</si>
  <si>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</si>
  <si>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</si>
  <si>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</si>
  <si>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</si>
  <si>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</si>
  <si>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</si>
  <si>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</si>
  <si>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</si>
  <si>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</si>
  <si>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</si>
  <si>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</si>
  <si>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</si>
  <si>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</si>
  <si>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</si>
  <si>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</si>
  <si>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</si>
  <si>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</si>
  <si>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</si>
  <si>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</si>
  <si>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</si>
  <si>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</si>
  <si>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</si>
  <si>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</si>
  <si>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</si>
  <si>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</si>
  <si>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</si>
  <si>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</si>
  <si>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</si>
  <si>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</si>
  <si>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</si>
  <si>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</si>
  <si>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</si>
  <si>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</si>
  <si>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</si>
  <si>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</si>
  <si>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</si>
  <si>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</si>
  <si>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</si>
  <si>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</si>
  <si>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</si>
  <si>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</si>
  <si>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</si>
  <si>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</si>
  <si>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</si>
  <si>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</si>
  <si>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</si>
  <si>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</si>
  <si>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</si>
  <si>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</si>
  <si>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</si>
  <si>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</si>
  <si>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</si>
  <si>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</si>
  <si>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</si>
  <si>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</si>
  <si>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</si>
  <si>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</si>
  <si>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</si>
  <si>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</si>
  <si>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</si>
  <si>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</si>
  <si>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</si>
  <si>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</si>
  <si>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</si>
  <si>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</si>
  <si>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</si>
  <si>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</si>
  <si>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</si>
  <si>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</si>
  <si>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</si>
  <si>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</si>
  <si>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</si>
  <si>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</si>
  <si>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</si>
  <si>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</si>
  <si>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</si>
  <si>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</si>
  <si>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</si>
  <si>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</si>
  <si>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</si>
  <si>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</si>
  <si>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</si>
  <si>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</si>
  <si>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</si>
  <si>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</si>
  <si>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</si>
  <si>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</si>
  <si>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</si>
  <si>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</si>
  <si>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</si>
  <si>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</si>
  <si>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</si>
  <si>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</si>
  <si>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</si>
  <si>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</si>
  <si>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</si>
  <si>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</si>
  <si>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</si>
  <si>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</si>
  <si>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</si>
  <si>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</si>
  <si>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</si>
  <si>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</si>
  <si>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</si>
  <si>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</si>
  <si>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</si>
  <si>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</si>
  <si>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</si>
  <si>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</si>
  <si>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</si>
  <si>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</si>
  <si>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</si>
  <si>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</si>
  <si>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</si>
  <si>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</si>
  <si>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</si>
  <si>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</si>
  <si>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</si>
  <si>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</si>
  <si>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</si>
  <si>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</si>
  <si>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</si>
  <si>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</si>
  <si>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</si>
  <si>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</si>
  <si>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</si>
  <si>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</si>
  <si>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</si>
  <si>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</si>
  <si>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</si>
  <si>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</si>
  <si>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</si>
  <si>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</si>
  <si>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</si>
  <si>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</si>
  <si>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</si>
  <si>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</si>
  <si>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</si>
  <si>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</si>
  <si>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</si>
  <si>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</si>
  <si>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</si>
  <si>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</si>
  <si>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</si>
  <si>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</si>
  <si>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</si>
  <si>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</si>
  <si>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</si>
  <si>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</si>
  <si>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</si>
  <si>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</si>
  <si>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</si>
  <si>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</si>
  <si>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</si>
  <si>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</si>
  <si>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</si>
  <si>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</si>
  <si>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</si>
  <si>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</si>
  <si>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</si>
  <si>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</si>
  <si>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</si>
  <si>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</si>
  <si>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</si>
  <si>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</si>
  <si>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</si>
  <si>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</si>
  <si>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</si>
  <si>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</si>
  <si>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</si>
  <si>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</si>
  <si>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</si>
  <si>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</si>
  <si>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</si>
  <si>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</si>
  <si>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</si>
  <si>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</si>
  <si>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</si>
  <si>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</si>
  <si>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</si>
  <si>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</si>
  <si>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</si>
  <si>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</si>
  <si>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</si>
  <si>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</si>
  <si>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</si>
  <si>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</si>
  <si>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</si>
  <si>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</si>
  <si>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</si>
  <si>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</si>
  <si>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</si>
  <si>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</si>
  <si>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</si>
  <si>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</si>
  <si>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</si>
  <si>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</si>
  <si>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</si>
  <si>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</si>
  <si>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</si>
  <si>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</si>
  <si>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</si>
  <si>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</si>
  <si>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</si>
  <si>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</si>
  <si>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</si>
  <si>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</si>
  <si>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</si>
  <si>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</si>
  <si>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</si>
  <si>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</si>
  <si>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</si>
  <si>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</si>
  <si>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</si>
  <si>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</si>
  <si>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</si>
  <si>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</si>
  <si>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</si>
  <si>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</si>
  <si>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</si>
  <si>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</si>
  <si>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</si>
  <si>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</si>
  <si>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</si>
  <si>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</si>
  <si>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</si>
  <si>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</si>
  <si>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</si>
  <si>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</si>
  <si>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</si>
  <si>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</si>
  <si>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</si>
  <si>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</si>
  <si>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</si>
  <si>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</si>
  <si>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</si>
  <si>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</si>
  <si>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</si>
  <si>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</si>
  <si>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</si>
  <si>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</si>
  <si>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</si>
  <si>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</si>
  <si>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</si>
  <si>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</si>
  <si>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</si>
  <si>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</si>
  <si>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</si>
  <si>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</si>
  <si>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</si>
  <si>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</si>
  <si>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</si>
  <si>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</si>
  <si>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</si>
  <si>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</si>
  <si>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</si>
  <si>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</si>
  <si>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</si>
  <si>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</si>
  <si>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</si>
  <si>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</si>
  <si>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</si>
  <si>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</si>
  <si>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</si>
  <si>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</si>
  <si>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</si>
  <si>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</si>
  <si>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</si>
  <si>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</si>
  <si>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</si>
  <si>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</si>
  <si>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</si>
  <si>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</si>
  <si>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</si>
  <si>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</si>
  <si>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</si>
  <si>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</si>
  <si>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</si>
  <si>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</si>
  <si>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</si>
  <si>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</si>
  <si>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</si>
  <si>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</si>
  <si>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</si>
  <si>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</si>
  <si>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</si>
  <si>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</si>
  <si>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</si>
  <si>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</si>
  <si>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</si>
  <si>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</si>
  <si>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</si>
  <si>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</si>
  <si>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</si>
  <si>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</si>
  <si>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</si>
  <si>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</si>
  <si>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</si>
  <si>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</si>
  <si>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</si>
  <si>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</si>
  <si>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</si>
  <si>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</si>
  <si>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</si>
  <si>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</si>
  <si>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</si>
  <si>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</si>
  <si>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</si>
  <si>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</si>
  <si>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</si>
  <si>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</si>
  <si>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</si>
  <si>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</si>
  <si>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</si>
  <si>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</si>
  <si>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</si>
  <si>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</si>
  <si>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</si>
  <si>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</si>
  <si>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</si>
  <si>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</si>
  <si>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</si>
  <si>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</si>
  <si>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</si>
  <si>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</si>
  <si>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</si>
  <si>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</si>
  <si>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</si>
  <si>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</si>
  <si>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</si>
  <si>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</si>
  <si>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</si>
  <si>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</si>
  <si>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</si>
  <si>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</si>
  <si>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</si>
  <si>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</si>
  <si>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</si>
  <si>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</si>
  <si>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</si>
  <si>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</si>
  <si>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</si>
  <si>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</si>
  <si>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</si>
  <si>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</si>
  <si>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</si>
  <si>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</si>
  <si>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</si>
  <si>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</si>
  <si>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</si>
  <si>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</si>
  <si>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</si>
  <si>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</si>
  <si>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</si>
  <si>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</si>
  <si>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</si>
  <si>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</si>
  <si>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</si>
  <si>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</si>
  <si>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</si>
  <si>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</si>
  <si>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</si>
  <si>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</si>
  <si>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</si>
  <si>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</si>
  <si>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</si>
  <si>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</si>
  <si>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</si>
  <si>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</si>
  <si>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</si>
  <si>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</si>
  <si>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</si>
  <si>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</si>
  <si>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</si>
  <si>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</si>
  <si>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</si>
  <si>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</si>
  <si>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</si>
  <si>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</si>
  <si>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</si>
  <si>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</si>
  <si>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</si>
  <si>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</si>
  <si>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</si>
  <si>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</si>
  <si>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</si>
  <si>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</si>
  <si>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</si>
  <si>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</si>
  <si>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</si>
  <si>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</si>
  <si>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</si>
  <si>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</si>
  <si>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</si>
  <si>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</si>
  <si>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</si>
  <si>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</si>
  <si>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</si>
  <si>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</si>
  <si>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</si>
  <si>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</si>
  <si>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</si>
  <si>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</si>
  <si>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</si>
  <si>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</si>
  <si>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</si>
  <si>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</si>
  <si>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</si>
  <si>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</si>
  <si>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</si>
  <si>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</si>
  <si>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</si>
  <si>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</si>
  <si>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</si>
  <si>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</si>
  <si>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</si>
  <si>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</si>
  <si>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</si>
  <si>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</si>
  <si>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</si>
  <si>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</si>
  <si>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</si>
  <si>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</si>
  <si>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</si>
  <si>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</si>
  <si>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</si>
  <si>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</si>
  <si>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</si>
  <si>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</si>
  <si>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</si>
  <si>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</si>
  <si>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</si>
  <si>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</si>
  <si>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</si>
  <si>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</si>
  <si>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</si>
  <si>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</si>
  <si>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</si>
  <si>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</si>
  <si>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</si>
  <si>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</si>
  <si>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</si>
  <si>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</si>
  <si>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</si>
  <si>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</si>
  <si>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</si>
  <si>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</si>
  <si>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</si>
  <si>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</si>
  <si>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</si>
  <si>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</si>
  <si>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</si>
  <si>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</si>
  <si>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</si>
  <si>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</si>
  <si>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</si>
  <si>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</si>
  <si>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</si>
  <si>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</si>
  <si>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</si>
  <si>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</si>
  <si>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</si>
  <si>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</si>
  <si>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</si>
  <si>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</si>
  <si>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</si>
  <si>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</si>
  <si>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</si>
  <si>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</si>
  <si>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</si>
  <si>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</si>
  <si>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</si>
  <si>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</si>
  <si>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</si>
  <si>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</si>
  <si>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</si>
  <si>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</si>
  <si>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</si>
  <si>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</si>
  <si>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</si>
  <si>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</si>
  <si>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</si>
  <si>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</si>
  <si>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</si>
  <si>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</si>
  <si>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</si>
  <si>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</si>
  <si>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</si>
  <si>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</si>
  <si>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</si>
  <si>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</si>
  <si>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</si>
  <si>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</si>
  <si>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</si>
  <si>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</si>
  <si>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</si>
  <si>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</si>
  <si>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</si>
  <si>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</si>
  <si>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</si>
  <si>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</si>
  <si>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</si>
  <si>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</si>
  <si>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</si>
  <si>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</si>
  <si>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</si>
  <si>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</si>
  <si>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</si>
  <si>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</si>
  <si>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</si>
  <si>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</si>
  <si>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</si>
  <si>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</si>
  <si>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</si>
  <si>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</si>
  <si>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</si>
  <si>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</si>
  <si>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</si>
  <si>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</si>
  <si>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</si>
  <si>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</si>
  <si>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</si>
  <si>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</si>
  <si>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</si>
  <si>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</si>
  <si>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</si>
  <si>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</si>
  <si>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</si>
  <si>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</si>
  <si>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</si>
  <si>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</si>
  <si>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</si>
  <si>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</si>
  <si>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</si>
  <si>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</si>
  <si>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</si>
  <si>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</si>
  <si>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</si>
  <si>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</si>
  <si>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</si>
  <si>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</si>
  <si>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</si>
  <si>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</si>
  <si>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</si>
  <si>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</si>
  <si>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</si>
  <si>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</si>
  <si>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</si>
  <si>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</si>
  <si>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</si>
  <si>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</si>
  <si>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</si>
  <si>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</si>
  <si>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</si>
  <si>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</si>
  <si>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</si>
  <si>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</si>
  <si>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</si>
  <si>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</si>
  <si>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</si>
  <si>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</si>
  <si>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</si>
  <si>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</si>
  <si>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</si>
  <si>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</si>
  <si>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</si>
  <si>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</si>
  <si>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</si>
  <si>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</si>
  <si>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</si>
  <si>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</si>
  <si>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</si>
  <si>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</si>
  <si>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</si>
  <si>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</si>
  <si>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</si>
  <si>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</si>
  <si>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</si>
  <si>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</si>
  <si>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</si>
  <si>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</si>
  <si>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</si>
  <si>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</si>
  <si>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</si>
  <si>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</si>
  <si>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</si>
  <si>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</si>
  <si>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</si>
  <si>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</si>
  <si>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</si>
  <si>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</si>
  <si>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</si>
  <si>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</si>
  <si>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</si>
  <si>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</si>
  <si>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</si>
  <si>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</si>
  <si>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</si>
  <si>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</si>
  <si>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</si>
  <si>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</si>
  <si>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</si>
  <si>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</si>
  <si>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</si>
  <si>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</si>
  <si>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</si>
  <si>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</si>
  <si>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</si>
  <si>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</si>
  <si>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</si>
  <si>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</si>
  <si>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</si>
  <si>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</si>
  <si>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</si>
  <si>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</si>
  <si>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</si>
  <si>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</si>
  <si>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</si>
  <si>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</si>
  <si>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</si>
  <si>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</si>
  <si>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</si>
  <si>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</si>
  <si>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</si>
  <si>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</si>
  <si>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</si>
  <si>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</si>
  <si>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</si>
  <si>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</si>
  <si>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</si>
  <si>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</si>
  <si>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</si>
  <si>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</si>
  <si>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</si>
  <si>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</si>
  <si>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</si>
  <si>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</si>
  <si>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</si>
  <si>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</si>
  <si>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</si>
  <si>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</si>
  <si>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</si>
  <si>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</si>
  <si>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</si>
  <si>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</si>
  <si>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</si>
  <si>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</si>
  <si>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</si>
  <si>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</si>
  <si>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</si>
  <si>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</si>
  <si>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</si>
  <si>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</si>
  <si>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</si>
  <si>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</si>
  <si>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</si>
  <si>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</si>
  <si>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</si>
  <si>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</si>
  <si>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</si>
  <si>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</si>
  <si>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</si>
  <si>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</si>
  <si>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</si>
  <si>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</si>
  <si>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</si>
  <si>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</si>
  <si>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</si>
  <si>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</si>
  <si>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</si>
  <si>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</si>
  <si>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</si>
  <si>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</si>
  <si>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</si>
  <si>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</si>
  <si>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</si>
  <si>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</si>
  <si>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</si>
  <si>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</si>
  <si>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</si>
  <si>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</si>
  <si>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</si>
  <si>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</si>
  <si>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</si>
  <si>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</si>
  <si>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</si>
  <si>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</si>
  <si>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</si>
  <si>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</si>
  <si>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</si>
  <si>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</si>
  <si>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</si>
  <si>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</si>
  <si>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</si>
  <si>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</si>
  <si>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</si>
  <si>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</si>
  <si>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</si>
  <si>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</si>
  <si>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</si>
  <si>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</si>
  <si>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</si>
  <si>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</si>
  <si>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</si>
  <si>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</si>
  <si>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</si>
  <si>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</si>
  <si>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</si>
  <si>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</si>
  <si>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</si>
  <si>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</si>
  <si>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</si>
  <si>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</si>
  <si>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</si>
  <si>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</si>
  <si>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</si>
  <si>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</si>
  <si>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</si>
  <si>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</si>
  <si>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</si>
  <si>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</si>
  <si>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</si>
  <si>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</si>
  <si>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</si>
  <si>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</si>
  <si>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</si>
  <si>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</si>
  <si>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</si>
  <si>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</si>
  <si>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</si>
  <si>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</si>
  <si>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</si>
  <si>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</si>
  <si>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</si>
  <si>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</si>
  <si>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</si>
  <si>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</si>
  <si>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</si>
  <si>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</si>
  <si>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</si>
  <si>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</si>
  <si>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</si>
  <si>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</si>
  <si>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</si>
  <si>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</si>
  <si>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</si>
  <si>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</si>
  <si>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</si>
  <si>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</si>
  <si>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</si>
  <si>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</si>
  <si>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</si>
  <si>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</si>
  <si>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</si>
  <si>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</si>
  <si>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</si>
  <si>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</si>
  <si>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</si>
  <si>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</si>
  <si>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</si>
  <si>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</si>
  <si>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</si>
  <si>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</si>
  <si>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</si>
  <si>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</si>
  <si>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</si>
  <si>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</si>
  <si>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</si>
  <si>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</si>
  <si>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</si>
  <si>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</si>
  <si>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</si>
  <si>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</si>
  <si>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</si>
  <si>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</si>
  <si>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</si>
  <si>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</si>
  <si>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</si>
  <si>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</si>
  <si>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</si>
  <si>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</si>
  <si>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</si>
  <si>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</si>
  <si>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</si>
  <si>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</si>
  <si>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</si>
  <si>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</si>
  <si>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</si>
  <si>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</si>
  <si>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</si>
  <si>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</si>
  <si>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</si>
  <si>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</si>
  <si>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</si>
  <si>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</si>
  <si>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</si>
  <si>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</si>
  <si>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</si>
  <si>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</si>
  <si>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</si>
  <si>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</si>
  <si>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</si>
  <si>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</si>
  <si>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</si>
  <si>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</si>
  <si>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</si>
  <si>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</si>
  <si>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</si>
  <si>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</si>
  <si>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</si>
  <si>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</si>
  <si>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</si>
  <si>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</si>
  <si>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</si>
  <si>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</si>
  <si>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</si>
  <si>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</si>
  <si>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</si>
  <si>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</si>
  <si>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</si>
  <si>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</si>
  <si>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</si>
  <si>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</si>
  <si>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</si>
  <si>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</si>
  <si>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</si>
  <si>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</si>
  <si>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</si>
  <si>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</si>
  <si>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</si>
  <si>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</si>
  <si>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</si>
  <si>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</si>
  <si>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</si>
  <si>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</si>
  <si>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</si>
  <si>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</si>
  <si>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</si>
  <si>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</si>
  <si>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</si>
  <si>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</si>
  <si>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</si>
  <si>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</si>
  <si>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</si>
  <si>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</si>
  <si>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</si>
  <si>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</si>
  <si>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</si>
  <si>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</si>
  <si>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</si>
  <si>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</si>
  <si>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</si>
  <si>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</si>
  <si>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</si>
  <si>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</si>
  <si>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</si>
  <si>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</si>
  <si>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</si>
  <si>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</si>
  <si>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</si>
  <si>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</si>
  <si>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</si>
  <si>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</si>
  <si>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</si>
  <si>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</si>
  <si>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</si>
  <si>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</si>
  <si>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</si>
  <si>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</si>
  <si>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</si>
  <si>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</si>
  <si>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</si>
  <si>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</si>
  <si>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</si>
  <si>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</si>
  <si>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</si>
  <si>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</si>
  <si>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</si>
  <si>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</si>
  <si>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</si>
  <si>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</si>
  <si>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</si>
  <si>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</si>
  <si>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</si>
  <si>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</si>
  <si>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</si>
  <si>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</si>
  <si>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</si>
  <si>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</si>
  <si>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</si>
  <si>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</si>
  <si>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</si>
  <si>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</si>
  <si>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</si>
  <si>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</si>
  <si>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</si>
  <si>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</si>
  <si>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</si>
  <si>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</si>
  <si>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</si>
  <si>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</si>
  <si>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</si>
  <si>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</si>
  <si>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</si>
  <si>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</si>
  <si>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</si>
  <si>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</si>
  <si>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</si>
  <si>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</si>
  <si>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</si>
  <si>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</si>
  <si>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</si>
  <si>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</si>
  <si>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</si>
  <si>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</si>
  <si>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</si>
  <si>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</si>
  <si>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</si>
  <si>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</si>
  <si>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</si>
  <si>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</si>
  <si>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</si>
  <si>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</si>
  <si>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</si>
  <si>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</si>
  <si>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</si>
  <si>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</si>
  <si>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</si>
  <si>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</si>
  <si>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</si>
  <si>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</si>
  <si>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</si>
  <si>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</si>
  <si>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</si>
  <si>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</si>
  <si>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</si>
  <si>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</si>
  <si>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</si>
  <si>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</si>
  <si>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</si>
  <si>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</si>
  <si>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</si>
  <si>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</si>
  <si>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</si>
  <si>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</si>
  <si>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</si>
  <si>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</si>
  <si>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</si>
  <si>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</si>
  <si>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</si>
  <si>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</si>
  <si>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</si>
  <si>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</si>
  <si>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</si>
  <si>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</si>
  <si>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</si>
  <si>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</si>
  <si>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</si>
  <si>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</si>
  <si>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</si>
  <si>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</si>
  <si>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</si>
  <si>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</si>
  <si>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</si>
  <si>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</si>
  <si>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</si>
  <si>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</si>
  <si>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</si>
  <si>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</si>
  <si>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</si>
  <si>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</si>
  <si>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</si>
  <si>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</si>
  <si>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</si>
  <si>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</si>
  <si>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100-150</t>
  </si>
  <si>
    <t>200-250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</si>
  <si>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</si>
  <si>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</si>
  <si>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</si>
  <si>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</si>
  <si>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</si>
  <si>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</si>
  <si>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</si>
  <si>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</si>
  <si>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</si>
  <si>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</si>
  <si>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</si>
  <si>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</si>
  <si>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</si>
  <si>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</si>
  <si>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</si>
  <si>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</si>
  <si>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</si>
  <si>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</si>
  <si>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</si>
  <si>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</si>
  <si>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</si>
  <si>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</si>
  <si>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</si>
  <si>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</si>
  <si>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</si>
  <si>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</si>
  <si>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</si>
  <si>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</si>
  <si>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</si>
  <si>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</si>
  <si>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</si>
  <si>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</si>
  <si>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</si>
  <si>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</si>
  <si>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</si>
  <si>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</si>
  <si>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</si>
  <si>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</si>
  <si>
    <t>https://office.fang.com/shou/3_430180770.html?channel=1,32</t>
    <phoneticPr fontId="143" type="noConversion"/>
  </si>
  <si>
    <t>250-300</t>
  </si>
  <si>
    <t>150-200</t>
    <phoneticPr fontId="32" type="noConversion"/>
  </si>
  <si>
    <t>100-150</t>
    <phoneticPr fontId="32" type="noConversion"/>
  </si>
  <si>
    <r>
      <t>1000</t>
    </r>
    <r>
      <rPr>
        <sz val="11"/>
        <rFont val="宋体"/>
        <family val="3"/>
        <charset val="134"/>
      </rPr>
      <t>以上</t>
    </r>
    <phoneticPr fontId="32" type="noConversion"/>
  </si>
  <si>
    <t>250-300</t>
    <phoneticPr fontId="32" type="noConversion"/>
  </si>
  <si>
    <t>300-500</t>
  </si>
  <si>
    <t>300-500</t>
    <phoneticPr fontId="32" type="noConversion"/>
  </si>
  <si>
    <t>500-750</t>
    <phoneticPr fontId="32" type="noConversion"/>
  </si>
  <si>
    <t>750-1000</t>
    <phoneticPr fontId="32" type="noConversion"/>
  </si>
  <si>
    <r>
      <t>1000</t>
    </r>
    <r>
      <rPr>
        <sz val="11"/>
        <rFont val="宋体"/>
        <family val="3"/>
        <charset val="134"/>
      </rPr>
      <t>以上</t>
    </r>
    <phoneticPr fontId="32" type="noConversion"/>
  </si>
  <si>
    <t>按租金收入计税</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</si>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</sst>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4" fillId="6" borderId="7" xfId="1" applyFont="1" applyFill="1" applyBorder="1" applyAlignment="1" applyProtection="1">
      <alignment vertical="center"/>
      <protection locked="0"/>
    </xf>
    <xf numFmtId="0" fontId="99" fillId="0" borderId="0" xfId="0" applyFont="1">
      <alignment vertical="center"/>
    </xf>
    <xf numFmtId="0" fontId="47" fillId="17" borderId="23" xfId="0" applyFont="1" applyFill="1" applyBorder="1" applyAlignment="1" applyProtection="1">
      <alignment vertical="center"/>
      <protection locked="0"/>
    </xf>
    <xf numFmtId="0" fontId="254" fillId="0" borderId="0" xfId="17">
      <alignment vertical="center"/>
    </xf>
    <xf numFmtId="0" fontId="54" fillId="17" borderId="37"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twoCellAnchor editAs="oneCell">
    <xdr:from>
      <xdr:col>0</xdr:col>
      <xdr:colOff>0</xdr:colOff>
      <xdr:row>23</xdr:row>
      <xdr:rowOff>77870</xdr:rowOff>
    </xdr:from>
    <xdr:to>
      <xdr:col>6</xdr:col>
      <xdr:colOff>160735</xdr:colOff>
      <xdr:row>38</xdr:row>
      <xdr:rowOff>8857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048604"/>
          <a:ext cx="4268391" cy="25205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s://office.fang.com/shou/3_430180770.html?channel=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483</v>
      </c>
    </row>
    <row r="21" spans="1:2" s="1593" customFormat="1">
      <c r="A21" s="1591" t="s">
        <v>1231</v>
      </c>
      <c r="B21" s="1592">
        <f ca="1">'预评函-2'!D7</f>
        <v>4230</v>
      </c>
    </row>
    <row r="22" spans="1:2" s="1593" customFormat="1">
      <c r="A22" s="1591" t="s">
        <v>1232</v>
      </c>
      <c r="B22" s="1592" t="str">
        <f ca="1">'预评函-2'!D6</f>
        <v>肆佰捌拾叁万元整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483</v>
      </c>
    </row>
    <row r="31" spans="1:2" s="1593" customFormat="1">
      <c r="A31" s="1591" t="s">
        <v>1270</v>
      </c>
      <c r="B31" s="1592">
        <f ca="1">'预评函-2'!D15</f>
        <v>4230</v>
      </c>
    </row>
    <row r="32" spans="1:2" s="1593" customFormat="1">
      <c r="A32" s="1591" t="s">
        <v>1237</v>
      </c>
      <c r="B32" s="1592" t="str">
        <f ca="1">'预评函-2'!D14</f>
        <v>肆佰捌拾叁万元整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9"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9"/>
      <c r="B54" s="2017" t="s">
        <v>861</v>
      </c>
      <c r="C54" s="2014" t="s">
        <v>1277</v>
      </c>
    </row>
    <row r="55" spans="1:4">
      <c r="A55" s="3019"/>
      <c r="B55" s="2017" t="s">
        <v>862</v>
      </c>
      <c r="C55" s="2014" t="s">
        <v>1278</v>
      </c>
    </row>
    <row r="56" spans="1:4">
      <c r="A56" s="3019"/>
      <c r="B56" s="2017" t="s">
        <v>863</v>
      </c>
      <c r="C56" s="2014" t="s">
        <v>1282</v>
      </c>
    </row>
    <row r="57" spans="1:4">
      <c r="A57" s="3019"/>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6" sqref="H2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28"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29"/>
      <c r="D1" s="3029"/>
      <c r="E1" s="3029"/>
      <c r="F1" s="3029"/>
      <c r="G1" s="3029"/>
      <c r="H1" s="3029"/>
      <c r="I1" s="303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31"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32"/>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38" t="s">
        <v>3063</v>
      </c>
      <c r="C16" s="3039"/>
      <c r="D16" s="3040"/>
      <c r="E16" s="2079" t="s">
        <v>1798</v>
      </c>
      <c r="F16" s="3041"/>
      <c r="G16" s="3042"/>
      <c r="H16" s="3042"/>
      <c r="I16" s="3043"/>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44" t="s">
        <v>1802</v>
      </c>
      <c r="F17" s="3045"/>
      <c r="G17" s="3045"/>
      <c r="H17" s="3045"/>
      <c r="I17" s="3046"/>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47" t="s">
        <v>1805</v>
      </c>
      <c r="F18" s="3048"/>
      <c r="G18" s="3048"/>
      <c r="H18" s="3048"/>
      <c r="I18" s="3049"/>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34" t="s">
        <v>1810</v>
      </c>
      <c r="C20" s="3035"/>
      <c r="D20" s="3036" t="s">
        <v>1811</v>
      </c>
      <c r="E20" s="3037"/>
      <c r="F20" s="2091" t="s">
        <v>1812</v>
      </c>
      <c r="G20" s="2037"/>
      <c r="H20" s="2037"/>
      <c r="I20" s="2037"/>
      <c r="J20" s="2037"/>
      <c r="K20" s="3033"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21"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21"/>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21"/>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22"/>
      <c r="B30" s="2030" t="s">
        <v>1826</v>
      </c>
      <c r="C30" s="3023"/>
      <c r="D30" s="3024"/>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25"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26"/>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26"/>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20" t="s">
        <v>1836</v>
      </c>
      <c r="T34" s="2128" t="str">
        <f>NUMBERSTRING(7-K34,1)&amp;"通"</f>
        <v>五通</v>
      </c>
      <c r="U34" s="2024"/>
      <c r="V34" s="2024"/>
    </row>
    <row r="35" spans="1:22" ht="18" customHeight="1">
      <c r="A35" s="2129"/>
      <c r="B35" s="3027" t="s">
        <v>1837</v>
      </c>
      <c r="C35" s="3027"/>
      <c r="D35" s="3027"/>
      <c r="E35" s="3027"/>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0"/>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F16:L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61" t="s">
        <v>1933</v>
      </c>
      <c r="B2" s="3061"/>
      <c r="C2" s="3061"/>
      <c r="D2" s="967" t="s">
        <v>1909</v>
      </c>
      <c r="E2" s="2221" t="s">
        <v>1910</v>
      </c>
      <c r="F2" s="1392"/>
      <c r="G2" s="2222"/>
      <c r="H2" s="2223"/>
      <c r="I2" s="2224" t="s">
        <v>1934</v>
      </c>
      <c r="J2" s="1392"/>
      <c r="K2" s="1392"/>
      <c r="L2" s="1392"/>
      <c r="M2" s="1392"/>
      <c r="N2" s="1427"/>
      <c r="O2" s="1392"/>
      <c r="P2" s="1392"/>
    </row>
    <row r="3" spans="1:16" ht="15.75" thickBot="1">
      <c r="A3" s="3062" t="s">
        <v>1907</v>
      </c>
      <c r="B3" s="3062"/>
      <c r="C3" s="3062"/>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63"/>
      <c r="B4" s="3064"/>
      <c r="C4" s="3065"/>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66" t="s">
        <v>1912</v>
      </c>
      <c r="C5" s="3066"/>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66" t="s">
        <v>1913</v>
      </c>
      <c r="C6" s="3066"/>
      <c r="D6" s="48">
        <f>ROUND($D$3*E6/$E$3,2)</f>
        <v>0</v>
      </c>
      <c r="E6" s="49">
        <f>E3-E5</f>
        <v>1141.77</v>
      </c>
      <c r="F6" s="1392"/>
      <c r="G6" s="2229" t="s">
        <v>1914</v>
      </c>
      <c r="H6" s="1399" t="s">
        <v>1915</v>
      </c>
      <c r="I6" s="939" t="e">
        <f>ROUND(F31/D31,2)</f>
        <v>#DIV/0!</v>
      </c>
      <c r="J6" s="1392"/>
      <c r="K6" s="1392"/>
      <c r="L6" s="1392"/>
      <c r="M6" s="1392"/>
      <c r="N6" s="1392"/>
      <c r="O6" s="1392"/>
      <c r="P6" s="1392"/>
    </row>
    <row r="7" spans="1:16" ht="15">
      <c r="A7" s="3058"/>
      <c r="B7" s="3059"/>
      <c r="C7" s="3060"/>
      <c r="D7" s="2225" t="s">
        <v>1909</v>
      </c>
      <c r="E7" s="2230" t="s">
        <v>1916</v>
      </c>
      <c r="F7" s="1392"/>
      <c r="G7" s="2222" t="s">
        <v>1917</v>
      </c>
      <c r="H7" s="64"/>
      <c r="I7" s="420">
        <v>2.4</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55" t="s">
        <v>1937</v>
      </c>
      <c r="L16" s="3056"/>
      <c r="M16" s="3056"/>
      <c r="N16" s="3056"/>
      <c r="O16" s="3056"/>
      <c r="P16" s="3057"/>
    </row>
    <row r="17" spans="1:19" ht="15">
      <c r="A17" s="2236" t="s">
        <v>1938</v>
      </c>
      <c r="B17" s="2237" t="s">
        <v>1939</v>
      </c>
      <c r="C17" s="2238" t="s">
        <v>1940</v>
      </c>
      <c r="D17" s="2239" t="s">
        <v>1928</v>
      </c>
      <c r="E17" s="2240" t="s">
        <v>1929</v>
      </c>
      <c r="F17" s="2241"/>
      <c r="G17" s="2242"/>
      <c r="H17" s="2243" t="s">
        <v>1941</v>
      </c>
      <c r="I17" s="2244" t="s">
        <v>1926</v>
      </c>
      <c r="J17" s="1392"/>
      <c r="K17" s="3052" t="s">
        <v>1942</v>
      </c>
      <c r="L17" s="3053"/>
      <c r="M17" s="3054"/>
      <c r="N17" s="3052" t="s">
        <v>1943</v>
      </c>
      <c r="O17" s="3053"/>
      <c r="P17" s="3054"/>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0.76</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2966">
        <f>'比较法-办公租金'!C50</f>
        <v>8.3000000000000007</v>
      </c>
      <c r="V6" s="2975">
        <v>0.03</v>
      </c>
      <c r="W6" s="79">
        <v>0.1</v>
      </c>
      <c r="X6" s="1261"/>
      <c r="Y6" s="80">
        <v>0.76</v>
      </c>
      <c r="Z6" s="81"/>
      <c r="AA6" s="74"/>
      <c r="AB6" s="74"/>
      <c r="AC6" s="1261"/>
      <c r="AD6" s="82"/>
      <c r="AE6" s="1262">
        <f ca="1">IF(AN6="",0,SUMIF(INDIRECT("'"&amp;AN6&amp;"'"&amp;"!E:E"),$AE$5,INDIRECT("'"&amp;AN6&amp;"'"&amp;"!F:F")))</f>
        <v>35.32</v>
      </c>
      <c r="AF6" s="1799"/>
      <c r="AG6" s="147">
        <f>IF(AF6="",0,AE6-AF6)</f>
        <v>0</v>
      </c>
      <c r="AH6" s="83"/>
      <c r="AI6" s="85">
        <v>365</v>
      </c>
      <c r="AJ6" s="86"/>
      <c r="AK6" s="2972">
        <v>2.5000000000000001E-2</v>
      </c>
      <c r="AL6" s="2973">
        <v>3.0000000000000001E-3</v>
      </c>
      <c r="AM6" s="2974">
        <v>0.03</v>
      </c>
      <c r="AN6" s="2303" t="s">
        <v>3100</v>
      </c>
      <c r="AO6" s="55">
        <f ca="1">SUMIF(INDIRECT("'"&amp;AN6&amp;"'"&amp;"!A:A"),"总价",INDIRECT("'"&amp;AN6&amp;"'"&amp;"!B:B"))</f>
        <v>480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0.76</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f ca="1">典型户型修正!S22</f>
        <v>5358</v>
      </c>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0.76</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2.5000000000000001E-2</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2.5000000000000001E-2</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7" t="s">
        <v>2078</v>
      </c>
      <c r="B1" s="3068"/>
      <c r="C1" s="3068"/>
      <c r="D1" s="3068"/>
      <c r="E1" s="3068"/>
      <c r="F1" s="3068"/>
      <c r="G1" s="306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5" sqref="C25"/>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5358</v>
      </c>
      <c r="C5" s="1738">
        <f ca="1">ROUND(B5*10000/$B$1,0)</f>
        <v>46927</v>
      </c>
      <c r="D5" s="1738" t="e">
        <f ca="1">ROUND(B5*10000/$B$2,0)</f>
        <v>#DIV/0!</v>
      </c>
      <c r="E5" s="1737"/>
      <c r="F5" s="1735"/>
      <c r="G5" s="1735"/>
    </row>
    <row r="6" spans="1:10" ht="16.5">
      <c r="A6" s="1738" t="s">
        <v>1352</v>
      </c>
      <c r="B6" s="1738">
        <f ca="1">SUM(G14:G23)</f>
        <v>5358</v>
      </c>
      <c r="C6" s="1738">
        <f ca="1">ROUND(B6*10000/$B$1,0)</f>
        <v>46927</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483</v>
      </c>
      <c r="E14" s="1736">
        <f ca="1">ROUND(D14*10000/B14,0)</f>
        <v>4230</v>
      </c>
      <c r="F14" s="1736" t="e">
        <f ca="1">ROUND(D14*10000/C14,0)</f>
        <v>#DIV/0!</v>
      </c>
      <c r="G14" s="1736">
        <f ca="1">结果表!D122</f>
        <v>483</v>
      </c>
      <c r="H14" s="1736" t="str">
        <f>结果表!D124</f>
        <v>——</v>
      </c>
      <c r="I14" s="1736" t="str">
        <f>结果表!D126</f>
        <v>——</v>
      </c>
      <c r="J14" s="1735"/>
    </row>
    <row r="15" spans="1:10" ht="16.5">
      <c r="A15" s="1734" t="s">
        <v>1345</v>
      </c>
      <c r="B15" s="1741"/>
      <c r="C15" s="1741"/>
      <c r="D15" s="1741">
        <f ca="1">SUM(典型户型修正!S25:S32)-1</f>
        <v>4875</v>
      </c>
      <c r="E15" s="1736" t="e">
        <f t="shared" ref="E15:E23" ca="1" si="0">ROUND(D15*10000/B15,0)</f>
        <v>#DIV/0!</v>
      </c>
      <c r="F15" s="1736" t="e">
        <f t="shared" ref="F15:F23" ca="1" si="1">ROUND(D15*10000/C15,0)</f>
        <v>#DIV/0!</v>
      </c>
      <c r="G15" s="1742">
        <f ca="1">D15</f>
        <v>4875</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102" t="str">
        <f>项目基本情况!S2</f>
        <v>北京市西城区西直门外大街1号院2号楼17层19C5-19C13房地产</v>
      </c>
      <c r="B2" s="3103"/>
      <c r="C2" s="3103"/>
      <c r="D2" s="3103"/>
      <c r="E2" s="3103"/>
      <c r="F2" s="3103"/>
      <c r="G2" s="3103"/>
      <c r="H2" s="3103"/>
      <c r="I2" s="3104"/>
    </row>
    <row r="3" spans="1:12" ht="12.75">
      <c r="A3" s="3106" t="s">
        <v>2117</v>
      </c>
      <c r="B3" s="3107"/>
      <c r="C3" s="3107"/>
      <c r="D3" s="3107"/>
      <c r="E3" s="3107"/>
      <c r="F3" s="3107"/>
      <c r="G3" s="3107"/>
      <c r="H3" s="3107"/>
      <c r="I3" s="3107"/>
    </row>
    <row r="4" spans="1:12" ht="14.25">
      <c r="A4" s="2420" t="s">
        <v>2118</v>
      </c>
      <c r="B4" s="2421" t="s">
        <v>2119</v>
      </c>
      <c r="C4" s="2422" t="s">
        <v>3149</v>
      </c>
      <c r="D4" s="2422" t="s">
        <v>3173</v>
      </c>
      <c r="E4" s="3099" t="s">
        <v>2120</v>
      </c>
      <c r="F4" s="3100"/>
      <c r="G4" s="3100"/>
      <c r="H4" s="3100"/>
      <c r="I4" s="3108"/>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2121</v>
      </c>
      <c r="B5" s="3020">
        <v>25</v>
      </c>
      <c r="C5" s="3085"/>
      <c r="D5" s="3105"/>
      <c r="E5" s="140" t="s">
        <v>2122</v>
      </c>
      <c r="F5" s="2424"/>
      <c r="G5" s="2424"/>
      <c r="H5" s="2424"/>
      <c r="I5" s="1826"/>
    </row>
    <row r="6" spans="1:12" ht="12.75">
      <c r="A6" s="3082"/>
      <c r="B6" s="3020"/>
      <c r="C6" s="3086"/>
      <c r="D6" s="3105"/>
      <c r="E6" s="140" t="s">
        <v>2123</v>
      </c>
      <c r="F6" s="2424"/>
      <c r="G6" s="2424"/>
      <c r="H6" s="2424"/>
      <c r="I6" s="1826"/>
    </row>
    <row r="7" spans="1:12" ht="12.75">
      <c r="A7" s="3082"/>
      <c r="B7" s="3020"/>
      <c r="C7" s="3087"/>
      <c r="D7" s="3105"/>
      <c r="E7" s="140" t="s">
        <v>2124</v>
      </c>
      <c r="F7" s="2424"/>
      <c r="G7" s="2424"/>
      <c r="H7" s="2424"/>
      <c r="I7" s="1826"/>
    </row>
    <row r="8" spans="1:12" ht="12.75">
      <c r="A8" s="3082" t="s">
        <v>2125</v>
      </c>
      <c r="B8" s="3020">
        <v>15</v>
      </c>
      <c r="C8" s="3085"/>
      <c r="D8" s="3105"/>
      <c r="E8" s="140" t="s">
        <v>2126</v>
      </c>
      <c r="F8" s="2424"/>
      <c r="G8" s="2424"/>
      <c r="H8" s="2424"/>
      <c r="I8" s="1826"/>
    </row>
    <row r="9" spans="1:12" ht="12.75">
      <c r="A9" s="3082"/>
      <c r="B9" s="3020"/>
      <c r="C9" s="3087"/>
      <c r="D9" s="3105"/>
      <c r="E9" s="140" t="s">
        <v>2127</v>
      </c>
      <c r="F9" s="2424"/>
      <c r="G9" s="2424"/>
      <c r="H9" s="2424"/>
      <c r="I9" s="1826"/>
    </row>
    <row r="10" spans="1:12" ht="12.75">
      <c r="A10" s="3082" t="s">
        <v>2128</v>
      </c>
      <c r="B10" s="3020">
        <v>15</v>
      </c>
      <c r="C10" s="3085"/>
      <c r="D10" s="3105"/>
      <c r="E10" s="140" t="s">
        <v>2129</v>
      </c>
      <c r="F10" s="2424"/>
      <c r="G10" s="2424"/>
      <c r="H10" s="2424"/>
      <c r="I10" s="1826"/>
    </row>
    <row r="11" spans="1:12" ht="12.75">
      <c r="A11" s="3082"/>
      <c r="B11" s="3020"/>
      <c r="C11" s="3087"/>
      <c r="D11" s="3105"/>
      <c r="E11" s="140" t="s">
        <v>2130</v>
      </c>
      <c r="F11" s="2424"/>
      <c r="G11" s="2424"/>
      <c r="H11" s="2424"/>
      <c r="I11" s="1826"/>
    </row>
    <row r="12" spans="1:12" ht="12.75">
      <c r="A12" s="3082" t="s">
        <v>2131</v>
      </c>
      <c r="B12" s="3020">
        <v>15</v>
      </c>
      <c r="C12" s="3085"/>
      <c r="D12" s="3105"/>
      <c r="E12" s="140" t="s">
        <v>2132</v>
      </c>
      <c r="F12" s="2424"/>
      <c r="G12" s="2424"/>
      <c r="H12" s="2424"/>
      <c r="I12" s="1826"/>
    </row>
    <row r="13" spans="1:12" ht="12.75">
      <c r="A13" s="3082"/>
      <c r="B13" s="3020"/>
      <c r="C13" s="3087"/>
      <c r="D13" s="3105"/>
      <c r="E13" s="140" t="s">
        <v>2133</v>
      </c>
      <c r="F13" s="2424"/>
      <c r="G13" s="2424"/>
      <c r="H13" s="2424"/>
      <c r="I13" s="1826"/>
    </row>
    <row r="14" spans="1:12" ht="12.75">
      <c r="A14" s="3082" t="s">
        <v>2134</v>
      </c>
      <c r="B14" s="3020">
        <v>30</v>
      </c>
      <c r="C14" s="3085">
        <v>5</v>
      </c>
      <c r="D14" s="3105">
        <v>5</v>
      </c>
      <c r="E14" s="140" t="s">
        <v>2135</v>
      </c>
      <c r="F14" s="2424"/>
      <c r="G14" s="2424"/>
      <c r="H14" s="2424"/>
      <c r="I14" s="1826"/>
    </row>
    <row r="15" spans="1:12" ht="12.75">
      <c r="A15" s="3082"/>
      <c r="B15" s="3020"/>
      <c r="C15" s="3086"/>
      <c r="D15" s="3105"/>
      <c r="E15" s="140" t="s">
        <v>2136</v>
      </c>
      <c r="F15" s="2424"/>
      <c r="G15" s="2424"/>
      <c r="H15" s="2424"/>
      <c r="I15" s="1826"/>
    </row>
    <row r="16" spans="1:12" ht="12.75">
      <c r="A16" s="3082"/>
      <c r="B16" s="3020"/>
      <c r="C16" s="3087"/>
      <c r="D16" s="3105"/>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488</v>
      </c>
      <c r="D19" s="144">
        <f ca="1">SUMIF(INDIRECT("'"&amp;D4&amp;"'"&amp;"!A:A"),结果表!B19,INDIRECT("'"&amp;D4&amp;"'"&amp;"!B:B"))</f>
        <v>477</v>
      </c>
      <c r="E19" s="2429" t="s">
        <v>2145</v>
      </c>
      <c r="F19" s="2430" t="s">
        <v>2144</v>
      </c>
      <c r="G19" s="145">
        <f ca="1">ROUND(C19*$C$18+D19*$D$18,0)</f>
        <v>483</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47123</v>
      </c>
      <c r="D20" s="147">
        <f ca="1">SUMIF(INDIRECT("'"&amp;D4&amp;"'"&amp;"!A:A"),结果表!B20,INDIRECT("'"&amp;D4&amp;"'"&amp;"!B:B"))</f>
        <v>46078</v>
      </c>
      <c r="E20" s="2432"/>
      <c r="F20" s="1247" t="s">
        <v>2148</v>
      </c>
      <c r="G20" s="148">
        <f ca="1">ROUND(C20*$C$18+D20*$D$18,0)</f>
        <v>46601</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2.3060796645702375E-2</v>
      </c>
      <c r="E22" s="138"/>
      <c r="F22" s="138"/>
      <c r="G22" s="138"/>
      <c r="H22" s="138"/>
      <c r="I22" s="138"/>
    </row>
    <row r="23" spans="1:35" ht="13.5" thickBot="1">
      <c r="A23" s="2413"/>
      <c r="B23" s="2413"/>
      <c r="C23" s="2413"/>
      <c r="D23" s="2413"/>
      <c r="E23" s="138"/>
      <c r="F23" s="138"/>
      <c r="G23" s="138"/>
      <c r="H23" s="138"/>
      <c r="I23" s="138"/>
    </row>
    <row r="24" spans="1:35" ht="14.25">
      <c r="A24" s="3076" t="s">
        <v>2152</v>
      </c>
      <c r="B24" s="2430" t="s">
        <v>2144</v>
      </c>
      <c r="C24" s="145">
        <f>IF(B30=0,0,D30)</f>
        <v>0</v>
      </c>
      <c r="D24" s="2437"/>
      <c r="E24" s="138"/>
      <c r="F24" s="138"/>
      <c r="G24" s="138"/>
      <c r="H24" s="138"/>
      <c r="I24" s="138"/>
    </row>
    <row r="25" spans="1:35" ht="14.25">
      <c r="A25" s="3077"/>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483</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094" t="s">
        <v>2166</v>
      </c>
      <c r="B36" s="2456" t="s">
        <v>2167</v>
      </c>
      <c r="C36" s="154"/>
      <c r="D36" s="2457"/>
      <c r="E36" s="2458"/>
      <c r="F36" s="2459"/>
      <c r="G36" s="138"/>
      <c r="H36" s="138"/>
      <c r="I36" s="138"/>
    </row>
    <row r="37" spans="1:15" ht="15.75" thickBot="1">
      <c r="A37" s="3095"/>
      <c r="B37" s="2261" t="s">
        <v>2168</v>
      </c>
      <c r="C37" s="156"/>
      <c r="D37" s="1392"/>
      <c r="E37" s="1392"/>
      <c r="F37" s="2459"/>
      <c r="G37" s="138"/>
      <c r="H37" s="138"/>
      <c r="I37" s="138"/>
    </row>
    <row r="38" spans="1:15" ht="15.75" thickBot="1">
      <c r="A38" s="3096"/>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73" t="s">
        <v>2180</v>
      </c>
      <c r="B45" s="3074"/>
      <c r="C45" s="3075"/>
      <c r="D45" s="164">
        <f ca="1">ROUND(H101*F45,0)</f>
        <v>483</v>
      </c>
      <c r="E45" s="165" t="s">
        <v>2181</v>
      </c>
      <c r="F45" s="166">
        <v>1</v>
      </c>
      <c r="G45" s="167" t="s">
        <v>2182</v>
      </c>
      <c r="H45" s="138"/>
      <c r="I45" s="138"/>
      <c r="J45" s="3133" t="s">
        <v>2183</v>
      </c>
      <c r="K45" s="3133"/>
      <c r="L45" s="3133"/>
      <c r="M45" s="3133"/>
      <c r="N45" s="3133"/>
      <c r="O45" s="3133"/>
    </row>
    <row r="46" spans="1:15" ht="14.25" customHeight="1">
      <c r="A46" s="3070" t="s">
        <v>2184</v>
      </c>
      <c r="B46" s="3071"/>
      <c r="C46" s="3071"/>
      <c r="D46" s="3071"/>
      <c r="E46" s="3071"/>
      <c r="F46" s="3071"/>
      <c r="G46" s="3072"/>
      <c r="H46" s="2475"/>
      <c r="I46" s="168"/>
      <c r="J46" s="1804">
        <v>1</v>
      </c>
      <c r="K46" s="3133" t="s">
        <v>2185</v>
      </c>
      <c r="L46" s="3133"/>
      <c r="M46" s="3153"/>
      <c r="N46" s="3153"/>
      <c r="O46" s="3153"/>
    </row>
    <row r="47" spans="1:15" ht="12" customHeight="1">
      <c r="A47" s="169" t="s">
        <v>2186</v>
      </c>
      <c r="B47" s="170"/>
      <c r="C47" s="171"/>
      <c r="D47" s="172" t="s">
        <v>2187</v>
      </c>
      <c r="E47" s="24" t="s">
        <v>2188</v>
      </c>
      <c r="F47" s="173" t="s">
        <v>2189</v>
      </c>
      <c r="G47" s="174" t="s">
        <v>2190</v>
      </c>
      <c r="H47" s="2475"/>
      <c r="I47" s="168"/>
      <c r="J47" s="1804">
        <v>2</v>
      </c>
      <c r="K47" s="3133" t="s">
        <v>2191</v>
      </c>
      <c r="L47" s="3133"/>
      <c r="M47" s="3154">
        <f>'数据-取费表'!B2</f>
        <v>43592</v>
      </c>
      <c r="N47" s="3154"/>
      <c r="O47" s="3154"/>
    </row>
    <row r="48" spans="1:15" ht="25.5">
      <c r="A48" s="3101" t="s">
        <v>2192</v>
      </c>
      <c r="B48" s="3084"/>
      <c r="C48" s="3084"/>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133" t="s">
        <v>2195</v>
      </c>
      <c r="L48" s="3133"/>
      <c r="M48" s="3155">
        <f ca="1">H101</f>
        <v>483</v>
      </c>
      <c r="N48" s="3155"/>
      <c r="O48" s="3155"/>
    </row>
    <row r="49" spans="1:35" ht="25.5" customHeight="1">
      <c r="A49" s="176" t="s">
        <v>2196</v>
      </c>
      <c r="B49" s="3069" t="s">
        <v>2197</v>
      </c>
      <c r="C49" s="3069"/>
      <c r="D49" s="177">
        <v>0</v>
      </c>
      <c r="E49" s="23" t="s">
        <v>2198</v>
      </c>
      <c r="F49" s="28" t="s">
        <v>34</v>
      </c>
      <c r="G49" s="3139"/>
      <c r="H49" s="138"/>
      <c r="I49" s="2478"/>
      <c r="J49" s="1804">
        <v>4</v>
      </c>
      <c r="K49" s="3133" t="str">
        <f>IF(项目基本情况!E8="房地产抵押价值","房地产抵押价值","抵押担保权已注销时的房地产抵押价值")</f>
        <v>抵押担保权已注销时的房地产抵押价值</v>
      </c>
      <c r="L49" s="3133"/>
      <c r="M49" s="3155" t="str">
        <f>IF(项目基本情况!E8="房地产抵押价值",H107,H109)</f>
        <v>——</v>
      </c>
      <c r="N49" s="3155"/>
      <c r="O49" s="3155"/>
    </row>
    <row r="50" spans="1:35" ht="25.5" customHeight="1">
      <c r="A50" s="178"/>
      <c r="B50" s="3069" t="s">
        <v>2199</v>
      </c>
      <c r="C50" s="3069"/>
      <c r="D50" s="179"/>
      <c r="E50" s="31"/>
      <c r="F50" s="180"/>
      <c r="G50" s="3140"/>
      <c r="H50" s="138"/>
      <c r="I50" s="2478"/>
      <c r="J50" s="3133" t="s">
        <v>2200</v>
      </c>
      <c r="K50" s="3133"/>
      <c r="L50" s="3133"/>
      <c r="M50" s="3133"/>
      <c r="N50" s="3133"/>
      <c r="O50" s="3133"/>
    </row>
    <row r="51" spans="1:35" ht="12" customHeight="1">
      <c r="A51" s="181"/>
      <c r="B51" s="3069" t="s">
        <v>2201</v>
      </c>
      <c r="C51" s="3069"/>
      <c r="D51" s="182"/>
      <c r="E51" s="30"/>
      <c r="F51" s="180"/>
      <c r="G51" s="3141"/>
      <c r="H51" s="138"/>
      <c r="I51" s="2478"/>
      <c r="J51" s="2479" t="s">
        <v>2202</v>
      </c>
      <c r="K51" s="3133" t="s">
        <v>2203</v>
      </c>
      <c r="L51" s="3133"/>
      <c r="M51" s="2479" t="s">
        <v>2204</v>
      </c>
      <c r="N51" s="2479" t="s">
        <v>2205</v>
      </c>
      <c r="O51" s="2479" t="s">
        <v>2206</v>
      </c>
    </row>
    <row r="52" spans="1:35" ht="24" customHeight="1">
      <c r="A52" s="183" t="s">
        <v>2207</v>
      </c>
      <c r="B52" s="3069" t="s">
        <v>2208</v>
      </c>
      <c r="C52" s="3069"/>
      <c r="D52" s="182">
        <f ca="1">ROUND(D45*'数据-取费表'!B41/(1+'数据-取费表'!C42),0)</f>
        <v>26</v>
      </c>
      <c r="E52" s="11" t="s">
        <v>2209</v>
      </c>
      <c r="F52" s="184">
        <f>'数据-取费表'!B41</f>
        <v>5.6000000000000001E-2</v>
      </c>
      <c r="G52" s="2480"/>
      <c r="H52" s="138"/>
      <c r="I52" s="2478"/>
      <c r="J52" s="1804">
        <v>1</v>
      </c>
      <c r="K52" s="3134" t="s">
        <v>2210</v>
      </c>
      <c r="L52" s="3134"/>
      <c r="M52" s="1746">
        <f>D48</f>
        <v>0</v>
      </c>
      <c r="N52" s="1804" t="str">
        <f>E48</f>
        <v>销售额×税（费）率</v>
      </c>
      <c r="O52" s="1747" t="str">
        <f>F48</f>
        <v>免征</v>
      </c>
    </row>
    <row r="53" spans="1:35" ht="12" customHeight="1">
      <c r="A53" s="183" t="s">
        <v>2211</v>
      </c>
      <c r="B53" s="3092" t="s">
        <v>2212</v>
      </c>
      <c r="C53" s="3093"/>
      <c r="D53" s="182">
        <f ca="1">ROUND(D45*'数据-取费表'!B41/(1+'数据-取费表'!C42),0)</f>
        <v>26</v>
      </c>
      <c r="E53" s="11" t="s">
        <v>2209</v>
      </c>
      <c r="F53" s="184">
        <f>'数据-取费表'!B41</f>
        <v>5.6000000000000001E-2</v>
      </c>
      <c r="G53" s="2480"/>
      <c r="H53" s="138"/>
      <c r="I53" s="2478"/>
      <c r="J53" s="1804">
        <v>2</v>
      </c>
      <c r="K53" s="3134" t="s">
        <v>2213</v>
      </c>
      <c r="L53" s="3134"/>
      <c r="M53" s="1746">
        <f t="shared" ref="M53:O54" ca="1" si="0">D55</f>
        <v>0</v>
      </c>
      <c r="N53" s="1804" t="str">
        <f t="shared" si="0"/>
        <v>销售额×税（费）率</v>
      </c>
      <c r="O53" s="1747">
        <f t="shared" si="0"/>
        <v>5.0000000000000001E-4</v>
      </c>
    </row>
    <row r="54" spans="1:35" ht="12" customHeight="1">
      <c r="A54" s="183" t="s">
        <v>2214</v>
      </c>
      <c r="B54" s="3092" t="s">
        <v>2215</v>
      </c>
      <c r="C54" s="3093"/>
      <c r="D54" s="182">
        <f ca="1">C68</f>
        <v>26</v>
      </c>
      <c r="E54" s="30" t="s">
        <v>2216</v>
      </c>
      <c r="F54" s="184">
        <f>'数据-取费表'!B41</f>
        <v>5.6000000000000001E-2</v>
      </c>
      <c r="G54" s="2480"/>
      <c r="H54" s="2481"/>
      <c r="I54" s="2478"/>
      <c r="J54" s="1804">
        <v>3</v>
      </c>
      <c r="K54" s="3134" t="s">
        <v>2217</v>
      </c>
      <c r="L54" s="3134"/>
      <c r="M54" s="1746">
        <f t="shared" ca="1" si="0"/>
        <v>273</v>
      </c>
      <c r="N54" s="1804" t="str">
        <f t="shared" si="0"/>
        <v>增值额×税（费）率</v>
      </c>
      <c r="O54" s="1748" t="str">
        <f t="shared" si="0"/>
        <v>——</v>
      </c>
    </row>
    <row r="55" spans="1:35" ht="24" customHeight="1">
      <c r="A55" s="3083" t="s">
        <v>2218</v>
      </c>
      <c r="B55" s="3084"/>
      <c r="C55" s="3084"/>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134" t="str">
        <f>IF(H59="非个人房产","——","个人所得税")</f>
        <v>——</v>
      </c>
      <c r="L55" s="3134"/>
      <c r="M55" s="1749" t="str">
        <f>D59</f>
        <v>——</v>
      </c>
      <c r="N55" s="1802" t="str">
        <f>E59</f>
        <v>——</v>
      </c>
      <c r="O55" s="1750" t="str">
        <f>F59</f>
        <v>——</v>
      </c>
    </row>
    <row r="56" spans="1:35" ht="24.75">
      <c r="A56" s="3083" t="s">
        <v>2221</v>
      </c>
      <c r="B56" s="3084"/>
      <c r="C56" s="3084"/>
      <c r="D56" s="185">
        <f ca="1">IF(H56="个人住宅",D57,D58)</f>
        <v>273</v>
      </c>
      <c r="E56" s="11" t="s">
        <v>2222</v>
      </c>
      <c r="F56" s="184" t="str">
        <f>IF(H56="正常",F58,"免征")</f>
        <v>——</v>
      </c>
      <c r="G56" s="2482" t="s">
        <v>2223</v>
      </c>
      <c r="H56" s="2483" t="s">
        <v>2220</v>
      </c>
      <c r="I56" s="2484"/>
      <c r="J56" s="1804" t="str">
        <f>IF(项目基本情况!K6="上海银行",IF(J55="",4,J55+1),"")</f>
        <v/>
      </c>
      <c r="K56" s="3157" t="str">
        <f>IF(项目基本情况!K6="上海银行","其他处置费用","")</f>
        <v/>
      </c>
      <c r="L56" s="3158"/>
      <c r="M56" s="1746" t="str">
        <f>IF(项目基本情况!K6="上海银行",M69,"")</f>
        <v/>
      </c>
      <c r="N56" s="3160" t="str">
        <f>IF(项目基本情况!K6="上海银行","包含处置中涉及的律师、诉讼、拍卖、评估等费用","")</f>
        <v/>
      </c>
      <c r="O56" s="3161"/>
    </row>
    <row r="57" spans="1:35" ht="12.75">
      <c r="A57" s="183" t="s">
        <v>2196</v>
      </c>
      <c r="B57" s="3099" t="s">
        <v>2224</v>
      </c>
      <c r="C57" s="3108"/>
      <c r="D57" s="187">
        <v>0</v>
      </c>
      <c r="E57" s="23" t="s">
        <v>2198</v>
      </c>
      <c r="F57" s="155"/>
      <c r="G57" s="2480"/>
      <c r="H57" s="2484"/>
      <c r="I57" s="2484"/>
      <c r="J57" s="3134">
        <f>IF(AND(J55="",J56=""),4,IF(项目基本情况!K6="上海银行",结果表!J56+1,结果表!J55+1))</f>
        <v>4</v>
      </c>
      <c r="K57" s="3134" t="s">
        <v>2225</v>
      </c>
      <c r="L57" s="2485" t="s">
        <v>2226</v>
      </c>
      <c r="M57" s="1751"/>
      <c r="N57" s="1752">
        <f ca="1">SUMIF(M52:M56,"&lt;9e307")</f>
        <v>273</v>
      </c>
      <c r="O57" s="2486"/>
      <c r="P57" s="1745" t="e">
        <f ca="1">N57/M49</f>
        <v>#VALUE!</v>
      </c>
    </row>
    <row r="58" spans="1:35" ht="24.75">
      <c r="A58" s="183" t="s">
        <v>2207</v>
      </c>
      <c r="B58" s="3099" t="s">
        <v>2227</v>
      </c>
      <c r="C58" s="3100"/>
      <c r="D58" s="185">
        <f ca="1">IF(H58="转让取得",C81,C97)</f>
        <v>273</v>
      </c>
      <c r="E58" s="11" t="s">
        <v>2222</v>
      </c>
      <c r="F58" s="24" t="s">
        <v>34</v>
      </c>
      <c r="G58" s="2480"/>
      <c r="H58" s="2483" t="s">
        <v>2228</v>
      </c>
      <c r="I58" s="2484"/>
      <c r="J58" s="3134"/>
      <c r="K58" s="3134"/>
      <c r="L58" s="2485" t="s">
        <v>2229</v>
      </c>
      <c r="M58" s="1753"/>
      <c r="N58" s="2487" t="str">
        <f ca="1">NUMBERSTRING(INT(N57*10000),2)&amp;"元整"</f>
        <v>贰佰柒拾叁万元整</v>
      </c>
      <c r="O58" s="2488"/>
    </row>
    <row r="59" spans="1:35" ht="24.75" thickBot="1">
      <c r="A59" s="3137" t="s">
        <v>2230</v>
      </c>
      <c r="B59" s="3138"/>
      <c r="C59" s="3138"/>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135">
        <f>J57+1</f>
        <v>5</v>
      </c>
      <c r="K59" s="3134" t="s">
        <v>2232</v>
      </c>
      <c r="L59" s="1804" t="s">
        <v>2226</v>
      </c>
      <c r="M59" s="1754"/>
      <c r="N59" s="1755" t="e">
        <f ca="1">M49-N57</f>
        <v>#VALUE!</v>
      </c>
      <c r="O59" s="2490"/>
    </row>
    <row r="60" spans="1:35" ht="12" customHeight="1">
      <c r="A60" s="2491"/>
      <c r="B60" s="2413"/>
      <c r="C60" s="2413"/>
      <c r="D60" s="2413"/>
      <c r="E60" s="2160"/>
      <c r="F60" s="2484"/>
      <c r="G60" s="2484"/>
      <c r="H60" s="2492"/>
      <c r="I60" s="138"/>
      <c r="J60" s="3136"/>
      <c r="K60" s="3134"/>
      <c r="L60" s="2485" t="s">
        <v>2229</v>
      </c>
      <c r="M60" s="1753"/>
      <c r="N60" s="2487" t="e">
        <f ca="1">NUMBERSTRING(INT(N59*10000),2)&amp;"元整"</f>
        <v>#VALUE!</v>
      </c>
      <c r="O60" s="2488"/>
    </row>
    <row r="61" spans="1:35" ht="13.5" thickBot="1">
      <c r="A61" s="3081" t="s">
        <v>2233</v>
      </c>
      <c r="B61" s="3081"/>
      <c r="C61" s="3081"/>
      <c r="D61" s="3081"/>
      <c r="E61" s="3081"/>
      <c r="F61" s="2484"/>
      <c r="G61" s="2484"/>
      <c r="H61" s="2492"/>
      <c r="I61" s="138"/>
      <c r="J61" s="1804">
        <f>J59+1</f>
        <v>6</v>
      </c>
      <c r="K61" s="3134" t="s">
        <v>2234</v>
      </c>
      <c r="L61" s="3134"/>
      <c r="M61" s="1756"/>
      <c r="N61" s="1757" t="e">
        <f ca="1">ROUND(N59*10000/'数据-汇总表'!E3,0)</f>
        <v>#VALUE!</v>
      </c>
      <c r="O61" s="2493"/>
    </row>
    <row r="62" spans="1:35" ht="12.75">
      <c r="A62" s="3097" t="s">
        <v>2235</v>
      </c>
      <c r="B62" s="3098"/>
      <c r="C62" s="1796"/>
      <c r="D62" s="1796" t="s">
        <v>2236</v>
      </c>
      <c r="E62" s="192" t="s">
        <v>2237</v>
      </c>
      <c r="F62" s="2484"/>
      <c r="G62" s="2484"/>
      <c r="H62" s="2492"/>
      <c r="I62" s="138"/>
    </row>
    <row r="63" spans="1:35" ht="12.75">
      <c r="A63" s="203" t="s">
        <v>775</v>
      </c>
      <c r="B63" s="193" t="s">
        <v>2238</v>
      </c>
      <c r="C63" s="194">
        <f ca="1">ROUND((C64+C65)/(1+'数据-取费表'!C42),0)</f>
        <v>460</v>
      </c>
      <c r="D63" s="195"/>
      <c r="E63" s="196"/>
      <c r="F63" s="2484"/>
      <c r="G63" s="2484"/>
      <c r="H63" s="2492"/>
      <c r="I63" s="138"/>
      <c r="J63" s="3159"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483</v>
      </c>
      <c r="D64" s="200" t="s">
        <v>32</v>
      </c>
      <c r="E64" s="201"/>
      <c r="F64" s="2484"/>
      <c r="G64" s="2484"/>
      <c r="H64" s="2492"/>
      <c r="I64" s="138"/>
      <c r="J64" s="3159"/>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159"/>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159"/>
      <c r="K66" s="2494" t="s">
        <v>2247</v>
      </c>
      <c r="L66" s="1744" t="e">
        <f>M49*0.5%</f>
        <v>#VALUE!</v>
      </c>
      <c r="M66" s="24" t="e">
        <f>IF(L66&gt;0.5,0.5,ROUND(L66,0))</f>
        <v>#VALUE!</v>
      </c>
      <c r="N66" s="138" t="s">
        <v>2248</v>
      </c>
      <c r="Z66" s="2418"/>
      <c r="AI66" s="2419"/>
    </row>
    <row r="67" spans="1:35" ht="14.25" customHeight="1">
      <c r="A67" s="203" t="s">
        <v>773</v>
      </c>
      <c r="B67" s="204" t="s">
        <v>2249</v>
      </c>
      <c r="C67" s="207">
        <f ca="1">C63-C66</f>
        <v>460</v>
      </c>
      <c r="D67" s="200" t="s">
        <v>32</v>
      </c>
      <c r="E67" s="201"/>
      <c r="F67" s="2484"/>
      <c r="G67" s="2484"/>
      <c r="H67" s="2492"/>
      <c r="I67" s="138"/>
      <c r="J67" s="3159"/>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26</v>
      </c>
      <c r="D68" s="211">
        <f>'数据-取费表'!B41</f>
        <v>5.6000000000000001E-2</v>
      </c>
      <c r="E68" s="212"/>
      <c r="F68" s="2484"/>
      <c r="G68" s="2484"/>
      <c r="H68" s="2492"/>
      <c r="I68" s="138"/>
      <c r="J68" s="3159"/>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159"/>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8" t="s">
        <v>2254</v>
      </c>
      <c r="B70" s="3119"/>
      <c r="C70" s="3119"/>
      <c r="D70" s="3119"/>
      <c r="E70" s="3119"/>
      <c r="F70" s="3119"/>
      <c r="G70" s="3119"/>
      <c r="H70" s="311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7" t="s">
        <v>2235</v>
      </c>
      <c r="B71" s="3098"/>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460</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092" t="s">
        <v>2263</v>
      </c>
      <c r="F76" s="3069"/>
      <c r="G76" s="3069"/>
      <c r="H76" s="311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078" t="s">
        <v>2268</v>
      </c>
      <c r="F78" s="3079"/>
      <c r="G78" s="3079"/>
      <c r="H78" s="308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457</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8" t="s">
        <v>2272</v>
      </c>
      <c r="B83" s="3119"/>
      <c r="C83" s="3119"/>
      <c r="D83" s="3119"/>
      <c r="E83" s="3119"/>
      <c r="F83" s="3119"/>
      <c r="G83" s="3119"/>
      <c r="H83" s="311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7" t="s">
        <v>2235</v>
      </c>
      <c r="B84" s="3098"/>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460</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78" t="s">
        <v>2281</v>
      </c>
      <c r="F91" s="3079"/>
      <c r="G91" s="3079"/>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78" t="s">
        <v>2285</v>
      </c>
      <c r="F92" s="3079"/>
      <c r="G92" s="3079"/>
      <c r="H92" s="308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078" t="s">
        <v>2268</v>
      </c>
      <c r="F93" s="3079"/>
      <c r="G93" s="3079"/>
      <c r="H93" s="308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089" t="s">
        <v>2289</v>
      </c>
      <c r="F94" s="3090"/>
      <c r="G94" s="3090"/>
      <c r="H94" s="309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457</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63" t="s">
        <v>2291</v>
      </c>
      <c r="B100" s="3064"/>
      <c r="C100" s="3064"/>
      <c r="D100" s="3080"/>
      <c r="E100" s="3064" t="s">
        <v>2292</v>
      </c>
      <c r="F100" s="3064"/>
      <c r="G100" s="3064"/>
      <c r="H100" s="3080"/>
      <c r="I100" s="138"/>
    </row>
    <row r="101" spans="1:35" ht="18.75" customHeight="1">
      <c r="A101" s="3142" t="s">
        <v>2293</v>
      </c>
      <c r="B101" s="3143"/>
      <c r="C101" s="736" t="str">
        <f>C4</f>
        <v>比较法-办公</v>
      </c>
      <c r="D101" s="737" t="str">
        <f>D4</f>
        <v>收益法 (元)</v>
      </c>
      <c r="E101" s="3156" t="s">
        <v>2294</v>
      </c>
      <c r="F101" s="3110"/>
      <c r="G101" s="2515" t="s">
        <v>2295</v>
      </c>
      <c r="H101" s="1045">
        <f ca="1">H118</f>
        <v>483</v>
      </c>
      <c r="I101" s="138"/>
    </row>
    <row r="102" spans="1:35" ht="18.75" customHeight="1">
      <c r="A102" s="3112" t="s">
        <v>2296</v>
      </c>
      <c r="B102" s="2515" t="s">
        <v>2295</v>
      </c>
      <c r="C102" s="736">
        <f ca="1">C19</f>
        <v>488</v>
      </c>
      <c r="D102" s="737">
        <f ca="1">D19</f>
        <v>477</v>
      </c>
      <c r="E102" s="3156"/>
      <c r="F102" s="3110"/>
      <c r="G102" s="2515" t="s">
        <v>2297</v>
      </c>
      <c r="H102" s="371">
        <f ca="1">I118</f>
        <v>4230</v>
      </c>
      <c r="I102" s="138"/>
    </row>
    <row r="103" spans="1:35" ht="42.75" customHeight="1">
      <c r="A103" s="3112"/>
      <c r="B103" s="2515" t="s">
        <v>2297</v>
      </c>
      <c r="C103" s="738">
        <f ca="1">C20</f>
        <v>47123</v>
      </c>
      <c r="D103" s="739">
        <f ca="1">D20</f>
        <v>46078</v>
      </c>
      <c r="E103" s="3151" t="s">
        <v>2298</v>
      </c>
      <c r="F103" s="3152"/>
      <c r="G103" s="2516" t="s">
        <v>2299</v>
      </c>
      <c r="H103" s="1045">
        <f>IF(D36="正常操作",H104+H105+H106,H105+H106)</f>
        <v>0</v>
      </c>
      <c r="I103" s="138"/>
    </row>
    <row r="104" spans="1:35" ht="18.75" customHeight="1">
      <c r="A104" s="3112" t="s">
        <v>2300</v>
      </c>
      <c r="B104" s="2517" t="s">
        <v>2295</v>
      </c>
      <c r="C104" s="740">
        <f ca="1">H118</f>
        <v>483</v>
      </c>
      <c r="D104" s="741"/>
      <c r="E104" s="2261" t="s">
        <v>2301</v>
      </c>
      <c r="F104" s="2252"/>
      <c r="G104" s="2516" t="s">
        <v>2299</v>
      </c>
      <c r="H104" s="1046">
        <f>IF(D36="同一抵押权人同一抵押物续贷",C36&amp;"（未扣减，详见特别提示）",C36)</f>
        <v>0</v>
      </c>
      <c r="I104" s="138"/>
    </row>
    <row r="105" spans="1:35" ht="18.75" customHeight="1" thickBot="1">
      <c r="A105" s="3113"/>
      <c r="B105" s="2518" t="s">
        <v>2297</v>
      </c>
      <c r="C105" s="742">
        <f ca="1">I118</f>
        <v>4230</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109" t="str">
        <f>IF(项目基本情况!E8="已注销","——","3.房地产抵押价值")</f>
        <v>3.房地产抵押价值</v>
      </c>
      <c r="F107" s="3110"/>
      <c r="G107" s="2515" t="s">
        <v>2295</v>
      </c>
      <c r="H107" s="1045">
        <f ca="1">IF(E107="——","——",H101-H103)</f>
        <v>483</v>
      </c>
      <c r="I107" s="138"/>
    </row>
    <row r="108" spans="1:35" ht="18.75" customHeight="1">
      <c r="A108" s="138"/>
      <c r="B108" s="138"/>
      <c r="C108" s="138"/>
      <c r="D108" s="138"/>
      <c r="E108" s="3109"/>
      <c r="F108" s="3110"/>
      <c r="G108" s="2515" t="s">
        <v>2297</v>
      </c>
      <c r="H108" s="371">
        <f ca="1">ROUND(H107*10000/'数据-汇总表'!E3,0)</f>
        <v>4230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110"/>
      <c r="G109" s="2515" t="s">
        <v>2295</v>
      </c>
      <c r="H109" s="348" t="str">
        <f>IF(E109="——","——",H101-H105-H106)</f>
        <v>——</v>
      </c>
      <c r="I109" s="138"/>
    </row>
    <row r="110" spans="1:35" ht="18.75" customHeight="1">
      <c r="A110" s="138"/>
      <c r="B110" s="138"/>
      <c r="C110" s="138"/>
      <c r="D110" s="138"/>
      <c r="E110" s="3109"/>
      <c r="F110" s="3110"/>
      <c r="G110" s="2515" t="s">
        <v>2297</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15" t="s">
        <v>2295</v>
      </c>
      <c r="H111" s="1045" t="str">
        <f>IF(E111="——","——",N59)</f>
        <v>——</v>
      </c>
      <c r="I111" s="138"/>
    </row>
    <row r="112" spans="1:35" ht="18.75" customHeight="1" thickBot="1">
      <c r="A112" s="138"/>
      <c r="B112" s="138"/>
      <c r="C112" s="138"/>
      <c r="D112" s="138"/>
      <c r="E112" s="3146"/>
      <c r="F112" s="3147"/>
      <c r="G112" s="2520" t="s">
        <v>2297</v>
      </c>
      <c r="H112" s="790" t="str">
        <f>IF(E111="——","——",N61)</f>
        <v>——</v>
      </c>
      <c r="I112" s="138"/>
    </row>
    <row r="113" spans="1:11" ht="18.75" customHeight="1">
      <c r="A113" s="138"/>
      <c r="B113" s="138"/>
      <c r="C113" s="138"/>
      <c r="D113" s="138"/>
      <c r="E113" s="3114" t="s">
        <v>2303</v>
      </c>
      <c r="F113" s="3114"/>
      <c r="G113" s="3114"/>
      <c r="H113" s="3114"/>
      <c r="I113" s="138"/>
    </row>
    <row r="114" spans="1:11" ht="3.75" customHeight="1">
      <c r="A114" s="2413"/>
      <c r="B114" s="2413"/>
      <c r="C114" s="2413"/>
      <c r="D114" s="2413"/>
      <c r="E114" s="2491"/>
      <c r="F114" s="2491"/>
      <c r="G114" s="2491"/>
      <c r="H114" s="2491"/>
      <c r="I114" s="2413"/>
    </row>
    <row r="115" spans="1:11" ht="18.75" customHeight="1">
      <c r="A115" s="3127" t="s">
        <v>2305</v>
      </c>
      <c r="B115" s="3128"/>
      <c r="C115" s="3128"/>
      <c r="D115" s="3128"/>
      <c r="E115" s="3128"/>
      <c r="F115" s="3128"/>
      <c r="G115" s="3128"/>
      <c r="H115" s="3128"/>
      <c r="I115" s="3129"/>
    </row>
    <row r="116" spans="1:11" ht="27" customHeight="1">
      <c r="A116" s="3020" t="s">
        <v>2306</v>
      </c>
      <c r="B116" s="3115" t="s">
        <v>2307</v>
      </c>
      <c r="C116" s="3115" t="s">
        <v>2308</v>
      </c>
      <c r="D116" s="3131" t="s">
        <v>2309</v>
      </c>
      <c r="E116" s="3132"/>
      <c r="F116" s="3123" t="s">
        <v>2310</v>
      </c>
      <c r="G116" s="3123"/>
      <c r="H116" s="3020" t="s">
        <v>2311</v>
      </c>
      <c r="I116" s="3020"/>
    </row>
    <row r="117" spans="1:11" ht="18.75" customHeight="1">
      <c r="A117" s="3020"/>
      <c r="B117" s="3116"/>
      <c r="C117" s="3116"/>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483</v>
      </c>
      <c r="I118" s="1790">
        <f ca="1">ROUND(IF(D32="楼面单价",C32,H118*10000/B118),0)</f>
        <v>4230</v>
      </c>
    </row>
    <row r="119" spans="1:11" ht="18.75" customHeight="1">
      <c r="A119" s="3020" t="s">
        <v>2315</v>
      </c>
      <c r="B119" s="3020"/>
      <c r="C119" s="3020"/>
      <c r="D119" s="3120" t="e">
        <f ca="1">NUMBERSTRING(INT(D118*10000),2)&amp;"元整"</f>
        <v>#REF!</v>
      </c>
      <c r="E119" s="3122"/>
      <c r="F119" s="3120" t="e">
        <f ca="1">NUMBERSTRING(INT(F118*10000),2)&amp;"元整"</f>
        <v>#REF!</v>
      </c>
      <c r="G119" s="3122"/>
      <c r="H119" s="3120" t="str">
        <f ca="1">NUMBERSTRING(INT(H118*10000),2)&amp;"元整"</f>
        <v>肆佰捌拾叁万元整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8" t="str">
        <f>IF(D120=0,"故，本次评估不存在"&amp;A120,"故，本次评估"&amp;A120&amp;"为人民币"&amp;D120&amp;"万元整。")</f>
        <v>故，本次评估不存在估价师知悉的法定优先受偿款</v>
      </c>
    </row>
    <row r="121" spans="1:11" ht="18.75" customHeight="1">
      <c r="A121" s="3124" t="s">
        <v>2315</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483</v>
      </c>
      <c r="E122" s="3149"/>
      <c r="F122" s="3149"/>
      <c r="G122" s="3149"/>
      <c r="H122" s="3149"/>
      <c r="I122" s="3150"/>
    </row>
    <row r="123" spans="1:11" ht="18.75" customHeight="1">
      <c r="A123" s="3020" t="s">
        <v>2315</v>
      </c>
      <c r="B123" s="3020"/>
      <c r="C123" s="3020"/>
      <c r="D123" s="3120" t="str">
        <f ca="1">NUMBERSTRING(INT(D122*10000),2)&amp;"元整"</f>
        <v>肆佰捌拾叁万元整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2315</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2315</v>
      </c>
      <c r="B127" s="3020"/>
      <c r="C127" s="3020"/>
      <c r="D127" s="3120" t="e">
        <f>NUMBERSTRING(INT(D126*10000),2)&amp;"元整"</f>
        <v>#VALUE!</v>
      </c>
      <c r="E127" s="3121"/>
      <c r="F127" s="3121"/>
      <c r="G127" s="3121"/>
      <c r="H127" s="3121"/>
      <c r="I127" s="3122"/>
    </row>
    <row r="128" spans="1:11" ht="21.75" customHeight="1">
      <c r="A128" s="3130" t="s">
        <v>2316</v>
      </c>
      <c r="B128" s="3130"/>
      <c r="C128" s="3130"/>
      <c r="D128" s="3130"/>
      <c r="E128" s="3130"/>
      <c r="F128" s="3130"/>
      <c r="G128" s="3130"/>
      <c r="H128" s="3130"/>
      <c r="I128" s="3130"/>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531</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4651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2.5000000000000001E-2</v>
      </c>
      <c r="G20" s="278" t="s">
        <v>2358</v>
      </c>
    </row>
    <row r="21" spans="1:7" s="258" customFormat="1" ht="13.5" customHeight="1">
      <c r="A21" s="299" t="s">
        <v>2359</v>
      </c>
      <c r="B21" s="254" t="s">
        <v>2360</v>
      </c>
      <c r="C21" s="279">
        <f>F21</f>
        <v>2.5000000000000001E-2</v>
      </c>
      <c r="D21" s="280" t="s">
        <v>2361</v>
      </c>
      <c r="E21" s="276"/>
      <c r="F21" s="277">
        <f>'数据-取费表'!B38</f>
        <v>2.5000000000000001E-2</v>
      </c>
      <c r="G21" s="278" t="s">
        <v>2362</v>
      </c>
    </row>
    <row r="22" spans="1:7" s="258" customFormat="1" ht="13.5" customHeight="1">
      <c r="A22" s="299" t="s">
        <v>2363</v>
      </c>
      <c r="B22" s="254" t="s">
        <v>2364</v>
      </c>
      <c r="C22" s="1354">
        <f ca="1">ROUND(SUM(C23:C25),0)</f>
        <v>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11</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22</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62" t="s">
        <v>2407</v>
      </c>
    </row>
    <row r="43" spans="1:7" ht="13.5" customHeight="1">
      <c r="A43" s="951" t="s">
        <v>792</v>
      </c>
      <c r="B43" s="259" t="s">
        <v>2408</v>
      </c>
      <c r="C43" s="282">
        <f ca="1">ROUND(IF('数据-取费表'!B22&lt;=1,C39*F22*'数据-取费表'!B21/2,C39*(POWER((1+F22),'数据-取费表'!B21/2)-1)),0)</f>
        <v>1</v>
      </c>
      <c r="D43" s="282"/>
      <c r="E43" s="282"/>
      <c r="F43" s="283"/>
      <c r="G43" s="3163"/>
    </row>
    <row r="44" spans="1:7" ht="13.5" customHeight="1">
      <c r="A44" s="951" t="s">
        <v>793</v>
      </c>
      <c r="B44" s="259" t="s">
        <v>2409</v>
      </c>
      <c r="C44" s="282">
        <f ca="1">ROUND(IF('数据-取费表'!B22&lt;=1,C40*F22*'数据-取费表'!B21/2,C40*(POWER((1+F22),'数据-取费表'!B21/2)-1)),4)</f>
        <v>1.1999999999999999E-3</v>
      </c>
      <c r="D44" s="282"/>
      <c r="E44" s="282"/>
      <c r="F44" s="283"/>
      <c r="G44" s="3164"/>
    </row>
    <row r="45" spans="1:7" s="258" customFormat="1" ht="13.5" customHeight="1">
      <c r="A45" s="299" t="s">
        <v>2410</v>
      </c>
      <c r="B45" s="288" t="s">
        <v>2376</v>
      </c>
      <c r="C45" s="289">
        <f ca="1">C46</f>
        <v>115</v>
      </c>
      <c r="D45" s="279">
        <f ca="1">C47</f>
        <v>6.3E-3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652</v>
      </c>
      <c r="D49" s="276"/>
      <c r="E49" s="276"/>
      <c r="F49" s="308"/>
      <c r="G49" s="278" t="s">
        <v>2417</v>
      </c>
    </row>
    <row r="50" spans="1:7" s="302" customFormat="1" ht="24">
      <c r="A50" s="299" t="s">
        <v>2418</v>
      </c>
      <c r="B50" s="254" t="s">
        <v>2419</v>
      </c>
      <c r="C50" s="276"/>
      <c r="D50" s="276"/>
      <c r="E50" s="276"/>
      <c r="F50" s="308">
        <f>IF('数据-取费表'!B24=0,'数据-取费表'!N16,1)</f>
        <v>0.76</v>
      </c>
      <c r="G50" s="291" t="s">
        <v>2420</v>
      </c>
    </row>
    <row r="51" spans="1:7" ht="16.5" customHeight="1">
      <c r="A51" s="299" t="s">
        <v>2421</v>
      </c>
      <c r="B51" s="254" t="s">
        <v>2422</v>
      </c>
      <c r="C51" s="276">
        <f ca="1">ROUND(C49*F50,0)</f>
        <v>496</v>
      </c>
      <c r="D51" s="276"/>
      <c r="E51" s="276"/>
      <c r="F51" s="308"/>
      <c r="G51" s="278" t="s">
        <v>2423</v>
      </c>
    </row>
    <row r="52" spans="1:7" s="252" customFormat="1" ht="16.5" thickBot="1">
      <c r="A52" s="309" t="s">
        <v>2424</v>
      </c>
      <c r="B52" s="310"/>
      <c r="C52" s="311">
        <f ca="1">C31+C51</f>
        <v>531</v>
      </c>
      <c r="D52" s="310"/>
      <c r="E52" s="310"/>
      <c r="F52" s="310"/>
      <c r="G52" s="312"/>
    </row>
    <row r="55" spans="1:7" ht="15">
      <c r="B55" s="314" t="s">
        <v>2425</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北京市西城区西直门外大街1号院2号楼17层19C5-19C13房地产抵押价值预评估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530</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4642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5709</v>
      </c>
      <c r="D20" s="276"/>
      <c r="E20" s="276"/>
      <c r="F20" s="277">
        <f>'数据-取费表'!B37</f>
        <v>2.5000000000000001E-2</v>
      </c>
      <c r="G20" s="278" t="s">
        <v>2439</v>
      </c>
    </row>
    <row r="21" spans="1:7" s="258" customFormat="1" ht="13.5" customHeight="1">
      <c r="A21" s="299" t="s">
        <v>2440</v>
      </c>
      <c r="B21" s="254" t="s">
        <v>2441</v>
      </c>
      <c r="C21" s="279">
        <f>F21</f>
        <v>2.5000000000000001E-2</v>
      </c>
      <c r="D21" s="280" t="s">
        <v>2442</v>
      </c>
      <c r="E21" s="276"/>
      <c r="F21" s="277">
        <f>'数据-取费表'!B38</f>
        <v>2.5000000000000001E-2</v>
      </c>
      <c r="G21" s="278" t="s">
        <v>2443</v>
      </c>
    </row>
    <row r="22" spans="1:7" s="258" customFormat="1" ht="13.5" customHeight="1">
      <c r="A22" s="299" t="s">
        <v>2444</v>
      </c>
      <c r="B22" s="254" t="s">
        <v>2445</v>
      </c>
      <c r="C22" s="1380">
        <f ca="1">ROUND(SUM(C23:C25),0)</f>
        <v>22480</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271</v>
      </c>
      <c r="D25" s="282"/>
      <c r="E25" s="285"/>
      <c r="F25" s="283"/>
      <c r="G25" s="286" t="s">
        <v>2451</v>
      </c>
    </row>
    <row r="26" spans="1:7" s="258" customFormat="1">
      <c r="A26" s="951"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58516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ROUND((C5+C19+C20)*F27,0)</f>
        <v>58516</v>
      </c>
      <c r="D28" s="279"/>
      <c r="E28" s="280"/>
      <c r="F28" s="290"/>
      <c r="G28" s="291"/>
    </row>
    <row r="29" spans="1:7" s="258" customFormat="1" ht="13.5" customHeight="1">
      <c r="A29" s="951" t="s">
        <v>792</v>
      </c>
      <c r="B29" s="292" t="s">
        <v>2380</v>
      </c>
      <c r="C29" s="282">
        <f ca="1">ROUND(C21*F27,4)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344628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112108</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218329</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62" t="s">
        <v>2454</v>
      </c>
    </row>
    <row r="43" spans="1:7" ht="13.5" customHeight="1">
      <c r="A43" s="951" t="s">
        <v>792</v>
      </c>
      <c r="B43" s="259" t="s">
        <v>2408</v>
      </c>
      <c r="C43" s="282">
        <f ca="1">ROUND(IF('数据-取费表'!B22&lt;=1,C39*F22*'数据-取费表'!B20/2,C39*(POWER((1+F22),'数据-取费表'!B20/2)-1)),0)</f>
        <v>5325</v>
      </c>
      <c r="D43" s="282"/>
      <c r="E43" s="282"/>
      <c r="F43" s="283"/>
      <c r="G43" s="3163"/>
    </row>
    <row r="44" spans="1:7" ht="13.5" customHeight="1">
      <c r="A44" s="951" t="s">
        <v>793</v>
      </c>
      <c r="B44" s="259" t="s">
        <v>2409</v>
      </c>
      <c r="C44" s="282">
        <f ca="1">ROUND(IF('数据-取费表'!B22&lt;=1,C40*F22*'数据-取费表'!B20/2,C40*(POWER((1+F22),'数据-取费表'!B20/2)-1)),4)</f>
        <v>1.1999999999999999E-3</v>
      </c>
      <c r="D44" s="282"/>
      <c r="E44" s="282"/>
      <c r="F44" s="283"/>
      <c r="G44" s="3164"/>
    </row>
    <row r="45" spans="1:7" s="258" customFormat="1" ht="13.5" customHeight="1">
      <c r="A45" s="299" t="s">
        <v>2410</v>
      </c>
      <c r="B45" s="288" t="s">
        <v>2376</v>
      </c>
      <c r="C45" s="289">
        <f ca="1">C46</f>
        <v>1149103</v>
      </c>
      <c r="D45" s="279">
        <f ca="1">C47</f>
        <v>6.3E-3</v>
      </c>
      <c r="E45" s="280" t="s">
        <v>2402</v>
      </c>
      <c r="F45" s="290"/>
      <c r="G45" s="291" t="s">
        <v>2411</v>
      </c>
    </row>
    <row r="46" spans="1:7" s="258" customFormat="1" ht="13.5" customHeight="1">
      <c r="A46" s="951" t="s">
        <v>791</v>
      </c>
      <c r="B46" s="292" t="s">
        <v>2412</v>
      </c>
      <c r="C46" s="293">
        <f ca="1">ROUND((C33+C39)*F27,0)</f>
        <v>1149103</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6523564</v>
      </c>
      <c r="D49" s="276"/>
      <c r="E49" s="276"/>
      <c r="F49" s="308"/>
      <c r="G49" s="278" t="s">
        <v>2417</v>
      </c>
    </row>
    <row r="50" spans="1:7" s="302" customFormat="1">
      <c r="A50" s="299" t="s">
        <v>2418</v>
      </c>
      <c r="B50" s="254" t="s">
        <v>2419</v>
      </c>
      <c r="C50" s="276"/>
      <c r="D50" s="276"/>
      <c r="E50" s="276"/>
      <c r="F50" s="308">
        <f>IF('数据-取费表'!B24=0,'数据-取费表'!N16,1)</f>
        <v>0.76</v>
      </c>
      <c r="G50" s="291"/>
    </row>
    <row r="51" spans="1:7" ht="16.5" customHeight="1">
      <c r="A51" s="299" t="s">
        <v>2421</v>
      </c>
      <c r="B51" s="254" t="s">
        <v>2456</v>
      </c>
      <c r="C51" s="276">
        <f ca="1">ROUND(C49*F50,0)</f>
        <v>4957909</v>
      </c>
      <c r="D51" s="276"/>
      <c r="E51" s="276"/>
      <c r="F51" s="308"/>
      <c r="G51" s="278" t="s">
        <v>2423</v>
      </c>
    </row>
    <row r="52" spans="1:7" s="252" customFormat="1" ht="16.5" thickBot="1">
      <c r="A52" s="309" t="s">
        <v>2424</v>
      </c>
      <c r="B52" s="310"/>
      <c r="C52" s="311">
        <f ca="1">C31+C51</f>
        <v>5302537</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2.5000000000000001E-2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2.5000000000000001E-2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E22" sqref="E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480</v>
      </c>
      <c r="C2" s="1840" t="s">
        <v>1512</v>
      </c>
      <c r="D2" s="1840"/>
      <c r="E2" s="1841"/>
      <c r="F2" s="1842"/>
      <c r="G2" s="1843"/>
      <c r="H2" s="1835"/>
      <c r="I2" s="1835"/>
      <c r="J2" s="1835"/>
      <c r="K2" s="1836"/>
      <c r="L2" s="1835"/>
      <c r="M2" s="1835"/>
    </row>
    <row r="3" spans="1:37" ht="18" customHeight="1" thickBot="1">
      <c r="A3" s="1844" t="s">
        <v>1513</v>
      </c>
      <c r="B3" s="1845">
        <f ca="1">IF(ISERROR(B2*10000/F43),0,ROUND(B2*10000/F43,0))</f>
        <v>46363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28</v>
      </c>
      <c r="D5" s="1817" t="s">
        <v>1398</v>
      </c>
      <c r="E5" s="1293"/>
      <c r="F5" s="1294"/>
      <c r="G5" s="1846"/>
      <c r="H5" s="344">
        <v>1</v>
      </c>
      <c r="I5" s="345" t="s">
        <v>1397</v>
      </c>
      <c r="J5" s="1292">
        <f ca="1">J6+J10+J12</f>
        <v>0</v>
      </c>
      <c r="K5" s="1817" t="s">
        <v>1398</v>
      </c>
      <c r="L5" s="1293"/>
      <c r="M5" s="1294"/>
    </row>
    <row r="6" spans="1:37" ht="18" customHeight="1">
      <c r="A6" s="1291" t="s">
        <v>1032</v>
      </c>
      <c r="B6" s="3167" t="s">
        <v>1399</v>
      </c>
      <c r="C6" s="1296">
        <f ca="1">ROUND(F6*F8*F7*(1-F9)/10000,0)</f>
        <v>28</v>
      </c>
      <c r="D6" s="164" t="s">
        <v>3029</v>
      </c>
      <c r="E6" s="347" t="s">
        <v>1401</v>
      </c>
      <c r="F6" s="348">
        <f ca="1">INDIRECT("'数据-取费表'!u"&amp;$G$1)</f>
        <v>8.3000000000000007</v>
      </c>
      <c r="G6" s="1846"/>
      <c r="H6" s="1291" t="s">
        <v>1032</v>
      </c>
      <c r="I6" s="3167" t="s">
        <v>1399</v>
      </c>
      <c r="J6" s="346">
        <f ca="1">ROUND(M6*M8*M7*(1-M9)/10000,0)</f>
        <v>0</v>
      </c>
      <c r="K6" s="164" t="s">
        <v>3028</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46</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60</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2.5000000000000001E-2</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1.5</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60</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4.9000000000000004</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1.49</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3.36</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1.5</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0.8</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21</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480</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ROUND(C40*10000/F43,0)</f>
        <v>46363</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-588</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480</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60</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300</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480</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46</v>
      </c>
      <c r="D56" s="1909"/>
      <c r="E56" s="1910"/>
      <c r="F56" s="1902"/>
      <c r="I56" s="1911" t="s">
        <v>1550</v>
      </c>
      <c r="J56" s="1912" t="s">
        <v>3094</v>
      </c>
      <c r="K56" s="1882" t="s">
        <v>1551</v>
      </c>
      <c r="L56" s="1885" t="str">
        <f ca="1">IF(L48&lt;J51,"——",L48-J53)</f>
        <v>——</v>
      </c>
      <c r="O56" s="1879" t="s">
        <v>1037</v>
      </c>
      <c r="P56" s="1880" t="s">
        <v>1524</v>
      </c>
      <c r="Q56" s="1881">
        <f ca="1">C40+J29</f>
        <v>480</v>
      </c>
      <c r="R56" s="1881" t="s">
        <v>1525</v>
      </c>
    </row>
    <row r="57" spans="1:18" s="1837" customFormat="1" ht="24.75" thickBot="1">
      <c r="A57" s="1913"/>
      <c r="B57" s="1169" t="s">
        <v>1474</v>
      </c>
      <c r="C57" s="282">
        <f ca="1">C29</f>
        <v>60</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7</v>
      </c>
      <c r="D58" s="1179" t="s">
        <v>1421</v>
      </c>
      <c r="E58" s="1180"/>
      <c r="F58" s="1181"/>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5</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5.04</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480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1.5</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480</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-7</v>
      </c>
      <c r="D67" s="1182" t="s">
        <v>1460</v>
      </c>
      <c r="E67" s="1187"/>
      <c r="F67" s="1188"/>
      <c r="O67" s="1889" t="s">
        <v>1039</v>
      </c>
      <c r="P67" s="1880" t="s">
        <v>1558</v>
      </c>
      <c r="Q67" s="1928">
        <f ca="1">L51</f>
        <v>300</v>
      </c>
      <c r="R67" s="1881" t="s">
        <v>1578</v>
      </c>
    </row>
    <row r="68" spans="1:18" s="1837" customFormat="1" ht="16.5" thickBot="1">
      <c r="A68" s="1166" t="s">
        <v>1029</v>
      </c>
      <c r="B68" s="1167" t="s">
        <v>1481</v>
      </c>
      <c r="C68" s="346">
        <f ca="1">ROUND(C67*(1-((1+F70)/(1+F68))^F69)/(F68-F70),0)</f>
        <v>-108</v>
      </c>
      <c r="D68" s="1184" t="s">
        <v>1465</v>
      </c>
      <c r="E68" s="1169" t="s">
        <v>1466</v>
      </c>
      <c r="F68" s="357">
        <f ca="1">F40</f>
        <v>5.5E-2</v>
      </c>
      <c r="O68" s="1889" t="s">
        <v>1040</v>
      </c>
      <c r="P68" s="1929" t="s">
        <v>1579</v>
      </c>
      <c r="Q68" s="1881">
        <f ca="1">ROUND(Q69-Q70*Q71,0)</f>
        <v>17</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21</v>
      </c>
      <c r="R69" s="1881" t="s">
        <v>1525</v>
      </c>
    </row>
    <row r="70" spans="1:18" s="1837" customFormat="1" ht="13.5" thickBot="1">
      <c r="A70" s="1173"/>
      <c r="B70" s="1174"/>
      <c r="C70" s="355"/>
      <c r="D70" s="1185"/>
      <c r="E70" s="1169" t="s">
        <v>1473</v>
      </c>
      <c r="F70" s="1275"/>
      <c r="O70" s="1889" t="s">
        <v>1046</v>
      </c>
      <c r="P70" s="1929" t="s">
        <v>1581</v>
      </c>
      <c r="Q70" s="1881">
        <f ca="1">C13</f>
        <v>46</v>
      </c>
      <c r="R70" s="1881" t="s">
        <v>1525</v>
      </c>
    </row>
    <row r="71" spans="1:18" s="1837" customFormat="1" ht="13.5" thickBot="1">
      <c r="A71" s="1190" t="s">
        <v>1030</v>
      </c>
      <c r="B71" s="1191" t="s">
        <v>1483</v>
      </c>
      <c r="C71" s="382">
        <f ca="1">ROUND(C68*10000/F71,0)</f>
        <v>-10432</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480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v>
      </c>
    </row>
    <row r="80" spans="1:18">
      <c r="B80" s="386" t="s">
        <v>1507</v>
      </c>
      <c r="C80" s="318">
        <f ca="1">ROUND(C75/C39,3)</f>
        <v>0.19</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G49" sqref="G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f ca="1">ROUND(D2/10000,0)</f>
        <v>477</v>
      </c>
      <c r="C2" s="1840" t="s">
        <v>1587</v>
      </c>
      <c r="D2" s="1933">
        <f ca="1">C40+J29+L46</f>
        <v>4770425</v>
      </c>
      <c r="E2" s="1841" t="s">
        <v>1588</v>
      </c>
      <c r="F2" s="1842"/>
      <c r="G2" s="1843"/>
      <c r="H2" s="1835"/>
      <c r="I2" s="1835"/>
      <c r="J2" s="1835"/>
      <c r="K2" s="1836"/>
      <c r="L2" s="1835"/>
      <c r="M2" s="1835"/>
    </row>
    <row r="3" spans="1:37" ht="18" customHeight="1" thickBot="1">
      <c r="A3" s="1844" t="s">
        <v>1589</v>
      </c>
      <c r="B3" s="1845">
        <f ca="1">IF(ISERROR(D2/F43),0,ROUND(D2/F43,0))</f>
        <v>46078</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282280</v>
      </c>
      <c r="D5" s="1817" t="s">
        <v>1597</v>
      </c>
      <c r="E5" s="1293"/>
      <c r="F5" s="1294"/>
      <c r="G5" s="1846"/>
      <c r="H5" s="344">
        <v>1</v>
      </c>
      <c r="I5" s="345" t="s">
        <v>1596</v>
      </c>
      <c r="J5" s="1292">
        <f ca="1">J6+J10+J12</f>
        <v>0</v>
      </c>
      <c r="K5" s="1817" t="s">
        <v>1597</v>
      </c>
      <c r="L5" s="1293"/>
      <c r="M5" s="1294"/>
    </row>
    <row r="6" spans="1:37" ht="18" customHeight="1">
      <c r="A6" s="1291" t="s">
        <v>1032</v>
      </c>
      <c r="B6" s="3167" t="s">
        <v>1399</v>
      </c>
      <c r="C6" s="1296">
        <f ca="1">ROUND(F6*F8*F7*(1-F9),0)</f>
        <v>282280</v>
      </c>
      <c r="D6" s="164" t="s">
        <v>3026</v>
      </c>
      <c r="E6" s="347" t="s">
        <v>1401</v>
      </c>
      <c r="F6" s="348">
        <f ca="1">INDIRECT("'数据-取费表'!u"&amp;$G$1)</f>
        <v>8.3000000000000007</v>
      </c>
      <c r="G6" s="1846"/>
      <c r="H6" s="1291" t="s">
        <v>1032</v>
      </c>
      <c r="I6" s="3167" t="s">
        <v>1399</v>
      </c>
      <c r="J6" s="346">
        <f ca="1">ROUND(M6*M8*M7*(1-M9),0)</f>
        <v>0</v>
      </c>
      <c r="K6" s="1829" t="s">
        <v>3027</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3037</v>
      </c>
      <c r="E10" s="358" t="s">
        <v>1406</v>
      </c>
      <c r="F10" s="1366"/>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449558</v>
      </c>
      <c r="D13" s="1331" t="s">
        <v>1411</v>
      </c>
      <c r="E13" s="1331" t="s">
        <v>1412</v>
      </c>
      <c r="F13" s="1332">
        <f ca="1">INDIRECT("'数据-取费表'!y"&amp;$G$1)</f>
        <v>0.76</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362355</v>
      </c>
      <c r="D14" s="1795" t="s">
        <v>1414</v>
      </c>
      <c r="E14" s="1789"/>
      <c r="F14" s="364"/>
      <c r="G14" s="1846"/>
      <c r="H14" s="1201" t="s">
        <v>1032</v>
      </c>
      <c r="I14" s="347" t="s">
        <v>1415</v>
      </c>
      <c r="J14" s="24">
        <f ca="1">C29</f>
        <v>591524</v>
      </c>
      <c r="K14" s="15"/>
      <c r="L14" s="979"/>
      <c r="M14" s="980"/>
    </row>
    <row r="15" spans="1:37" s="1853" customFormat="1" ht="18" customHeight="1" thickBot="1">
      <c r="A15" s="1201" t="s">
        <v>1033</v>
      </c>
      <c r="B15" s="347" t="s">
        <v>1416</v>
      </c>
      <c r="C15" s="24">
        <f ca="1">ROUND(C14*F15,0)</f>
        <v>18118</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19757</v>
      </c>
      <c r="K16" s="1337" t="s">
        <v>1421</v>
      </c>
      <c r="L16" s="1338"/>
      <c r="M16" s="1294"/>
    </row>
    <row r="17" spans="1:37" s="1853" customFormat="1" ht="18" customHeight="1">
      <c r="A17" s="1201" t="s">
        <v>1386</v>
      </c>
      <c r="B17" s="347" t="s">
        <v>1422</v>
      </c>
      <c r="C17" s="24">
        <f ca="1">ROUND(F17*(F43+INDIRECT("'数据-取费表'!S"&amp;$G$1)),0)</f>
        <v>20706</v>
      </c>
      <c r="D17" s="347" t="s">
        <v>1423</v>
      </c>
      <c r="E17" s="347" t="s">
        <v>1424</v>
      </c>
      <c r="F17" s="26">
        <f>'数据-取费表'!B35</f>
        <v>200</v>
      </c>
      <c r="G17" s="1849"/>
      <c r="H17" s="1201" t="s">
        <v>1032</v>
      </c>
      <c r="I17" s="347" t="s">
        <v>1425</v>
      </c>
      <c r="J17" s="24">
        <f ca="1">ROUND(IF(项目基本情况!B11="自然人",J5*M17,J18+J19+J20),0)</f>
        <v>4969</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5435</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406614</v>
      </c>
      <c r="D19" s="140" t="s">
        <v>1432</v>
      </c>
      <c r="E19" s="1813"/>
      <c r="F19" s="26"/>
      <c r="G19" s="1846"/>
      <c r="H19" s="1201" t="s">
        <v>1033</v>
      </c>
      <c r="I19" s="347" t="s">
        <v>1433</v>
      </c>
      <c r="J19" s="24">
        <f ca="1">IF(K19="按租金收入计税",ROUND(J5*M19,0),ROUND(C29*M19*0.7,0))</f>
        <v>4969</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10165</v>
      </c>
      <c r="D20" s="369" t="s">
        <v>1436</v>
      </c>
      <c r="E20" s="347" t="s">
        <v>1418</v>
      </c>
      <c r="F20" s="367">
        <f>'数据-取费表'!B37</f>
        <v>2.5000000000000001E-2</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14788</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19797</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-19757</v>
      </c>
      <c r="K25" s="1345" t="s">
        <v>1460</v>
      </c>
      <c r="L25" s="1346"/>
      <c r="M25" s="1347"/>
    </row>
    <row r="26" spans="1:37" ht="18" customHeight="1">
      <c r="A26" s="1201" t="s">
        <v>1031</v>
      </c>
      <c r="B26" s="347" t="s">
        <v>1461</v>
      </c>
      <c r="C26" s="24">
        <f ca="1">ROUND((C19+C20)*F26,0)</f>
        <v>104195</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591524</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73534</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48929</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15055</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33874</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14788</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ROUND(C13*F37,0)</f>
        <v>1349</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8468.4</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208746</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4770425</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ROUND(C40/F43,0)</f>
        <v>46078</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f ca="1">C68-C40</f>
        <v>-6274709</v>
      </c>
      <c r="D45" s="1935" t="s">
        <v>1600</v>
      </c>
      <c r="E45" s="1861"/>
      <c r="F45" s="1861"/>
      <c r="O45" s="1864" t="s">
        <v>1515</v>
      </c>
      <c r="P45" s="1834"/>
      <c r="Q45" s="1834"/>
      <c r="R45" s="1834"/>
    </row>
    <row r="46" spans="1:18" s="1837" customFormat="1" ht="13.5" thickBot="1">
      <c r="A46" s="1865" t="s">
        <v>1516</v>
      </c>
      <c r="C46" s="1866">
        <f ca="1">ROUND(C45/10000,0)</f>
        <v>-627</v>
      </c>
      <c r="D46" s="1867" t="str">
        <f>C2</f>
        <v>万元</v>
      </c>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4770425</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v>2005</v>
      </c>
      <c r="K49" s="1884" t="s">
        <v>1531</v>
      </c>
      <c r="L49" s="1888"/>
      <c r="O49" s="1889" t="s">
        <v>1039</v>
      </c>
      <c r="P49" s="1880" t="s">
        <v>1532</v>
      </c>
      <c r="Q49" s="1881">
        <f ca="1">C29</f>
        <v>591524</v>
      </c>
      <c r="R49" s="1881" t="s">
        <v>1525</v>
      </c>
    </row>
    <row r="50" spans="1:18" s="1837" customFormat="1" ht="13.5" thickBot="1">
      <c r="A50" s="1195"/>
      <c r="B50" s="1198"/>
      <c r="C50" s="1199"/>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2989045</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f ca="1">J53</f>
        <v>35.32</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4770425</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449558</v>
      </c>
      <c r="D56" s="1909"/>
      <c r="E56" s="1910"/>
      <c r="F56" s="1902"/>
      <c r="I56" s="1911" t="s">
        <v>1550</v>
      </c>
      <c r="J56" s="1912" t="s">
        <v>3094</v>
      </c>
      <c r="K56" s="1882" t="s">
        <v>1551</v>
      </c>
      <c r="L56" s="1885" t="str">
        <f ca="1">IF(L48&lt;J51,"——",L48-J51)</f>
        <v>——</v>
      </c>
      <c r="O56" s="1879" t="s">
        <v>1037</v>
      </c>
      <c r="P56" s="1880" t="s">
        <v>1524</v>
      </c>
      <c r="Q56" s="1881">
        <f ca="1">C40+J29</f>
        <v>4770425</v>
      </c>
      <c r="R56" s="1881" t="s">
        <v>1525</v>
      </c>
    </row>
    <row r="57" spans="1:18" s="1837" customFormat="1" ht="24.75" thickBot="1">
      <c r="A57" s="1913"/>
      <c r="B57" s="1169" t="s">
        <v>1474</v>
      </c>
      <c r="C57" s="282">
        <f ca="1">C29</f>
        <v>591524</v>
      </c>
      <c r="D57" s="1914"/>
      <c r="E57" s="1915"/>
      <c r="F57" s="1916"/>
      <c r="I57" s="1917" t="s">
        <v>1552</v>
      </c>
      <c r="J57" s="1918" t="str">
        <f ca="1">IF(OR(M47="住宅",J51&lt;L48,J56="是"),"——",J51-L48)</f>
        <v>——</v>
      </c>
      <c r="K57" s="1882" t="s">
        <v>1601</v>
      </c>
      <c r="L57" s="1885" t="str">
        <f ca="1">IF(L48&lt;J51,"——",IF(L55="比较法",L49,IF(L55="基准地价",L50,L51)))</f>
        <v>——</v>
      </c>
      <c r="O57" s="1879" t="s">
        <v>1038</v>
      </c>
      <c r="P57" s="1880" t="s">
        <v>1602</v>
      </c>
      <c r="Q57" s="1881">
        <f ca="1">L60</f>
        <v>0</v>
      </c>
      <c r="R57" s="1881" t="s">
        <v>1603</v>
      </c>
    </row>
    <row r="58" spans="1:18" s="1837" customFormat="1" ht="24.75" thickBot="1">
      <c r="A58" s="360" t="s">
        <v>1027</v>
      </c>
      <c r="B58" s="1177" t="s">
        <v>1420</v>
      </c>
      <c r="C58" s="361">
        <f ca="1">ROUND(C59+C64+C65+C66,0)</f>
        <v>65825</v>
      </c>
      <c r="D58" s="1179" t="s">
        <v>1421</v>
      </c>
      <c r="E58" s="1180"/>
      <c r="F58" s="1181"/>
      <c r="I58" s="1917" t="s">
        <v>1556</v>
      </c>
      <c r="J58" s="1919" t="e">
        <f ca="1">IF(J55&lt;0.4,0.4,J55)</f>
        <v>#VALUE!</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49688</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49688</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4770425</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14788</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1349</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4770425</v>
      </c>
      <c r="R65" s="1881" t="s">
        <v>1525</v>
      </c>
    </row>
    <row r="66" spans="1:18" s="1837" customFormat="1" ht="16.5" thickBot="1">
      <c r="A66" s="1201" t="s">
        <v>1500</v>
      </c>
      <c r="B66" s="1169" t="s">
        <v>1435</v>
      </c>
      <c r="C66" s="24">
        <f ca="1">ROUND(C48*F66,0)</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-65825</v>
      </c>
      <c r="D67" s="1182" t="s">
        <v>1460</v>
      </c>
      <c r="E67" s="1187"/>
      <c r="F67" s="1188"/>
      <c r="O67" s="1889" t="s">
        <v>1039</v>
      </c>
      <c r="P67" s="1880" t="s">
        <v>1558</v>
      </c>
      <c r="Q67" s="1928">
        <f ca="1">L51</f>
        <v>2989045</v>
      </c>
      <c r="R67" s="1881" t="s">
        <v>1578</v>
      </c>
    </row>
    <row r="68" spans="1:18" s="1837" customFormat="1" ht="16.5" thickBot="1">
      <c r="A68" s="1166" t="s">
        <v>1029</v>
      </c>
      <c r="B68" s="1167" t="s">
        <v>1481</v>
      </c>
      <c r="C68" s="346">
        <f ca="1">ROUND(C67*(1-((1+F70)/(1+F68))^F69)/(F68-F70),0)</f>
        <v>-1504284</v>
      </c>
      <c r="D68" s="1184" t="s">
        <v>1465</v>
      </c>
      <c r="E68" s="1169" t="s">
        <v>1466</v>
      </c>
      <c r="F68" s="357">
        <f ca="1">F40</f>
        <v>5.5E-2</v>
      </c>
      <c r="O68" s="1889" t="s">
        <v>1040</v>
      </c>
      <c r="P68" s="1929" t="s">
        <v>1579</v>
      </c>
      <c r="Q68" s="1881">
        <f ca="1">ROUND(Q69-Q70*Q71,0)</f>
        <v>170534</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208746</v>
      </c>
      <c r="R69" s="1881" t="s">
        <v>1525</v>
      </c>
    </row>
    <row r="70" spans="1:18" s="1837" customFormat="1" ht="13.5" thickBot="1">
      <c r="A70" s="1173"/>
      <c r="B70" s="1174"/>
      <c r="C70" s="355"/>
      <c r="D70" s="1185"/>
      <c r="E70" s="1169" t="s">
        <v>1473</v>
      </c>
      <c r="F70" s="1275">
        <f ca="1">F42</f>
        <v>0.03</v>
      </c>
      <c r="O70" s="1889" t="s">
        <v>1046</v>
      </c>
      <c r="P70" s="1929" t="s">
        <v>1581</v>
      </c>
      <c r="Q70" s="1881">
        <f ca="1">C13</f>
        <v>449558</v>
      </c>
      <c r="R70" s="1881" t="s">
        <v>1525</v>
      </c>
    </row>
    <row r="71" spans="1:18" s="1837" customFormat="1" ht="13.5" thickBot="1">
      <c r="A71" s="1190" t="s">
        <v>1030</v>
      </c>
      <c r="B71" s="1191" t="s">
        <v>1483</v>
      </c>
      <c r="C71" s="382">
        <f ca="1">ROUND(C68/F71,0)</f>
        <v>-14530</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38212</v>
      </c>
      <c r="D75" s="1837"/>
      <c r="E75" s="1837"/>
      <c r="F75" s="1837"/>
      <c r="K75" s="1863"/>
      <c r="L75" s="1837"/>
      <c r="O75" s="1879" t="s">
        <v>1043</v>
      </c>
      <c r="P75" s="1880" t="s">
        <v>1545</v>
      </c>
      <c r="Q75" s="1881">
        <f ca="1">Q65+Q66</f>
        <v>4770425</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0.81699999999999995</v>
      </c>
    </row>
    <row r="80" spans="1:18">
      <c r="B80" s="386" t="s">
        <v>1507</v>
      </c>
      <c r="C80" s="318">
        <f ca="1">ROUND(C75/C39,3)</f>
        <v>0.183</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480</v>
      </c>
      <c r="C2" s="2563" t="s">
        <v>2517</v>
      </c>
      <c r="D2" s="2564" t="s">
        <v>2518</v>
      </c>
      <c r="E2" s="2565">
        <f>SUM(E6:E13)</f>
        <v>103.53</v>
      </c>
    </row>
    <row r="3" spans="1:6" ht="15.75">
      <c r="A3" s="2561" t="s">
        <v>1391</v>
      </c>
      <c r="B3" s="2562">
        <f ca="1">ROUND(B2*10000/E2,0)</f>
        <v>46363</v>
      </c>
      <c r="C3" s="2563" t="s">
        <v>2525</v>
      </c>
      <c r="D3" s="2566"/>
      <c r="E3" s="2567"/>
    </row>
    <row r="4" spans="1:6" ht="15.75">
      <c r="A4" s="2568"/>
      <c r="B4" s="2566"/>
      <c r="C4" s="2566"/>
      <c r="D4" s="2566"/>
      <c r="E4" s="2567"/>
    </row>
    <row r="5" spans="1:6" ht="15">
      <c r="A5" s="2569" t="s">
        <v>2519</v>
      </c>
      <c r="B5" s="3170" t="s">
        <v>2520</v>
      </c>
      <c r="C5" s="3170"/>
      <c r="D5" s="2570"/>
      <c r="E5" s="2571" t="s">
        <v>2521</v>
      </c>
      <c r="F5" s="2572" t="s">
        <v>2522</v>
      </c>
    </row>
    <row r="6" spans="1:6">
      <c r="A6" s="2573" t="str">
        <f>'数据-取费表'!AN6</f>
        <v>收益法</v>
      </c>
      <c r="B6" s="2572">
        <f ca="1">IF(F6="是",'数据-取费表'!AO6,0)</f>
        <v>480</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1073</v>
      </c>
      <c r="B1" s="3188"/>
      <c r="C1" s="3189"/>
      <c r="D1" s="3190">
        <f>SUM(I10,I15,I20,I21,I23)</f>
        <v>0</v>
      </c>
      <c r="E1" s="3190"/>
      <c r="F1" s="3190"/>
      <c r="G1" s="3190"/>
      <c r="H1" s="3190"/>
      <c r="I1" s="3191"/>
    </row>
    <row r="2" spans="1:9">
      <c r="A2" s="3177" t="s">
        <v>1074</v>
      </c>
      <c r="B2" s="3178" t="s">
        <v>1075</v>
      </c>
      <c r="C2" s="3178"/>
      <c r="D2" s="1301" t="s">
        <v>1076</v>
      </c>
      <c r="E2" s="1301" t="s">
        <v>1077</v>
      </c>
      <c r="F2" s="1301" t="s">
        <v>1078</v>
      </c>
      <c r="G2" s="1301" t="s">
        <v>1079</v>
      </c>
      <c r="H2" s="1301" t="s">
        <v>1080</v>
      </c>
      <c r="I2" s="1302" t="s">
        <v>1081</v>
      </c>
    </row>
    <row r="3" spans="1:9">
      <c r="A3" s="3177"/>
      <c r="B3" s="3178" t="s">
        <v>1082</v>
      </c>
      <c r="C3" s="3178"/>
      <c r="D3" s="1303"/>
      <c r="E3" s="1301"/>
      <c r="F3" s="1304"/>
      <c r="G3" s="1304"/>
      <c r="H3" s="1305"/>
      <c r="I3" s="1306">
        <f>ROUND(D3*E3*F3*G3*H3/10000,0)</f>
        <v>0</v>
      </c>
    </row>
    <row r="4" spans="1:9">
      <c r="A4" s="3177"/>
      <c r="B4" s="3178" t="s">
        <v>1083</v>
      </c>
      <c r="C4" s="3178"/>
      <c r="D4" s="1303"/>
      <c r="E4" s="1301"/>
      <c r="F4" s="1304"/>
      <c r="G4" s="1304"/>
      <c r="H4" s="1305"/>
      <c r="I4" s="1306">
        <f t="shared" ref="I4:I9" si="0">ROUND(D4*E4*F4*G4*H4/10000,0)</f>
        <v>0</v>
      </c>
    </row>
    <row r="5" spans="1:9">
      <c r="A5" s="3177"/>
      <c r="B5" s="3178" t="s">
        <v>1084</v>
      </c>
      <c r="C5" s="3178"/>
      <c r="D5" s="1303"/>
      <c r="E5" s="1301"/>
      <c r="F5" s="1304"/>
      <c r="G5" s="1304"/>
      <c r="H5" s="1305"/>
      <c r="I5" s="1306">
        <f t="shared" si="0"/>
        <v>0</v>
      </c>
    </row>
    <row r="6" spans="1:9">
      <c r="A6" s="3177"/>
      <c r="B6" s="3178" t="s">
        <v>1085</v>
      </c>
      <c r="C6" s="3178"/>
      <c r="D6" s="1303"/>
      <c r="E6" s="1301"/>
      <c r="F6" s="1304"/>
      <c r="G6" s="1304"/>
      <c r="H6" s="1305"/>
      <c r="I6" s="1306">
        <f t="shared" si="0"/>
        <v>0</v>
      </c>
    </row>
    <row r="7" spans="1:9">
      <c r="A7" s="3177"/>
      <c r="B7" s="3178" t="s">
        <v>1086</v>
      </c>
      <c r="C7" s="3178"/>
      <c r="D7" s="1303"/>
      <c r="E7" s="1301"/>
      <c r="F7" s="1304"/>
      <c r="G7" s="1304"/>
      <c r="H7" s="1305"/>
      <c r="I7" s="1306">
        <f t="shared" si="0"/>
        <v>0</v>
      </c>
    </row>
    <row r="8" spans="1:9">
      <c r="A8" s="3177"/>
      <c r="B8" s="3178" t="s">
        <v>1087</v>
      </c>
      <c r="C8" s="3178"/>
      <c r="D8" s="1303"/>
      <c r="E8" s="1301"/>
      <c r="F8" s="1304"/>
      <c r="G8" s="1304"/>
      <c r="H8" s="1305"/>
      <c r="I8" s="1306">
        <f t="shared" si="0"/>
        <v>0</v>
      </c>
    </row>
    <row r="9" spans="1:9">
      <c r="A9" s="3177"/>
      <c r="B9" s="3178" t="s">
        <v>1088</v>
      </c>
      <c r="C9" s="3178"/>
      <c r="D9" s="1303"/>
      <c r="E9" s="1301"/>
      <c r="F9" s="1304"/>
      <c r="G9" s="1304"/>
      <c r="H9" s="1305"/>
      <c r="I9" s="1306">
        <f t="shared" si="0"/>
        <v>0</v>
      </c>
    </row>
    <row r="10" spans="1:9">
      <c r="A10" s="3177"/>
      <c r="B10" s="3179" t="s">
        <v>1089</v>
      </c>
      <c r="C10" s="3179"/>
      <c r="D10" s="1307"/>
      <c r="E10" s="1307" t="e">
        <f>ROUND(D1*10000/D10/H9,0)</f>
        <v>#DIV/0!</v>
      </c>
      <c r="F10" s="1308"/>
      <c r="G10" s="1308"/>
      <c r="H10" s="1309"/>
      <c r="I10" s="1310">
        <f>SUM(I3:I9)</f>
        <v>0</v>
      </c>
    </row>
    <row r="11" spans="1:9" ht="14.25">
      <c r="A11" s="3177" t="s">
        <v>1090</v>
      </c>
      <c r="B11" s="3178" t="s">
        <v>1091</v>
      </c>
      <c r="C11" s="3178"/>
      <c r="D11" s="1303" t="s">
        <v>1092</v>
      </c>
      <c r="E11" s="1303" t="s">
        <v>1093</v>
      </c>
      <c r="F11" s="1304" t="s">
        <v>1094</v>
      </c>
      <c r="G11" s="1304" t="s">
        <v>1080</v>
      </c>
      <c r="H11" s="1311" t="s">
        <v>1095</v>
      </c>
      <c r="I11" s="1302" t="s">
        <v>1081</v>
      </c>
    </row>
    <row r="12" spans="1:9">
      <c r="A12" s="3177"/>
      <c r="B12" s="3178" t="s">
        <v>1096</v>
      </c>
      <c r="C12" s="3178"/>
      <c r="D12" s="1303"/>
      <c r="E12" s="1303"/>
      <c r="F12" s="1304"/>
      <c r="G12" s="1305"/>
      <c r="H12" s="1312"/>
      <c r="I12" s="1302">
        <f>ROUND(D12*E12*F12*G12/10000,0)</f>
        <v>0</v>
      </c>
    </row>
    <row r="13" spans="1:9">
      <c r="A13" s="3177"/>
      <c r="B13" s="3178" t="s">
        <v>1097</v>
      </c>
      <c r="C13" s="3178"/>
      <c r="D13" s="1303"/>
      <c r="E13" s="1303"/>
      <c r="F13" s="1304"/>
      <c r="G13" s="1305"/>
      <c r="H13" s="1312"/>
      <c r="I13" s="1302">
        <f>ROUND(D13*E13*F13*G13/10000,0)</f>
        <v>0</v>
      </c>
    </row>
    <row r="14" spans="1:9">
      <c r="A14" s="3177"/>
      <c r="B14" s="3178" t="s">
        <v>1098</v>
      </c>
      <c r="C14" s="3178"/>
      <c r="D14" s="1303"/>
      <c r="E14" s="1303"/>
      <c r="F14" s="1304"/>
      <c r="G14" s="1305"/>
      <c r="H14" s="1312"/>
      <c r="I14" s="1302">
        <f>ROUND(D14*E14*F14*G14/10000,0)</f>
        <v>0</v>
      </c>
    </row>
    <row r="15" spans="1:9">
      <c r="A15" s="3177"/>
      <c r="B15" s="3179" t="s">
        <v>1089</v>
      </c>
      <c r="C15" s="3179"/>
      <c r="D15" s="1307"/>
      <c r="E15" s="1307">
        <f>SUM(E12:E14)</f>
        <v>0</v>
      </c>
      <c r="F15" s="1308"/>
      <c r="G15" s="1305"/>
      <c r="H15" s="1312"/>
      <c r="I15" s="1313">
        <f>SUM(I12:I14)</f>
        <v>0</v>
      </c>
    </row>
    <row r="16" spans="1:9" ht="24">
      <c r="A16" s="3177" t="s">
        <v>1099</v>
      </c>
      <c r="B16" s="3178" t="s">
        <v>1100</v>
      </c>
      <c r="C16" s="3178"/>
      <c r="D16" s="1303" t="s">
        <v>1076</v>
      </c>
      <c r="E16" s="1314" t="s">
        <v>1101</v>
      </c>
      <c r="F16" s="1304" t="s">
        <v>1102</v>
      </c>
      <c r="G16" s="1305" t="s">
        <v>1080</v>
      </c>
      <c r="H16" s="1311" t="s">
        <v>1095</v>
      </c>
      <c r="I16" s="1302" t="s">
        <v>1081</v>
      </c>
    </row>
    <row r="17" spans="1:9" ht="14.25">
      <c r="A17" s="3177"/>
      <c r="B17" s="3178" t="s">
        <v>1103</v>
      </c>
      <c r="C17" s="3178"/>
      <c r="D17" s="1303"/>
      <c r="E17" s="1303"/>
      <c r="F17" s="1304"/>
      <c r="G17" s="1305"/>
      <c r="H17" s="1315"/>
      <c r="I17" s="1316">
        <f>ROUND(D17*E17*F17*G17/10000,0)</f>
        <v>0</v>
      </c>
    </row>
    <row r="18" spans="1:9" ht="14.25">
      <c r="A18" s="3177"/>
      <c r="B18" s="3178" t="s">
        <v>1104</v>
      </c>
      <c r="C18" s="3178"/>
      <c r="D18" s="1303"/>
      <c r="E18" s="1303"/>
      <c r="F18" s="1304"/>
      <c r="G18" s="1305"/>
      <c r="H18" s="1315"/>
      <c r="I18" s="1316">
        <f>ROUND(D18*E18*F18*G18/10000,0)</f>
        <v>0</v>
      </c>
    </row>
    <row r="19" spans="1:9" ht="14.25">
      <c r="A19" s="3177"/>
      <c r="B19" s="3178" t="s">
        <v>1105</v>
      </c>
      <c r="C19" s="3178"/>
      <c r="D19" s="1303"/>
      <c r="E19" s="1303"/>
      <c r="F19" s="1304"/>
      <c r="G19" s="1305"/>
      <c r="H19" s="1315"/>
      <c r="I19" s="1316">
        <f>ROUND(D19*E19*F19*G19/10000,0)</f>
        <v>0</v>
      </c>
    </row>
    <row r="20" spans="1:9">
      <c r="A20" s="3177"/>
      <c r="B20" s="3179" t="s">
        <v>1089</v>
      </c>
      <c r="C20" s="3179"/>
      <c r="D20" s="1307">
        <f>SUM(D17:D19)</f>
        <v>0</v>
      </c>
      <c r="E20" s="1307"/>
      <c r="F20" s="1308"/>
      <c r="G20" s="1305"/>
      <c r="H20" s="1312"/>
      <c r="I20" s="1313">
        <f>SUM(I17:I19)</f>
        <v>0</v>
      </c>
    </row>
    <row r="21" spans="1:9">
      <c r="A21" s="3177" t="s">
        <v>1106</v>
      </c>
      <c r="B21" s="3180"/>
      <c r="C21" s="3180"/>
      <c r="D21" s="3180"/>
      <c r="E21" s="3180"/>
      <c r="F21" s="3180"/>
      <c r="G21" s="3180"/>
      <c r="H21" s="1760">
        <v>0.1</v>
      </c>
      <c r="I21" s="1310">
        <f>ROUND(I10*H21,0)</f>
        <v>0</v>
      </c>
    </row>
    <row r="22" spans="1:9" ht="14.25">
      <c r="A22" s="3181" t="s">
        <v>1107</v>
      </c>
      <c r="B22" s="3182"/>
      <c r="C22" s="3183"/>
      <c r="D22" s="1317" t="s">
        <v>1108</v>
      </c>
      <c r="E22" s="1317" t="s">
        <v>1109</v>
      </c>
      <c r="F22" s="1318" t="s">
        <v>1110</v>
      </c>
      <c r="G22" s="1318" t="s">
        <v>1111</v>
      </c>
      <c r="H22" s="1311" t="s">
        <v>1112</v>
      </c>
      <c r="I22" s="1302" t="s">
        <v>1113</v>
      </c>
    </row>
    <row r="23" spans="1:9" ht="14.25" thickBot="1">
      <c r="A23" s="3184"/>
      <c r="B23" s="3185"/>
      <c r="C23" s="3186"/>
      <c r="D23" s="1319"/>
      <c r="E23" s="1319"/>
      <c r="F23" s="1319"/>
      <c r="G23" s="1320"/>
      <c r="H23" s="1321"/>
      <c r="I23" s="1322">
        <f>ROUND(E23*D23*F23*(1-G23)/10000,0)</f>
        <v>0</v>
      </c>
    </row>
    <row r="26" spans="1:9">
      <c r="A26" s="1323" t="s">
        <v>1114</v>
      </c>
      <c r="B26" s="1323"/>
      <c r="C26" s="1323"/>
      <c r="D26" s="1323"/>
      <c r="E26" s="3174">
        <f>C27-C30-C31-C32</f>
        <v>0</v>
      </c>
      <c r="F26" s="3174"/>
      <c r="G26" s="3174"/>
      <c r="H26" s="1732" t="s">
        <v>1336</v>
      </c>
    </row>
    <row r="27" spans="1:9">
      <c r="A27" s="1324">
        <v>1</v>
      </c>
      <c r="B27" s="1325" t="s">
        <v>1115</v>
      </c>
      <c r="C27" s="1325">
        <f>C28+C29</f>
        <v>0</v>
      </c>
      <c r="D27" s="1325"/>
      <c r="E27" s="3175"/>
      <c r="F27" s="3175"/>
      <c r="G27" s="3175"/>
    </row>
    <row r="28" spans="1:9">
      <c r="A28" s="1326" t="s">
        <v>1116</v>
      </c>
      <c r="B28" s="1325" t="s">
        <v>1117</v>
      </c>
      <c r="C28" s="1325"/>
      <c r="D28" s="1325"/>
      <c r="E28" s="3175"/>
      <c r="F28" s="3175"/>
      <c r="G28" s="317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6"/>
      <c r="F32" s="3176"/>
      <c r="G32" s="3176"/>
    </row>
    <row r="33" spans="1:7" hidden="1">
      <c r="A33" s="3171" t="s">
        <v>1126</v>
      </c>
      <c r="B33" s="3172"/>
      <c r="C33" s="3172"/>
      <c r="D33" s="3173"/>
      <c r="E33" s="3174"/>
      <c r="F33" s="3174"/>
      <c r="G33" s="3174"/>
    </row>
    <row r="34" spans="1:7" hidden="1">
      <c r="A34" s="1328">
        <v>1</v>
      </c>
      <c r="B34" s="1325" t="s">
        <v>1127</v>
      </c>
      <c r="C34" s="1325"/>
      <c r="D34" s="1325"/>
      <c r="E34" s="3175"/>
      <c r="F34" s="3175"/>
      <c r="G34" s="3175"/>
    </row>
    <row r="35" spans="1:7" hidden="1">
      <c r="A35" s="1328">
        <v>2</v>
      </c>
      <c r="B35" s="1325" t="s">
        <v>1128</v>
      </c>
      <c r="C35" s="1325"/>
      <c r="D35" s="1325"/>
      <c r="E35" s="3175"/>
      <c r="F35" s="3175"/>
      <c r="G35" s="3175"/>
    </row>
    <row r="36" spans="1:7" hidden="1">
      <c r="A36" s="1328">
        <v>3</v>
      </c>
      <c r="B36" s="1325" t="s">
        <v>1129</v>
      </c>
      <c r="C36" s="1325"/>
      <c r="D36" s="1325"/>
      <c r="E36" s="3175"/>
      <c r="F36" s="3175"/>
      <c r="G36" s="3175"/>
    </row>
    <row r="37" spans="1:7" hidden="1">
      <c r="A37" s="1328">
        <v>4</v>
      </c>
      <c r="B37" s="1325" t="s">
        <v>1130</v>
      </c>
      <c r="C37" s="1325"/>
      <c r="D37" s="1325"/>
      <c r="E37" s="3175"/>
      <c r="F37" s="3175"/>
      <c r="G37" s="3175"/>
    </row>
    <row r="38" spans="1:7" hidden="1">
      <c r="A38" s="3171" t="s">
        <v>1131</v>
      </c>
      <c r="B38" s="3172"/>
      <c r="C38" s="3172"/>
      <c r="D38" s="3173"/>
      <c r="E38" s="3174"/>
      <c r="F38" s="3174"/>
      <c r="G38" s="31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210" t="s">
        <v>2534</v>
      </c>
      <c r="D4" s="3211"/>
      <c r="E4" s="3212" t="s">
        <v>2535</v>
      </c>
      <c r="F4" s="3213"/>
      <c r="G4" s="3210" t="s">
        <v>2536</v>
      </c>
      <c r="H4" s="3211"/>
      <c r="I4" s="3210" t="s">
        <v>2537</v>
      </c>
      <c r="J4" s="3211"/>
      <c r="K4" s="2593" t="s">
        <v>2538</v>
      </c>
      <c r="L4" s="1130"/>
      <c r="M4" s="1131"/>
      <c r="N4" s="1131"/>
      <c r="O4" s="1131"/>
      <c r="P4" s="3214" t="s">
        <v>2539</v>
      </c>
      <c r="Q4" s="3215"/>
      <c r="R4" s="3220" t="s">
        <v>2535</v>
      </c>
      <c r="S4" s="3221"/>
      <c r="T4" s="3220" t="s">
        <v>2536</v>
      </c>
      <c r="U4" s="3221"/>
      <c r="V4" s="3226" t="s">
        <v>2537</v>
      </c>
      <c r="W4" s="3226"/>
      <c r="X4" s="1808"/>
      <c r="Y4" s="3220" t="s">
        <v>2539</v>
      </c>
      <c r="Z4" s="3221"/>
      <c r="AA4" s="3207" t="s">
        <v>2535</v>
      </c>
      <c r="AB4" s="3207" t="s">
        <v>2536</v>
      </c>
      <c r="AC4" s="3207" t="s">
        <v>2537</v>
      </c>
    </row>
    <row r="5" spans="1:29" ht="15">
      <c r="A5" s="404"/>
      <c r="B5" s="405"/>
      <c r="C5" s="3229" t="s">
        <v>2540</v>
      </c>
      <c r="D5" s="3230"/>
      <c r="E5" s="3236" t="s">
        <v>2541</v>
      </c>
      <c r="F5" s="3237"/>
      <c r="G5" s="3229" t="s">
        <v>2542</v>
      </c>
      <c r="H5" s="3230"/>
      <c r="I5" s="3229" t="s">
        <v>2543</v>
      </c>
      <c r="J5" s="3230"/>
      <c r="K5" s="2594"/>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2594"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31" t="s">
        <v>2547</v>
      </c>
      <c r="Q7" s="3233"/>
      <c r="R7" s="770" t="s">
        <v>23</v>
      </c>
      <c r="S7" s="771">
        <f t="shared" ref="S7:S15" si="0">F7</f>
        <v>0</v>
      </c>
      <c r="T7" s="770" t="s">
        <v>23</v>
      </c>
      <c r="U7" s="771">
        <f t="shared" ref="U7:U15" si="1">H7</f>
        <v>0</v>
      </c>
      <c r="V7" s="770" t="s">
        <v>23</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31" t="s">
        <v>2550</v>
      </c>
      <c r="Q8" s="3232"/>
      <c r="R8" s="770" t="s">
        <v>23</v>
      </c>
      <c r="S8" s="771">
        <f t="shared" si="0"/>
        <v>0</v>
      </c>
      <c r="T8" s="770" t="s">
        <v>23</v>
      </c>
      <c r="U8" s="771">
        <f t="shared" si="1"/>
        <v>0</v>
      </c>
      <c r="V8" s="770" t="s">
        <v>23</v>
      </c>
      <c r="W8" s="771">
        <f t="shared" si="2"/>
        <v>0</v>
      </c>
      <c r="X8" s="772"/>
      <c r="Y8" s="3231" t="s">
        <v>2550</v>
      </c>
      <c r="Z8" s="323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6"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6"/>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6"/>
      <c r="Q11" s="1790"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6"/>
      <c r="Q12" s="1790">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6"/>
      <c r="Q13" s="1790">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6"/>
      <c r="Q14" s="1790">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4" t="s">
        <v>2558</v>
      </c>
      <c r="Q15" s="1805" t="str">
        <f t="shared" si="6"/>
        <v>居住社区成熟度</v>
      </c>
      <c r="R15" s="774" t="s">
        <v>21</v>
      </c>
      <c r="S15" s="775">
        <f t="shared" si="0"/>
        <v>100</v>
      </c>
      <c r="T15" s="774" t="s">
        <v>21</v>
      </c>
      <c r="U15" s="775">
        <f t="shared" si="1"/>
        <v>100</v>
      </c>
      <c r="V15" s="774" t="s">
        <v>21</v>
      </c>
      <c r="W15" s="775">
        <f t="shared" si="2"/>
        <v>100</v>
      </c>
      <c r="X15" s="1808"/>
      <c r="Y15" s="3197"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205"/>
      <c r="Q16" s="1805"/>
      <c r="R16" s="774"/>
      <c r="S16" s="775"/>
      <c r="T16" s="774"/>
      <c r="U16" s="775"/>
      <c r="V16" s="774"/>
      <c r="W16" s="775"/>
      <c r="X16" s="1808"/>
      <c r="Y16" s="3198"/>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5"/>
      <c r="Q17" s="1805" t="str">
        <f>B17</f>
        <v>交通便捷度</v>
      </c>
      <c r="R17" s="774" t="s">
        <v>21</v>
      </c>
      <c r="S17" s="775">
        <f>F17</f>
        <v>100</v>
      </c>
      <c r="T17" s="774" t="s">
        <v>21</v>
      </c>
      <c r="U17" s="775">
        <f>H17</f>
        <v>100</v>
      </c>
      <c r="V17" s="774" t="s">
        <v>21</v>
      </c>
      <c r="W17" s="775">
        <f>J17</f>
        <v>100</v>
      </c>
      <c r="X17" s="1808"/>
      <c r="Y17" s="3198"/>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205"/>
      <c r="Q18" s="1805"/>
      <c r="R18" s="774"/>
      <c r="S18" s="775"/>
      <c r="T18" s="774"/>
      <c r="U18" s="775"/>
      <c r="V18" s="774"/>
      <c r="W18" s="775"/>
      <c r="X18" s="1808"/>
      <c r="Y18" s="3198"/>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5"/>
      <c r="Q19" s="1805" t="str">
        <f>B19</f>
        <v>公共配套设施</v>
      </c>
      <c r="R19" s="774" t="s">
        <v>21</v>
      </c>
      <c r="S19" s="775">
        <f>F19</f>
        <v>100</v>
      </c>
      <c r="T19" s="774" t="s">
        <v>21</v>
      </c>
      <c r="U19" s="775">
        <f>H19</f>
        <v>100</v>
      </c>
      <c r="V19" s="774" t="s">
        <v>21</v>
      </c>
      <c r="W19" s="775">
        <f>J19</f>
        <v>100</v>
      </c>
      <c r="X19" s="1808"/>
      <c r="Y19" s="3198"/>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205"/>
      <c r="Q20" s="1805"/>
      <c r="R20" s="774"/>
      <c r="S20" s="775"/>
      <c r="T20" s="774"/>
      <c r="U20" s="775"/>
      <c r="V20" s="774"/>
      <c r="W20" s="775"/>
      <c r="X20" s="1808"/>
      <c r="Y20" s="3198"/>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5"/>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205"/>
      <c r="Q22" s="1805"/>
      <c r="R22" s="774"/>
      <c r="S22" s="775"/>
      <c r="T22" s="774"/>
      <c r="U22" s="775"/>
      <c r="V22" s="774"/>
      <c r="W22" s="775"/>
      <c r="X22" s="1808"/>
      <c r="Y22" s="3198"/>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5"/>
      <c r="Q23" s="1805" t="str">
        <f>B23</f>
        <v>自然及人文环境</v>
      </c>
      <c r="R23" s="774" t="s">
        <v>21</v>
      </c>
      <c r="S23" s="775">
        <f>F23</f>
        <v>100</v>
      </c>
      <c r="T23" s="774" t="s">
        <v>21</v>
      </c>
      <c r="U23" s="775">
        <f>H23</f>
        <v>100</v>
      </c>
      <c r="V23" s="774" t="s">
        <v>21</v>
      </c>
      <c r="W23" s="775">
        <f>J23</f>
        <v>100</v>
      </c>
      <c r="X23" s="1808"/>
      <c r="Y23" s="3198"/>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205"/>
      <c r="Q24" s="1805"/>
      <c r="R24" s="774"/>
      <c r="S24" s="775"/>
      <c r="T24" s="774"/>
      <c r="U24" s="775"/>
      <c r="V24" s="774"/>
      <c r="W24" s="775"/>
      <c r="X24" s="1808"/>
      <c r="Y24" s="3198"/>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05"/>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8"/>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05"/>
      <c r="Q26" s="1805" t="str">
        <f t="shared" si="11"/>
        <v>朝向</v>
      </c>
      <c r="R26" s="774" t="s">
        <v>21</v>
      </c>
      <c r="S26" s="775">
        <f t="shared" si="12"/>
        <v>100</v>
      </c>
      <c r="T26" s="774" t="s">
        <v>21</v>
      </c>
      <c r="U26" s="775">
        <f t="shared" si="13"/>
        <v>100</v>
      </c>
      <c r="V26" s="774" t="s">
        <v>21</v>
      </c>
      <c r="W26" s="775">
        <f t="shared" si="14"/>
        <v>100</v>
      </c>
      <c r="X26" s="1808"/>
      <c r="Y26" s="3198"/>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05"/>
      <c r="Q27" s="1790">
        <f t="shared" si="11"/>
        <v>111</v>
      </c>
      <c r="R27" s="770" t="s">
        <v>21</v>
      </c>
      <c r="S27" s="771">
        <f t="shared" si="12"/>
        <v>100</v>
      </c>
      <c r="T27" s="770" t="s">
        <v>21</v>
      </c>
      <c r="U27" s="771">
        <f t="shared" si="13"/>
        <v>100</v>
      </c>
      <c r="V27" s="770" t="s">
        <v>21</v>
      </c>
      <c r="W27" s="771">
        <f t="shared" si="14"/>
        <v>100</v>
      </c>
      <c r="X27" s="772"/>
      <c r="Y27" s="3198"/>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05"/>
      <c r="Q28" s="1805">
        <f t="shared" si="11"/>
        <v>111</v>
      </c>
      <c r="R28" s="774" t="s">
        <v>21</v>
      </c>
      <c r="S28" s="775">
        <f t="shared" si="12"/>
        <v>100</v>
      </c>
      <c r="T28" s="774" t="s">
        <v>21</v>
      </c>
      <c r="U28" s="775">
        <f t="shared" si="13"/>
        <v>100</v>
      </c>
      <c r="V28" s="774" t="s">
        <v>21</v>
      </c>
      <c r="W28" s="775">
        <f t="shared" si="14"/>
        <v>100</v>
      </c>
      <c r="X28" s="1808"/>
      <c r="Y28" s="3198"/>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05"/>
      <c r="Q29" s="1805">
        <f t="shared" si="11"/>
        <v>111</v>
      </c>
      <c r="R29" s="774" t="s">
        <v>21</v>
      </c>
      <c r="S29" s="775">
        <f t="shared" si="12"/>
        <v>100</v>
      </c>
      <c r="T29" s="774" t="s">
        <v>21</v>
      </c>
      <c r="U29" s="775">
        <f t="shared" si="13"/>
        <v>100</v>
      </c>
      <c r="V29" s="774" t="s">
        <v>21</v>
      </c>
      <c r="W29" s="775">
        <f t="shared" si="14"/>
        <v>100</v>
      </c>
      <c r="X29" s="1808"/>
      <c r="Y29" s="3198"/>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05"/>
      <c r="Q30" s="1805">
        <f t="shared" si="11"/>
        <v>111</v>
      </c>
      <c r="R30" s="774" t="s">
        <v>21</v>
      </c>
      <c r="S30" s="775">
        <f t="shared" si="12"/>
        <v>100</v>
      </c>
      <c r="T30" s="774" t="s">
        <v>21</v>
      </c>
      <c r="U30" s="775">
        <f t="shared" si="13"/>
        <v>100</v>
      </c>
      <c r="V30" s="774" t="s">
        <v>21</v>
      </c>
      <c r="W30" s="775">
        <f t="shared" si="14"/>
        <v>100</v>
      </c>
      <c r="X30" s="1808"/>
      <c r="Y30" s="3198"/>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05"/>
      <c r="Q31" s="1805">
        <f t="shared" si="11"/>
        <v>111</v>
      </c>
      <c r="R31" s="774" t="s">
        <v>21</v>
      </c>
      <c r="S31" s="775">
        <f t="shared" si="12"/>
        <v>100</v>
      </c>
      <c r="T31" s="774" t="s">
        <v>21</v>
      </c>
      <c r="U31" s="775">
        <f t="shared" si="13"/>
        <v>100</v>
      </c>
      <c r="V31" s="774" t="s">
        <v>21</v>
      </c>
      <c r="W31" s="775">
        <f t="shared" si="14"/>
        <v>100</v>
      </c>
      <c r="X31" s="1808"/>
      <c r="Y31" s="3198"/>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99" t="s">
        <v>2563</v>
      </c>
      <c r="Q32" s="1805" t="str">
        <f t="shared" si="11"/>
        <v>建筑类型</v>
      </c>
      <c r="R32" s="774" t="s">
        <v>21</v>
      </c>
      <c r="S32" s="775">
        <f t="shared" si="12"/>
        <v>100</v>
      </c>
      <c r="T32" s="774" t="s">
        <v>21</v>
      </c>
      <c r="U32" s="775">
        <f t="shared" si="13"/>
        <v>100</v>
      </c>
      <c r="V32" s="774" t="s">
        <v>21</v>
      </c>
      <c r="W32" s="775">
        <f t="shared" si="14"/>
        <v>100</v>
      </c>
      <c r="X32" s="1808"/>
      <c r="Y32" s="3202"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0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00"/>
      <c r="Q34" s="1805" t="str">
        <f t="shared" si="11"/>
        <v>建筑结构</v>
      </c>
      <c r="R34" s="774" t="s">
        <v>21</v>
      </c>
      <c r="S34" s="775">
        <f t="shared" si="12"/>
        <v>100</v>
      </c>
      <c r="T34" s="774" t="s">
        <v>21</v>
      </c>
      <c r="U34" s="775">
        <f t="shared" si="13"/>
        <v>100</v>
      </c>
      <c r="V34" s="774" t="s">
        <v>21</v>
      </c>
      <c r="W34" s="775">
        <f t="shared" si="14"/>
        <v>100</v>
      </c>
      <c r="X34" s="1808"/>
      <c r="Y34" s="3202"/>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00"/>
      <c r="Q35" s="1805" t="str">
        <f t="shared" si="11"/>
        <v>建筑品质</v>
      </c>
      <c r="R35" s="774" t="s">
        <v>21</v>
      </c>
      <c r="S35" s="775">
        <f t="shared" si="12"/>
        <v>100</v>
      </c>
      <c r="T35" s="774" t="s">
        <v>21</v>
      </c>
      <c r="U35" s="775">
        <f t="shared" si="13"/>
        <v>100</v>
      </c>
      <c r="V35" s="774" t="s">
        <v>21</v>
      </c>
      <c r="W35" s="775">
        <f t="shared" si="14"/>
        <v>100</v>
      </c>
      <c r="X35" s="1808"/>
      <c r="Y35" s="3202"/>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00"/>
      <c r="Q36" s="1805" t="str">
        <f t="shared" si="11"/>
        <v>公共部分装修</v>
      </c>
      <c r="R36" s="774" t="s">
        <v>21</v>
      </c>
      <c r="S36" s="775">
        <f t="shared" si="12"/>
        <v>100</v>
      </c>
      <c r="T36" s="774" t="s">
        <v>21</v>
      </c>
      <c r="U36" s="775">
        <f t="shared" si="13"/>
        <v>100</v>
      </c>
      <c r="V36" s="774" t="s">
        <v>21</v>
      </c>
      <c r="W36" s="775">
        <f t="shared" si="14"/>
        <v>100</v>
      </c>
      <c r="X36" s="1808"/>
      <c r="Y36" s="3202"/>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0"/>
      <c r="Q37" s="1790"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00" t="s">
        <v>2563</v>
      </c>
      <c r="Q38" s="1805" t="str">
        <f t="shared" si="11"/>
        <v>物业管理</v>
      </c>
      <c r="R38" s="774" t="s">
        <v>21</v>
      </c>
      <c r="S38" s="775">
        <f t="shared" si="12"/>
        <v>100</v>
      </c>
      <c r="T38" s="774" t="s">
        <v>21</v>
      </c>
      <c r="U38" s="775">
        <f t="shared" si="13"/>
        <v>100</v>
      </c>
      <c r="V38" s="774" t="s">
        <v>21</v>
      </c>
      <c r="W38" s="775">
        <f t="shared" si="14"/>
        <v>100</v>
      </c>
      <c r="X38" s="1808"/>
      <c r="Y38" s="3202"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00"/>
      <c r="Q39" s="1805" t="str">
        <f t="shared" si="11"/>
        <v>市政基础设施</v>
      </c>
      <c r="R39" s="774" t="s">
        <v>21</v>
      </c>
      <c r="S39" s="775">
        <f t="shared" si="12"/>
        <v>100</v>
      </c>
      <c r="T39" s="774" t="s">
        <v>21</v>
      </c>
      <c r="U39" s="775">
        <f t="shared" si="13"/>
        <v>100</v>
      </c>
      <c r="V39" s="774" t="s">
        <v>21</v>
      </c>
      <c r="W39" s="775">
        <f t="shared" si="14"/>
        <v>100</v>
      </c>
      <c r="X39" s="1808"/>
      <c r="Y39" s="3202"/>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00"/>
      <c r="Q40" s="1805" t="str">
        <f t="shared" si="11"/>
        <v>房型</v>
      </c>
      <c r="R40" s="774" t="s">
        <v>21</v>
      </c>
      <c r="S40" s="775">
        <f t="shared" si="12"/>
        <v>100</v>
      </c>
      <c r="T40" s="774" t="s">
        <v>21</v>
      </c>
      <c r="U40" s="775">
        <f t="shared" si="13"/>
        <v>100</v>
      </c>
      <c r="V40" s="774" t="s">
        <v>21</v>
      </c>
      <c r="W40" s="775">
        <f t="shared" si="14"/>
        <v>100</v>
      </c>
      <c r="X40" s="1808"/>
      <c r="Y40" s="3202"/>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0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00"/>
      <c r="Q42" s="1805" t="str">
        <f t="shared" si="11"/>
        <v>内部装修</v>
      </c>
      <c r="R42" s="774" t="s">
        <v>21</v>
      </c>
      <c r="S42" s="775">
        <f t="shared" si="12"/>
        <v>100</v>
      </c>
      <c r="T42" s="774" t="s">
        <v>21</v>
      </c>
      <c r="U42" s="775">
        <f t="shared" si="13"/>
        <v>100</v>
      </c>
      <c r="V42" s="774" t="s">
        <v>21</v>
      </c>
      <c r="W42" s="775">
        <f t="shared" si="14"/>
        <v>100</v>
      </c>
      <c r="X42" s="1808"/>
      <c r="Y42" s="3202"/>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00"/>
      <c r="Q43" s="1805" t="str">
        <f t="shared" si="11"/>
        <v>内部装修维护情况</v>
      </c>
      <c r="R43" s="774" t="s">
        <v>21</v>
      </c>
      <c r="S43" s="775">
        <f t="shared" si="12"/>
        <v>100</v>
      </c>
      <c r="T43" s="774" t="s">
        <v>21</v>
      </c>
      <c r="U43" s="775">
        <f t="shared" si="13"/>
        <v>100</v>
      </c>
      <c r="V43" s="774" t="s">
        <v>21</v>
      </c>
      <c r="W43" s="775">
        <f t="shared" si="14"/>
        <v>100</v>
      </c>
      <c r="X43" s="1808"/>
      <c r="Y43" s="3202"/>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00"/>
      <c r="Q44" s="1790">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00"/>
      <c r="Q45" s="1805">
        <f t="shared" si="11"/>
        <v>111</v>
      </c>
      <c r="R45" s="774" t="s">
        <v>21</v>
      </c>
      <c r="S45" s="775">
        <f t="shared" si="12"/>
        <v>100</v>
      </c>
      <c r="T45" s="774" t="s">
        <v>21</v>
      </c>
      <c r="U45" s="775">
        <f t="shared" si="13"/>
        <v>100</v>
      </c>
      <c r="V45" s="774" t="s">
        <v>21</v>
      </c>
      <c r="W45" s="775">
        <f t="shared" si="14"/>
        <v>100</v>
      </c>
      <c r="X45" s="1808"/>
      <c r="Y45" s="3202"/>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01"/>
      <c r="Q46" s="1805">
        <f t="shared" si="11"/>
        <v>111</v>
      </c>
      <c r="R46" s="774" t="s">
        <v>20</v>
      </c>
      <c r="S46" s="775">
        <f t="shared" si="12"/>
        <v>100</v>
      </c>
      <c r="T46" s="774" t="s">
        <v>20</v>
      </c>
      <c r="U46" s="775">
        <f t="shared" si="13"/>
        <v>100</v>
      </c>
      <c r="V46" s="774" t="s">
        <v>20</v>
      </c>
      <c r="W46" s="775">
        <f t="shared" si="14"/>
        <v>100</v>
      </c>
      <c r="X46" s="1808"/>
      <c r="Y46" s="3203"/>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195" t="str">
        <f>A47</f>
        <v>成交单价（元/平方米）</v>
      </c>
      <c r="Q47" s="3195"/>
      <c r="R47" s="3196">
        <f>E47</f>
        <v>0</v>
      </c>
      <c r="S47" s="3196"/>
      <c r="T47" s="3196">
        <f>G47</f>
        <v>0</v>
      </c>
      <c r="U47" s="3196"/>
      <c r="V47" s="3196">
        <f>I47</f>
        <v>0</v>
      </c>
      <c r="W47" s="3196"/>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26"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26"/>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26"/>
      <c r="AC6" s="3209"/>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6"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6"/>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6"/>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6"/>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6"/>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6"/>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4" t="s">
        <v>2558</v>
      </c>
      <c r="Q15" s="1805" t="str">
        <f t="shared" si="6"/>
        <v>商业繁华度</v>
      </c>
      <c r="R15" s="774" t="s">
        <v>17</v>
      </c>
      <c r="S15" s="775">
        <f t="shared" si="0"/>
        <v>100</v>
      </c>
      <c r="T15" s="774" t="s">
        <v>17</v>
      </c>
      <c r="U15" s="775">
        <f t="shared" si="1"/>
        <v>100</v>
      </c>
      <c r="V15" s="774" t="s">
        <v>17</v>
      </c>
      <c r="W15" s="775">
        <f t="shared" si="2"/>
        <v>100</v>
      </c>
      <c r="X15" s="1808"/>
      <c r="Y15" s="3197"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05"/>
      <c r="Q16" s="1805"/>
      <c r="R16" s="774"/>
      <c r="S16" s="775"/>
      <c r="T16" s="774"/>
      <c r="U16" s="775"/>
      <c r="V16" s="774"/>
      <c r="W16" s="775"/>
      <c r="X16" s="1808"/>
      <c r="Y16" s="3198"/>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5"/>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205"/>
      <c r="Q18" s="1805"/>
      <c r="R18" s="774"/>
      <c r="S18" s="775"/>
      <c r="T18" s="774"/>
      <c r="U18" s="775"/>
      <c r="V18" s="774"/>
      <c r="W18" s="775"/>
      <c r="X18" s="1808"/>
      <c r="Y18" s="3198"/>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5"/>
      <c r="Q19" s="1805" t="str">
        <f>B19</f>
        <v>公共配套设施</v>
      </c>
      <c r="R19" s="774" t="s">
        <v>17</v>
      </c>
      <c r="S19" s="775">
        <f>F19</f>
        <v>100</v>
      </c>
      <c r="T19" s="774" t="s">
        <v>17</v>
      </c>
      <c r="U19" s="775">
        <f>H19</f>
        <v>100</v>
      </c>
      <c r="V19" s="774" t="s">
        <v>17</v>
      </c>
      <c r="W19" s="775">
        <f>J19</f>
        <v>100</v>
      </c>
      <c r="X19" s="1808"/>
      <c r="Y19" s="3198"/>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205"/>
      <c r="Q20" s="1805"/>
      <c r="R20" s="774"/>
      <c r="S20" s="775"/>
      <c r="T20" s="774"/>
      <c r="U20" s="775"/>
      <c r="V20" s="774"/>
      <c r="W20" s="775"/>
      <c r="X20" s="1808"/>
      <c r="Y20" s="3198"/>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5"/>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205"/>
      <c r="Q22" s="1805"/>
      <c r="R22" s="774"/>
      <c r="S22" s="775"/>
      <c r="T22" s="774"/>
      <c r="U22" s="775"/>
      <c r="V22" s="774"/>
      <c r="W22" s="775"/>
      <c r="X22" s="1808"/>
      <c r="Y22" s="3198"/>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5"/>
      <c r="Q23" s="1805" t="str">
        <f>B23</f>
        <v>自然及人文环境</v>
      </c>
      <c r="R23" s="774" t="s">
        <v>17</v>
      </c>
      <c r="S23" s="775">
        <f>F23</f>
        <v>100</v>
      </c>
      <c r="T23" s="774" t="s">
        <v>17</v>
      </c>
      <c r="U23" s="775">
        <f>H23</f>
        <v>100</v>
      </c>
      <c r="V23" s="774" t="s">
        <v>17</v>
      </c>
      <c r="W23" s="775">
        <f>J23</f>
        <v>100</v>
      </c>
      <c r="X23" s="1808"/>
      <c r="Y23" s="3198"/>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205"/>
      <c r="Q24" s="1805"/>
      <c r="R24" s="774"/>
      <c r="S24" s="775"/>
      <c r="T24" s="774"/>
      <c r="U24" s="775"/>
      <c r="V24" s="774"/>
      <c r="W24" s="775"/>
      <c r="X24" s="1808"/>
      <c r="Y24" s="3198"/>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5"/>
      <c r="Q25" s="1805" t="str">
        <f t="shared" ref="Q25:Q46" si="11">B25</f>
        <v>临街状况</v>
      </c>
      <c r="R25" s="774" t="s">
        <v>17</v>
      </c>
      <c r="S25" s="775">
        <f>F25</f>
        <v>100</v>
      </c>
      <c r="T25" s="774" t="s">
        <v>17</v>
      </c>
      <c r="U25" s="775">
        <f>H25</f>
        <v>100</v>
      </c>
      <c r="V25" s="774" t="s">
        <v>17</v>
      </c>
      <c r="W25" s="775">
        <f>J25</f>
        <v>100</v>
      </c>
      <c r="X25" s="1808"/>
      <c r="Y25" s="3198"/>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5"/>
      <c r="Q26" s="1805" t="str">
        <f t="shared" si="11"/>
        <v>平面位置/可视性</v>
      </c>
      <c r="R26" s="774" t="s">
        <v>17</v>
      </c>
      <c r="S26" s="775">
        <f>F26</f>
        <v>100</v>
      </c>
      <c r="T26" s="774" t="s">
        <v>17</v>
      </c>
      <c r="U26" s="775">
        <f>H26</f>
        <v>100</v>
      </c>
      <c r="V26" s="774" t="s">
        <v>17</v>
      </c>
      <c r="W26" s="775">
        <f>J26</f>
        <v>100</v>
      </c>
      <c r="X26" s="1808"/>
      <c r="Y26" s="3198"/>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05"/>
      <c r="Q27" s="1790" t="str">
        <f t="shared" si="11"/>
        <v>人流量</v>
      </c>
      <c r="R27" s="770" t="s">
        <v>17</v>
      </c>
      <c r="S27" s="771">
        <f>F27</f>
        <v>100</v>
      </c>
      <c r="T27" s="770" t="s">
        <v>17</v>
      </c>
      <c r="U27" s="771">
        <f>H27</f>
        <v>100</v>
      </c>
      <c r="V27" s="770" t="s">
        <v>17</v>
      </c>
      <c r="W27" s="771">
        <f>J27</f>
        <v>100</v>
      </c>
      <c r="X27" s="772"/>
      <c r="Y27" s="3198"/>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5"/>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8"/>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5"/>
      <c r="Q29" s="1805">
        <f t="shared" si="11"/>
        <v>111</v>
      </c>
      <c r="R29" s="774" t="s">
        <v>17</v>
      </c>
      <c r="S29" s="775">
        <f t="shared" si="12"/>
        <v>100</v>
      </c>
      <c r="T29" s="774" t="s">
        <v>17</v>
      </c>
      <c r="U29" s="775">
        <f t="shared" si="13"/>
        <v>100</v>
      </c>
      <c r="V29" s="774" t="s">
        <v>17</v>
      </c>
      <c r="W29" s="775">
        <f t="shared" si="14"/>
        <v>100</v>
      </c>
      <c r="X29" s="1808"/>
      <c r="Y29" s="3198"/>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5"/>
      <c r="Q30" s="1805">
        <f t="shared" si="11"/>
        <v>111</v>
      </c>
      <c r="R30" s="774" t="s">
        <v>17</v>
      </c>
      <c r="S30" s="775">
        <f t="shared" si="12"/>
        <v>100</v>
      </c>
      <c r="T30" s="774" t="s">
        <v>17</v>
      </c>
      <c r="U30" s="775">
        <f t="shared" si="13"/>
        <v>100</v>
      </c>
      <c r="V30" s="774" t="s">
        <v>17</v>
      </c>
      <c r="W30" s="775">
        <f t="shared" si="14"/>
        <v>100</v>
      </c>
      <c r="X30" s="1808"/>
      <c r="Y30" s="3198"/>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5"/>
      <c r="Q31" s="1805">
        <f t="shared" si="11"/>
        <v>111</v>
      </c>
      <c r="R31" s="774" t="s">
        <v>17</v>
      </c>
      <c r="S31" s="775">
        <f t="shared" si="12"/>
        <v>100</v>
      </c>
      <c r="T31" s="774" t="s">
        <v>17</v>
      </c>
      <c r="U31" s="775">
        <f t="shared" si="13"/>
        <v>100</v>
      </c>
      <c r="V31" s="774" t="s">
        <v>17</v>
      </c>
      <c r="W31" s="775">
        <f t="shared" si="14"/>
        <v>100</v>
      </c>
      <c r="X31" s="1808"/>
      <c r="Y31" s="3198"/>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99" t="s">
        <v>2563</v>
      </c>
      <c r="Q32" s="1805" t="str">
        <f t="shared" si="11"/>
        <v>商业类型</v>
      </c>
      <c r="R32" s="774" t="s">
        <v>17</v>
      </c>
      <c r="S32" s="775">
        <f t="shared" si="12"/>
        <v>100</v>
      </c>
      <c r="T32" s="774" t="s">
        <v>17</v>
      </c>
      <c r="U32" s="775">
        <f t="shared" si="13"/>
        <v>100</v>
      </c>
      <c r="V32" s="774" t="s">
        <v>17</v>
      </c>
      <c r="W32" s="775">
        <f t="shared" si="14"/>
        <v>100</v>
      </c>
      <c r="X32" s="1808"/>
      <c r="Y32" s="3202"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0"/>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00"/>
      <c r="Q34" s="1805" t="str">
        <f t="shared" si="11"/>
        <v>建筑结构</v>
      </c>
      <c r="R34" s="774" t="s">
        <v>17</v>
      </c>
      <c r="S34" s="775">
        <f t="shared" si="12"/>
        <v>100</v>
      </c>
      <c r="T34" s="774" t="s">
        <v>17</v>
      </c>
      <c r="U34" s="775">
        <f t="shared" si="13"/>
        <v>100</v>
      </c>
      <c r="V34" s="774" t="s">
        <v>17</v>
      </c>
      <c r="W34" s="775">
        <f t="shared" si="14"/>
        <v>100</v>
      </c>
      <c r="X34" s="1808"/>
      <c r="Y34" s="3202"/>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00"/>
      <c r="Q35" s="1805" t="str">
        <f t="shared" si="11"/>
        <v>公共部分装修</v>
      </c>
      <c r="R35" s="774" t="s">
        <v>17</v>
      </c>
      <c r="S35" s="775">
        <f t="shared" si="12"/>
        <v>100</v>
      </c>
      <c r="T35" s="774" t="s">
        <v>17</v>
      </c>
      <c r="U35" s="775">
        <f t="shared" si="13"/>
        <v>100</v>
      </c>
      <c r="V35" s="774" t="s">
        <v>17</v>
      </c>
      <c r="W35" s="775">
        <f t="shared" si="14"/>
        <v>100</v>
      </c>
      <c r="X35" s="1808"/>
      <c r="Y35" s="3202"/>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0"/>
      <c r="Q36" s="1805" t="str">
        <f t="shared" si="11"/>
        <v>成新度</v>
      </c>
      <c r="R36" s="774" t="s">
        <v>17</v>
      </c>
      <c r="S36" s="775" t="e">
        <f t="shared" si="12"/>
        <v>#N/A</v>
      </c>
      <c r="T36" s="774" t="s">
        <v>17</v>
      </c>
      <c r="U36" s="775" t="e">
        <f t="shared" si="13"/>
        <v>#N/A</v>
      </c>
      <c r="V36" s="774" t="s">
        <v>17</v>
      </c>
      <c r="W36" s="775" t="e">
        <f t="shared" si="14"/>
        <v>#N/A</v>
      </c>
      <c r="X36" s="1808"/>
      <c r="Y36" s="3202"/>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00"/>
      <c r="Q37" s="1790"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00" t="s">
        <v>2563</v>
      </c>
      <c r="Q38" s="1805" t="str">
        <f t="shared" si="11"/>
        <v>业态</v>
      </c>
      <c r="R38" s="774" t="s">
        <v>17</v>
      </c>
      <c r="S38" s="775">
        <f t="shared" si="12"/>
        <v>100</v>
      </c>
      <c r="T38" s="774" t="s">
        <v>17</v>
      </c>
      <c r="U38" s="775">
        <f t="shared" si="13"/>
        <v>100</v>
      </c>
      <c r="V38" s="774" t="s">
        <v>17</v>
      </c>
      <c r="W38" s="775">
        <f t="shared" si="14"/>
        <v>100</v>
      </c>
      <c r="X38" s="1808"/>
      <c r="Y38" s="3202"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00"/>
      <c r="Q39" s="1805" t="str">
        <f t="shared" si="11"/>
        <v>层高</v>
      </c>
      <c r="R39" s="774" t="s">
        <v>17</v>
      </c>
      <c r="S39" s="775">
        <f t="shared" si="12"/>
        <v>100</v>
      </c>
      <c r="T39" s="774" t="s">
        <v>17</v>
      </c>
      <c r="U39" s="775">
        <f t="shared" si="13"/>
        <v>100</v>
      </c>
      <c r="V39" s="774" t="s">
        <v>17</v>
      </c>
      <c r="W39" s="775">
        <f t="shared" si="14"/>
        <v>100</v>
      </c>
      <c r="X39" s="1808"/>
      <c r="Y39" s="3202"/>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0"/>
      <c r="Q40" s="1805" t="str">
        <f t="shared" si="11"/>
        <v>单套建筑面积</v>
      </c>
      <c r="R40" s="774" t="s">
        <v>17</v>
      </c>
      <c r="S40" s="775">
        <f t="shared" si="12"/>
        <v>100</v>
      </c>
      <c r="T40" s="774" t="s">
        <v>17</v>
      </c>
      <c r="U40" s="775">
        <f t="shared" si="13"/>
        <v>100</v>
      </c>
      <c r="V40" s="774" t="s">
        <v>17</v>
      </c>
      <c r="W40" s="775">
        <f t="shared" si="14"/>
        <v>100</v>
      </c>
      <c r="X40" s="1808"/>
      <c r="Y40" s="3202"/>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00"/>
      <c r="Q42" s="1805" t="str">
        <f t="shared" si="11"/>
        <v>内部装修</v>
      </c>
      <c r="R42" s="774" t="s">
        <v>17</v>
      </c>
      <c r="S42" s="775">
        <f t="shared" si="12"/>
        <v>100</v>
      </c>
      <c r="T42" s="774" t="s">
        <v>17</v>
      </c>
      <c r="U42" s="775">
        <f t="shared" si="13"/>
        <v>100</v>
      </c>
      <c r="V42" s="774" t="s">
        <v>17</v>
      </c>
      <c r="W42" s="775">
        <f t="shared" si="14"/>
        <v>100</v>
      </c>
      <c r="X42" s="1808"/>
      <c r="Y42" s="3202"/>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00"/>
      <c r="Q43" s="1805" t="str">
        <f t="shared" si="11"/>
        <v>内部装修维护情况</v>
      </c>
      <c r="R43" s="774" t="s">
        <v>17</v>
      </c>
      <c r="S43" s="775">
        <f t="shared" si="12"/>
        <v>100</v>
      </c>
      <c r="T43" s="774" t="s">
        <v>17</v>
      </c>
      <c r="U43" s="775">
        <f t="shared" si="13"/>
        <v>100</v>
      </c>
      <c r="V43" s="774" t="s">
        <v>17</v>
      </c>
      <c r="W43" s="775">
        <f t="shared" si="14"/>
        <v>100</v>
      </c>
      <c r="X43" s="1808"/>
      <c r="Y43" s="3202"/>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0"/>
      <c r="Q44" s="1790">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0"/>
      <c r="Q45" s="1805">
        <f t="shared" si="11"/>
        <v>111</v>
      </c>
      <c r="R45" s="774" t="s">
        <v>17</v>
      </c>
      <c r="S45" s="775">
        <f t="shared" si="12"/>
        <v>100</v>
      </c>
      <c r="T45" s="774" t="s">
        <v>17</v>
      </c>
      <c r="U45" s="775">
        <f t="shared" si="13"/>
        <v>100</v>
      </c>
      <c r="V45" s="774" t="s">
        <v>17</v>
      </c>
      <c r="W45" s="775">
        <f t="shared" si="14"/>
        <v>100</v>
      </c>
      <c r="X45" s="1808"/>
      <c r="Y45" s="3202"/>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1"/>
      <c r="Q46" s="1805">
        <f t="shared" si="11"/>
        <v>111</v>
      </c>
      <c r="R46" s="774" t="s">
        <v>17</v>
      </c>
      <c r="S46" s="775">
        <f t="shared" si="12"/>
        <v>100</v>
      </c>
      <c r="T46" s="774" t="s">
        <v>17</v>
      </c>
      <c r="U46" s="775">
        <f t="shared" si="13"/>
        <v>100</v>
      </c>
      <c r="V46" s="774" t="s">
        <v>17</v>
      </c>
      <c r="W46" s="775">
        <f t="shared" si="14"/>
        <v>100</v>
      </c>
      <c r="X46" s="1808"/>
      <c r="Y46" s="3203"/>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195" t="str">
        <f>A47</f>
        <v>成交单价（元/平方米）</v>
      </c>
      <c r="Q47" s="3195"/>
      <c r="R47" s="3226">
        <f>E47</f>
        <v>0</v>
      </c>
      <c r="S47" s="3226"/>
      <c r="T47" s="3226">
        <f>G47</f>
        <v>0</v>
      </c>
      <c r="U47" s="3226"/>
      <c r="V47" s="3226">
        <f>I47</f>
        <v>0</v>
      </c>
      <c r="W47" s="3226"/>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L40" sqref="L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3155</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2964" t="s">
        <v>3157</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8.3000000000000007</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10" t="s">
        <v>2534</v>
      </c>
      <c r="D4" s="3211"/>
      <c r="E4" s="3212" t="s">
        <v>2535</v>
      </c>
      <c r="F4" s="3213"/>
      <c r="G4" s="3210" t="s">
        <v>2536</v>
      </c>
      <c r="H4" s="3211"/>
      <c r="I4" s="3210" t="s">
        <v>2537</v>
      </c>
      <c r="J4" s="3211"/>
      <c r="K4" s="610" t="s">
        <v>2538</v>
      </c>
      <c r="L4" s="1130"/>
      <c r="M4" s="1131"/>
      <c r="N4" s="1131"/>
      <c r="O4" s="1131"/>
      <c r="P4" s="3241" t="s">
        <v>2539</v>
      </c>
      <c r="Q4" s="3242"/>
      <c r="R4" s="3245" t="s">
        <v>2535</v>
      </c>
      <c r="S4" s="3246"/>
      <c r="T4" s="3245" t="s">
        <v>2536</v>
      </c>
      <c r="U4" s="3246"/>
      <c r="V4" s="3251" t="s">
        <v>2537</v>
      </c>
      <c r="W4" s="3251"/>
      <c r="X4" s="2963"/>
      <c r="Y4" s="3245" t="s">
        <v>2539</v>
      </c>
      <c r="Z4" s="3246"/>
      <c r="AA4" s="3252" t="s">
        <v>2535</v>
      </c>
      <c r="AB4" s="3252" t="s">
        <v>2536</v>
      </c>
      <c r="AC4" s="3238" t="s">
        <v>2537</v>
      </c>
    </row>
    <row r="5" spans="1:29" ht="15">
      <c r="A5" s="404"/>
      <c r="B5" s="405"/>
      <c r="C5" s="3247" t="s">
        <v>3147</v>
      </c>
      <c r="D5" s="3230"/>
      <c r="E5" s="3248" t="s">
        <v>3152</v>
      </c>
      <c r="F5" s="3237"/>
      <c r="G5" s="3247" t="s">
        <v>3153</v>
      </c>
      <c r="H5" s="3230"/>
      <c r="I5" s="3248" t="s">
        <v>3152</v>
      </c>
      <c r="J5" s="3237"/>
      <c r="K5" s="610"/>
      <c r="L5" s="1130"/>
      <c r="M5" s="1131"/>
      <c r="N5" s="1131"/>
      <c r="O5" s="1131"/>
      <c r="P5" s="3243"/>
      <c r="Q5" s="3217"/>
      <c r="R5" s="3222"/>
      <c r="S5" s="3223"/>
      <c r="T5" s="3222"/>
      <c r="U5" s="3223"/>
      <c r="V5" s="3226"/>
      <c r="W5" s="3226"/>
      <c r="X5" s="2958"/>
      <c r="Y5" s="3222"/>
      <c r="Z5" s="3223"/>
      <c r="AA5" s="3208"/>
      <c r="AB5" s="3208"/>
      <c r="AC5" s="3239"/>
    </row>
    <row r="6" spans="1:29" ht="15.75" thickBot="1">
      <c r="A6" s="406"/>
      <c r="B6" s="407"/>
      <c r="C6" s="3249" t="s">
        <v>3104</v>
      </c>
      <c r="D6" s="3228"/>
      <c r="E6" s="3250" t="s">
        <v>3104</v>
      </c>
      <c r="F6" s="3235"/>
      <c r="G6" s="3249" t="s">
        <v>3104</v>
      </c>
      <c r="H6" s="3228"/>
      <c r="I6" s="3250" t="s">
        <v>3104</v>
      </c>
      <c r="J6" s="3235"/>
      <c r="K6" s="610" t="s">
        <v>2545</v>
      </c>
      <c r="L6" s="1130"/>
      <c r="M6" s="1131"/>
      <c r="N6" s="1131"/>
      <c r="O6" s="1131"/>
      <c r="P6" s="3244"/>
      <c r="Q6" s="3219"/>
      <c r="R6" s="3222"/>
      <c r="S6" s="3223"/>
      <c r="T6" s="3224"/>
      <c r="U6" s="3225"/>
      <c r="V6" s="3226"/>
      <c r="W6" s="3226"/>
      <c r="X6" s="2958"/>
      <c r="Y6" s="3224"/>
      <c r="Z6" s="3225"/>
      <c r="AA6" s="3209"/>
      <c r="AB6" s="3209"/>
      <c r="AC6" s="3240"/>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53" t="s">
        <v>2547</v>
      </c>
      <c r="Q7" s="3233"/>
      <c r="R7" s="770" t="s">
        <v>17</v>
      </c>
      <c r="S7" s="771">
        <f t="shared" ref="S7:S15" si="0">F7</f>
        <v>100</v>
      </c>
      <c r="T7" s="770" t="s">
        <v>17</v>
      </c>
      <c r="U7" s="771">
        <f t="shared" ref="U7:U15" si="1">H7</f>
        <v>100</v>
      </c>
      <c r="V7" s="770" t="s">
        <v>17</v>
      </c>
      <c r="W7" s="771">
        <f t="shared" ref="W7:W15" si="2">J7</f>
        <v>100</v>
      </c>
      <c r="X7" s="772"/>
      <c r="Y7" s="3231" t="s">
        <v>2547</v>
      </c>
      <c r="Z7" s="3232"/>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53" t="s">
        <v>2550</v>
      </c>
      <c r="Q8" s="3232"/>
      <c r="R8" s="770" t="s">
        <v>17</v>
      </c>
      <c r="S8" s="771">
        <f t="shared" si="0"/>
        <v>100</v>
      </c>
      <c r="T8" s="770" t="s">
        <v>17</v>
      </c>
      <c r="U8" s="771">
        <f t="shared" si="1"/>
        <v>100</v>
      </c>
      <c r="V8" s="770" t="s">
        <v>17</v>
      </c>
      <c r="W8" s="771">
        <f t="shared" si="2"/>
        <v>100</v>
      </c>
      <c r="X8" s="772"/>
      <c r="Y8" s="3231" t="s">
        <v>2550</v>
      </c>
      <c r="Z8" s="323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6" t="s">
        <v>2553</v>
      </c>
      <c r="Q9" s="2955" t="str">
        <f t="shared" ref="Q9:Q15" si="6">B9</f>
        <v>用途</v>
      </c>
      <c r="R9" s="770" t="s">
        <v>17</v>
      </c>
      <c r="S9" s="771">
        <f t="shared" si="0"/>
        <v>100</v>
      </c>
      <c r="T9" s="770" t="s">
        <v>17</v>
      </c>
      <c r="U9" s="771">
        <f t="shared" si="1"/>
        <v>100</v>
      </c>
      <c r="V9" s="770" t="s">
        <v>17</v>
      </c>
      <c r="W9" s="771">
        <f t="shared" si="2"/>
        <v>100</v>
      </c>
      <c r="X9" s="772"/>
      <c r="Y9" s="3020" t="s">
        <v>2554</v>
      </c>
      <c r="Z9" s="2956" t="str">
        <f t="shared" ref="Z9:Z15" si="7">Q9</f>
        <v>用途</v>
      </c>
      <c r="AA9" s="773">
        <f t="shared" si="3"/>
        <v>1</v>
      </c>
      <c r="AB9" s="773">
        <f t="shared" si="4"/>
        <v>1</v>
      </c>
      <c r="AC9" s="2668">
        <f t="shared" si="5"/>
        <v>1</v>
      </c>
    </row>
    <row r="10" spans="1:29" s="427" customFormat="1" ht="27">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6"/>
      <c r="Q10" s="2955" t="str">
        <f t="shared" si="6"/>
        <v>土地使用年限（年）</v>
      </c>
      <c r="R10" s="770" t="s">
        <v>17</v>
      </c>
      <c r="S10" s="771">
        <f t="shared" si="0"/>
        <v>100</v>
      </c>
      <c r="T10" s="770" t="s">
        <v>17</v>
      </c>
      <c r="U10" s="771">
        <f t="shared" si="1"/>
        <v>100</v>
      </c>
      <c r="V10" s="770" t="s">
        <v>17</v>
      </c>
      <c r="W10" s="771">
        <f t="shared" si="2"/>
        <v>100</v>
      </c>
      <c r="X10" s="772"/>
      <c r="Y10" s="3020"/>
      <c r="Z10" s="2956" t="str">
        <f t="shared" si="7"/>
        <v>土地使用年限（年）</v>
      </c>
      <c r="AA10" s="773">
        <f t="shared" si="3"/>
        <v>1</v>
      </c>
      <c r="AB10" s="773">
        <f t="shared" si="4"/>
        <v>1</v>
      </c>
      <c r="AC10" s="2668">
        <f t="shared" si="5"/>
        <v>1</v>
      </c>
    </row>
    <row r="11" spans="1:29" ht="15.75" thickBot="1">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6"/>
      <c r="Q11" s="2955" t="str">
        <f t="shared" si="6"/>
        <v>容积率</v>
      </c>
      <c r="R11" s="770" t="s">
        <v>17</v>
      </c>
      <c r="S11" s="771">
        <f t="shared" si="0"/>
        <v>100</v>
      </c>
      <c r="T11" s="770" t="s">
        <v>17</v>
      </c>
      <c r="U11" s="771">
        <f t="shared" si="1"/>
        <v>100</v>
      </c>
      <c r="V11" s="770" t="s">
        <v>17</v>
      </c>
      <c r="W11" s="771">
        <f t="shared" si="2"/>
        <v>100</v>
      </c>
      <c r="X11" s="772"/>
      <c r="Y11" s="3020"/>
      <c r="Z11" s="2956"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6"/>
      <c r="Q12" s="2955">
        <f t="shared" si="6"/>
        <v>111</v>
      </c>
      <c r="R12" s="770" t="s">
        <v>17</v>
      </c>
      <c r="S12" s="771">
        <f t="shared" si="0"/>
        <v>100</v>
      </c>
      <c r="T12" s="770" t="s">
        <v>17</v>
      </c>
      <c r="U12" s="771">
        <f t="shared" si="1"/>
        <v>100</v>
      </c>
      <c r="V12" s="770" t="s">
        <v>17</v>
      </c>
      <c r="W12" s="771">
        <f t="shared" si="2"/>
        <v>100</v>
      </c>
      <c r="X12" s="772"/>
      <c r="Y12" s="3020"/>
      <c r="Z12" s="2956">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6"/>
      <c r="Q13" s="2955">
        <f t="shared" si="6"/>
        <v>111</v>
      </c>
      <c r="R13" s="770" t="s">
        <v>17</v>
      </c>
      <c r="S13" s="771">
        <f t="shared" si="0"/>
        <v>100</v>
      </c>
      <c r="T13" s="770" t="s">
        <v>17</v>
      </c>
      <c r="U13" s="771">
        <f t="shared" si="1"/>
        <v>100</v>
      </c>
      <c r="V13" s="770" t="s">
        <v>17</v>
      </c>
      <c r="W13" s="771">
        <f t="shared" si="2"/>
        <v>100</v>
      </c>
      <c r="X13" s="772"/>
      <c r="Y13" s="3020"/>
      <c r="Z13" s="2956">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6"/>
      <c r="Q14" s="2955">
        <f t="shared" si="6"/>
        <v>111</v>
      </c>
      <c r="R14" s="770" t="s">
        <v>17</v>
      </c>
      <c r="S14" s="771">
        <f t="shared" si="0"/>
        <v>100</v>
      </c>
      <c r="T14" s="770" t="s">
        <v>17</v>
      </c>
      <c r="U14" s="771">
        <f t="shared" si="1"/>
        <v>100</v>
      </c>
      <c r="V14" s="770" t="s">
        <v>17</v>
      </c>
      <c r="W14" s="771">
        <f t="shared" si="2"/>
        <v>100</v>
      </c>
      <c r="X14" s="772"/>
      <c r="Y14" s="3020"/>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04" t="s">
        <v>2558</v>
      </c>
      <c r="Q15" s="2961" t="str">
        <f t="shared" si="6"/>
        <v>办公集聚程度</v>
      </c>
      <c r="R15" s="774" t="s">
        <v>17</v>
      </c>
      <c r="S15" s="775">
        <f t="shared" si="0"/>
        <v>100</v>
      </c>
      <c r="T15" s="774" t="s">
        <v>17</v>
      </c>
      <c r="U15" s="775">
        <f t="shared" si="1"/>
        <v>100</v>
      </c>
      <c r="V15" s="774" t="s">
        <v>17</v>
      </c>
      <c r="W15" s="775">
        <f t="shared" si="2"/>
        <v>100</v>
      </c>
      <c r="X15" s="2958"/>
      <c r="Y15" s="3197"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05"/>
      <c r="Q16" s="2961"/>
      <c r="R16" s="774"/>
      <c r="S16" s="775"/>
      <c r="T16" s="774"/>
      <c r="U16" s="775"/>
      <c r="V16" s="774"/>
      <c r="W16" s="775"/>
      <c r="X16" s="2958"/>
      <c r="Y16" s="3198"/>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05"/>
      <c r="Q17" s="2961" t="str">
        <f>B17</f>
        <v>交通便捷度</v>
      </c>
      <c r="R17" s="774" t="s">
        <v>17</v>
      </c>
      <c r="S17" s="775">
        <f>F17</f>
        <v>100</v>
      </c>
      <c r="T17" s="774" t="s">
        <v>17</v>
      </c>
      <c r="U17" s="775">
        <f>H17</f>
        <v>100</v>
      </c>
      <c r="V17" s="774" t="s">
        <v>17</v>
      </c>
      <c r="W17" s="775">
        <f>J17</f>
        <v>100</v>
      </c>
      <c r="X17" s="2958"/>
      <c r="Y17" s="3198"/>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05"/>
      <c r="Q18" s="2961"/>
      <c r="R18" s="774"/>
      <c r="S18" s="775"/>
      <c r="T18" s="774"/>
      <c r="U18" s="775"/>
      <c r="V18" s="774"/>
      <c r="W18" s="775"/>
      <c r="X18" s="2958"/>
      <c r="Y18" s="3198"/>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05"/>
      <c r="Q19" s="2961" t="str">
        <f>B19</f>
        <v>公共配套设施</v>
      </c>
      <c r="R19" s="774" t="s">
        <v>17</v>
      </c>
      <c r="S19" s="775">
        <f>F19</f>
        <v>100</v>
      </c>
      <c r="T19" s="774" t="s">
        <v>17</v>
      </c>
      <c r="U19" s="775">
        <f>H19</f>
        <v>100</v>
      </c>
      <c r="V19" s="774" t="s">
        <v>17</v>
      </c>
      <c r="W19" s="775">
        <f>J19</f>
        <v>100</v>
      </c>
      <c r="X19" s="2958"/>
      <c r="Y19" s="3198"/>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05"/>
      <c r="Q20" s="2961"/>
      <c r="R20" s="774"/>
      <c r="S20" s="775"/>
      <c r="T20" s="774"/>
      <c r="U20" s="775"/>
      <c r="V20" s="774"/>
      <c r="W20" s="775"/>
      <c r="X20" s="2958"/>
      <c r="Y20" s="3198"/>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05"/>
      <c r="Q21" s="2961" t="str">
        <f>B21</f>
        <v>基础设施水平</v>
      </c>
      <c r="R21" s="774" t="s">
        <v>17</v>
      </c>
      <c r="S21" s="775">
        <f>F21</f>
        <v>100</v>
      </c>
      <c r="T21" s="774" t="s">
        <v>17</v>
      </c>
      <c r="U21" s="775">
        <f>H21</f>
        <v>100</v>
      </c>
      <c r="V21" s="774" t="s">
        <v>17</v>
      </c>
      <c r="W21" s="775">
        <f>J21</f>
        <v>100</v>
      </c>
      <c r="X21" s="2958"/>
      <c r="Y21" s="3198"/>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05"/>
      <c r="Q22" s="2961"/>
      <c r="R22" s="774"/>
      <c r="S22" s="775"/>
      <c r="T22" s="774"/>
      <c r="U22" s="775"/>
      <c r="V22" s="774"/>
      <c r="W22" s="775"/>
      <c r="X22" s="2958"/>
      <c r="Y22" s="3198"/>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205"/>
      <c r="Q23" s="2961" t="str">
        <f>B23</f>
        <v>环境质量</v>
      </c>
      <c r="R23" s="774" t="s">
        <v>17</v>
      </c>
      <c r="S23" s="775">
        <f>F23</f>
        <v>100</v>
      </c>
      <c r="T23" s="774" t="s">
        <v>17</v>
      </c>
      <c r="U23" s="775">
        <f>H23</f>
        <v>100</v>
      </c>
      <c r="V23" s="774" t="s">
        <v>17</v>
      </c>
      <c r="W23" s="775">
        <f>J23</f>
        <v>100</v>
      </c>
      <c r="X23" s="2958"/>
      <c r="Y23" s="3198"/>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05"/>
      <c r="Q24" s="2961"/>
      <c r="R24" s="774"/>
      <c r="S24" s="775"/>
      <c r="T24" s="774"/>
      <c r="U24" s="775"/>
      <c r="V24" s="774"/>
      <c r="W24" s="775"/>
      <c r="X24" s="2958"/>
      <c r="Y24" s="3198"/>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05"/>
      <c r="Q25" s="2961" t="str">
        <f>B25</f>
        <v>毗邻道路的类型与等级</v>
      </c>
      <c r="R25" s="774" t="s">
        <v>17</v>
      </c>
      <c r="S25" s="775">
        <f>F25</f>
        <v>100</v>
      </c>
      <c r="T25" s="774" t="s">
        <v>17</v>
      </c>
      <c r="U25" s="775">
        <f>H25</f>
        <v>100</v>
      </c>
      <c r="V25" s="774" t="s">
        <v>17</v>
      </c>
      <c r="W25" s="775">
        <f>J25</f>
        <v>100</v>
      </c>
      <c r="X25" s="2958"/>
      <c r="Y25" s="3198"/>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05"/>
      <c r="Q26" s="2961"/>
      <c r="R26" s="774"/>
      <c r="S26" s="775"/>
      <c r="T26" s="774"/>
      <c r="U26" s="775"/>
      <c r="V26" s="774"/>
      <c r="W26" s="775"/>
      <c r="X26" s="2958"/>
      <c r="Y26" s="3198"/>
      <c r="Z26" s="2959"/>
      <c r="AA26" s="2962">
        <v>1</v>
      </c>
      <c r="AB26" s="2962">
        <v>1</v>
      </c>
      <c r="AC26" s="2671">
        <v>1</v>
      </c>
    </row>
    <row r="27" spans="1:29" ht="15.75" thickBot="1">
      <c r="A27" s="428"/>
      <c r="B27" s="632" t="s">
        <v>2657</v>
      </c>
      <c r="C27" s="634" t="s">
        <v>3111</v>
      </c>
      <c r="D27" s="435">
        <v>100</v>
      </c>
      <c r="E27" s="2968" t="s">
        <v>3112</v>
      </c>
      <c r="F27" s="435">
        <f>SUMIF(89:89,E27,90:90)-SUMIF(89:89,C27,90:90)+100</f>
        <v>95</v>
      </c>
      <c r="G27" s="2968" t="s">
        <v>3112</v>
      </c>
      <c r="H27" s="435">
        <f>SUMIF(89:89,G27,90:90)-SUMIF(89:89,C27,90:90)+100</f>
        <v>95</v>
      </c>
      <c r="I27" s="2968" t="s">
        <v>3112</v>
      </c>
      <c r="J27" s="435">
        <f>SUMIF(89:89,I27,90:90)-SUMIF(89:89,C27,90:90)+100</f>
        <v>95</v>
      </c>
      <c r="K27" s="612">
        <v>5</v>
      </c>
      <c r="L27" s="1140"/>
      <c r="M27" s="1131"/>
      <c r="N27" s="1131"/>
      <c r="O27" s="1131"/>
      <c r="P27" s="3205"/>
      <c r="Q27" s="2961" t="str">
        <f t="shared" ref="Q27:Q47" si="11">B27</f>
        <v>楼层</v>
      </c>
      <c r="R27" s="774" t="s">
        <v>17</v>
      </c>
      <c r="S27" s="775">
        <f>F27</f>
        <v>95</v>
      </c>
      <c r="T27" s="774" t="s">
        <v>17</v>
      </c>
      <c r="U27" s="775">
        <f>H27</f>
        <v>95</v>
      </c>
      <c r="V27" s="774" t="s">
        <v>17</v>
      </c>
      <c r="W27" s="775">
        <f>J27</f>
        <v>95</v>
      </c>
      <c r="X27" s="2958"/>
      <c r="Y27" s="3198"/>
      <c r="Z27" s="2959" t="str">
        <f>Q27</f>
        <v>楼层</v>
      </c>
      <c r="AA27" s="2962">
        <f t="shared" si="3"/>
        <v>1.0526315789473684</v>
      </c>
      <c r="AB27" s="2962">
        <f t="shared" si="4"/>
        <v>1.0526315789473684</v>
      </c>
      <c r="AC27" s="2671">
        <f t="shared" si="5"/>
        <v>1.0526315789473684</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5"/>
      <c r="Q28" s="2955" t="str">
        <f t="shared" si="11"/>
        <v>朝向</v>
      </c>
      <c r="R28" s="770" t="s">
        <v>17</v>
      </c>
      <c r="S28" s="771">
        <f>F28</f>
        <v>100</v>
      </c>
      <c r="T28" s="770" t="s">
        <v>17</v>
      </c>
      <c r="U28" s="771">
        <f>H28</f>
        <v>100</v>
      </c>
      <c r="V28" s="770" t="s">
        <v>17</v>
      </c>
      <c r="W28" s="771">
        <f>J28</f>
        <v>100</v>
      </c>
      <c r="X28" s="772"/>
      <c r="Y28" s="3198"/>
      <c r="Z28" s="2956" t="str">
        <f>Q28</f>
        <v>朝向</v>
      </c>
      <c r="AA28" s="2962">
        <f>D28/F28</f>
        <v>1</v>
      </c>
      <c r="AB28" s="2962">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5"/>
      <c r="Q29" s="2961">
        <f t="shared" si="11"/>
        <v>111</v>
      </c>
      <c r="R29" s="774" t="s">
        <v>17</v>
      </c>
      <c r="S29" s="775">
        <f t="shared" ref="S29:S47" si="12">F29</f>
        <v>100</v>
      </c>
      <c r="T29" s="774" t="s">
        <v>17</v>
      </c>
      <c r="U29" s="775">
        <f t="shared" ref="U29:U47" si="13">H29</f>
        <v>100</v>
      </c>
      <c r="V29" s="774" t="s">
        <v>17</v>
      </c>
      <c r="W29" s="775">
        <f t="shared" ref="W29:W47" si="14">J29</f>
        <v>100</v>
      </c>
      <c r="X29" s="2958"/>
      <c r="Y29" s="3198"/>
      <c r="Z29" s="2959">
        <f t="shared" ref="Z29:Z47" si="15">Q29</f>
        <v>111</v>
      </c>
      <c r="AA29" s="2962">
        <f t="shared" si="3"/>
        <v>1</v>
      </c>
      <c r="AB29" s="2962">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5"/>
      <c r="Q30" s="2961">
        <f t="shared" si="11"/>
        <v>111</v>
      </c>
      <c r="R30" s="774" t="s">
        <v>17</v>
      </c>
      <c r="S30" s="775">
        <f t="shared" si="12"/>
        <v>100</v>
      </c>
      <c r="T30" s="774" t="s">
        <v>17</v>
      </c>
      <c r="U30" s="775">
        <f t="shared" si="13"/>
        <v>100</v>
      </c>
      <c r="V30" s="774" t="s">
        <v>17</v>
      </c>
      <c r="W30" s="775">
        <f t="shared" si="14"/>
        <v>100</v>
      </c>
      <c r="X30" s="2958"/>
      <c r="Y30" s="3198"/>
      <c r="Z30" s="2959">
        <f t="shared" si="15"/>
        <v>111</v>
      </c>
      <c r="AA30" s="2962">
        <f t="shared" si="3"/>
        <v>1</v>
      </c>
      <c r="AB30" s="2962">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5"/>
      <c r="Q31" s="2961">
        <f t="shared" si="11"/>
        <v>111</v>
      </c>
      <c r="R31" s="774" t="s">
        <v>17</v>
      </c>
      <c r="S31" s="775">
        <f t="shared" si="12"/>
        <v>100</v>
      </c>
      <c r="T31" s="774" t="s">
        <v>17</v>
      </c>
      <c r="U31" s="775">
        <f t="shared" si="13"/>
        <v>100</v>
      </c>
      <c r="V31" s="774" t="s">
        <v>17</v>
      </c>
      <c r="W31" s="775">
        <f t="shared" si="14"/>
        <v>100</v>
      </c>
      <c r="X31" s="2958"/>
      <c r="Y31" s="3198"/>
      <c r="Z31" s="2959">
        <f t="shared" si="15"/>
        <v>111</v>
      </c>
      <c r="AA31" s="2962">
        <f t="shared" si="3"/>
        <v>1</v>
      </c>
      <c r="AB31" s="2962">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5"/>
      <c r="Q32" s="2961">
        <f t="shared" si="11"/>
        <v>111</v>
      </c>
      <c r="R32" s="774" t="s">
        <v>17</v>
      </c>
      <c r="S32" s="775">
        <f t="shared" si="12"/>
        <v>100</v>
      </c>
      <c r="T32" s="774" t="s">
        <v>17</v>
      </c>
      <c r="U32" s="775">
        <f t="shared" si="13"/>
        <v>100</v>
      </c>
      <c r="V32" s="774" t="s">
        <v>17</v>
      </c>
      <c r="W32" s="775">
        <f t="shared" si="14"/>
        <v>100</v>
      </c>
      <c r="X32" s="2958"/>
      <c r="Y32" s="3198"/>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99" t="s">
        <v>2563</v>
      </c>
      <c r="Q33" s="2961" t="str">
        <f t="shared" si="11"/>
        <v>建筑类型</v>
      </c>
      <c r="R33" s="774" t="s">
        <v>17</v>
      </c>
      <c r="S33" s="775">
        <f t="shared" si="12"/>
        <v>100</v>
      </c>
      <c r="T33" s="774" t="s">
        <v>17</v>
      </c>
      <c r="U33" s="775">
        <f t="shared" si="13"/>
        <v>100</v>
      </c>
      <c r="V33" s="774" t="s">
        <v>17</v>
      </c>
      <c r="W33" s="775">
        <f t="shared" si="14"/>
        <v>100</v>
      </c>
      <c r="X33" s="2958"/>
      <c r="Y33" s="3202" t="s">
        <v>2563</v>
      </c>
      <c r="Z33" s="2959" t="str">
        <f t="shared" si="15"/>
        <v>建筑类型</v>
      </c>
      <c r="AA33" s="2962">
        <f t="shared" si="3"/>
        <v>1</v>
      </c>
      <c r="AB33" s="2962">
        <f t="shared" si="4"/>
        <v>1</v>
      </c>
      <c r="AC33" s="2671">
        <f t="shared" si="5"/>
        <v>1</v>
      </c>
    </row>
    <row r="34" spans="1:29" s="471" customFormat="1" ht="15">
      <c r="A34" s="468"/>
      <c r="B34" s="2957" t="s">
        <v>2564</v>
      </c>
      <c r="C34" s="469">
        <f>'比较法-办公'!C34</f>
        <v>264000</v>
      </c>
      <c r="D34" s="136">
        <v>100</v>
      </c>
      <c r="E34" s="430">
        <f>C34</f>
        <v>264000</v>
      </c>
      <c r="F34" s="425">
        <f>LOOKUP(E34,104:104,105:105)-LOOKUP(C34,104:104,105:105)+100</f>
        <v>100</v>
      </c>
      <c r="G34" s="429">
        <f>C34</f>
        <v>264000</v>
      </c>
      <c r="H34" s="136">
        <f>LOOKUP(G34,104:104,105:105)-LOOKUP(C34,104:104,105:105)+100</f>
        <v>100</v>
      </c>
      <c r="I34" s="429">
        <f>C34</f>
        <v>264000</v>
      </c>
      <c r="J34" s="136">
        <f>LOOKUP(I34,104:104,105:105)-LOOKUP(C34,104:104,105:105)+100</f>
        <v>100</v>
      </c>
      <c r="K34" s="613"/>
      <c r="L34" s="1138"/>
      <c r="M34" s="1141"/>
      <c r="N34" s="1141"/>
      <c r="O34" s="1141"/>
      <c r="P34" s="3200"/>
      <c r="Q34" s="776" t="str">
        <f t="shared" si="11"/>
        <v>项目建筑规模</v>
      </c>
      <c r="R34" s="777" t="s">
        <v>17</v>
      </c>
      <c r="S34" s="778">
        <f t="shared" si="12"/>
        <v>100</v>
      </c>
      <c r="T34" s="777" t="s">
        <v>17</v>
      </c>
      <c r="U34" s="778">
        <f t="shared" si="13"/>
        <v>100</v>
      </c>
      <c r="V34" s="777" t="s">
        <v>17</v>
      </c>
      <c r="W34" s="778">
        <f t="shared" si="14"/>
        <v>100</v>
      </c>
      <c r="X34" s="779"/>
      <c r="Y34" s="3202"/>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00"/>
      <c r="Q35" s="2961" t="str">
        <f t="shared" si="11"/>
        <v>建筑结构</v>
      </c>
      <c r="R35" s="774" t="s">
        <v>17</v>
      </c>
      <c r="S35" s="775">
        <f t="shared" si="12"/>
        <v>100</v>
      </c>
      <c r="T35" s="774" t="s">
        <v>17</v>
      </c>
      <c r="U35" s="775">
        <f t="shared" si="13"/>
        <v>100</v>
      </c>
      <c r="V35" s="774" t="s">
        <v>17</v>
      </c>
      <c r="W35" s="775">
        <f t="shared" si="14"/>
        <v>100</v>
      </c>
      <c r="X35" s="2958"/>
      <c r="Y35" s="3202"/>
      <c r="Z35" s="2959" t="str">
        <f t="shared" si="15"/>
        <v>建筑结构</v>
      </c>
      <c r="AA35" s="2962">
        <f t="shared" si="3"/>
        <v>1</v>
      </c>
      <c r="AB35" s="2962">
        <f t="shared" si="4"/>
        <v>1</v>
      </c>
      <c r="AC35" s="2671">
        <f t="shared" si="5"/>
        <v>1</v>
      </c>
    </row>
    <row r="36" spans="1:29" ht="15">
      <c r="A36" s="472"/>
      <c r="B36" s="2957"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00"/>
      <c r="Q36" s="2961" t="str">
        <f t="shared" si="11"/>
        <v>公共部分装修</v>
      </c>
      <c r="R36" s="774" t="s">
        <v>17</v>
      </c>
      <c r="S36" s="775">
        <f t="shared" si="12"/>
        <v>100</v>
      </c>
      <c r="T36" s="774" t="s">
        <v>17</v>
      </c>
      <c r="U36" s="775">
        <f t="shared" si="13"/>
        <v>100</v>
      </c>
      <c r="V36" s="774" t="s">
        <v>17</v>
      </c>
      <c r="W36" s="775">
        <f t="shared" si="14"/>
        <v>100</v>
      </c>
      <c r="X36" s="2958"/>
      <c r="Y36" s="3202"/>
      <c r="Z36" s="2959" t="str">
        <f t="shared" si="15"/>
        <v>公共部分装修</v>
      </c>
      <c r="AA36" s="2962">
        <f t="shared" si="3"/>
        <v>1</v>
      </c>
      <c r="AB36" s="2962">
        <f t="shared" si="4"/>
        <v>1</v>
      </c>
      <c r="AC36" s="2671">
        <f t="shared" si="5"/>
        <v>1</v>
      </c>
    </row>
    <row r="37" spans="1:29" ht="15">
      <c r="A37" s="472"/>
      <c r="B37" s="2957" t="s">
        <v>2660</v>
      </c>
      <c r="C37" s="474">
        <v>0.76</v>
      </c>
      <c r="D37" s="435">
        <v>100</v>
      </c>
      <c r="E37" s="474">
        <v>0.76</v>
      </c>
      <c r="F37" s="461">
        <f>LOOKUP(E37,111:111,112:112)-LOOKUP(C37,111:111,112:112)+100</f>
        <v>100</v>
      </c>
      <c r="G37" s="474">
        <v>0.8</v>
      </c>
      <c r="H37" s="461">
        <f>LOOKUP(G37,111:111,112:112)-LOOKUP(C37,111:111,112:112)+100</f>
        <v>102</v>
      </c>
      <c r="I37" s="474">
        <v>0.76</v>
      </c>
      <c r="J37" s="435">
        <f>LOOKUP(I37,111:111,112:112)-LOOKUP(C37,111:111,112:112)+100</f>
        <v>100</v>
      </c>
      <c r="K37" s="612">
        <v>2</v>
      </c>
      <c r="L37" s="1140"/>
      <c r="M37" s="1131"/>
      <c r="N37" s="1131"/>
      <c r="O37" s="1131"/>
      <c r="P37" s="3200"/>
      <c r="Q37" s="2961" t="str">
        <f t="shared" si="11"/>
        <v>成新度</v>
      </c>
      <c r="R37" s="774" t="s">
        <v>17</v>
      </c>
      <c r="S37" s="775">
        <f t="shared" si="12"/>
        <v>100</v>
      </c>
      <c r="T37" s="774" t="s">
        <v>17</v>
      </c>
      <c r="U37" s="775">
        <f t="shared" si="13"/>
        <v>102</v>
      </c>
      <c r="V37" s="774" t="s">
        <v>17</v>
      </c>
      <c r="W37" s="775">
        <f t="shared" si="14"/>
        <v>100</v>
      </c>
      <c r="X37" s="2958"/>
      <c r="Y37" s="3202"/>
      <c r="Z37" s="2959" t="str">
        <f t="shared" si="15"/>
        <v>成新度</v>
      </c>
      <c r="AA37" s="2962">
        <f t="shared" si="3"/>
        <v>1</v>
      </c>
      <c r="AB37" s="2962">
        <f t="shared" si="4"/>
        <v>0.98039215686274506</v>
      </c>
      <c r="AC37" s="2671">
        <f t="shared" si="5"/>
        <v>1</v>
      </c>
    </row>
    <row r="38" spans="1:29" s="117" customFormat="1" ht="15">
      <c r="A38" s="473"/>
      <c r="B38" s="2957"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00"/>
      <c r="Q38" s="2955" t="str">
        <f t="shared" si="11"/>
        <v>写字楼等级</v>
      </c>
      <c r="R38" s="770" t="s">
        <v>17</v>
      </c>
      <c r="S38" s="771">
        <f t="shared" si="12"/>
        <v>100</v>
      </c>
      <c r="T38" s="770" t="s">
        <v>17</v>
      </c>
      <c r="U38" s="771">
        <f t="shared" si="13"/>
        <v>100</v>
      </c>
      <c r="V38" s="770" t="s">
        <v>17</v>
      </c>
      <c r="W38" s="771">
        <f t="shared" si="14"/>
        <v>100</v>
      </c>
      <c r="X38" s="772"/>
      <c r="Y38" s="3202"/>
      <c r="Z38" s="2956" t="str">
        <f t="shared" si="15"/>
        <v>写字楼等级</v>
      </c>
      <c r="AA38" s="773">
        <f t="shared" si="3"/>
        <v>1</v>
      </c>
      <c r="AB38" s="773">
        <f t="shared" si="4"/>
        <v>1</v>
      </c>
      <c r="AC38" s="2668">
        <f t="shared" si="5"/>
        <v>1</v>
      </c>
    </row>
    <row r="39" spans="1:29" ht="15">
      <c r="A39" s="472"/>
      <c r="B39" s="2957"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00" t="s">
        <v>2563</v>
      </c>
      <c r="Q39" s="2961" t="str">
        <f t="shared" si="11"/>
        <v>物业管理</v>
      </c>
      <c r="R39" s="774" t="s">
        <v>17</v>
      </c>
      <c r="S39" s="775">
        <f t="shared" si="12"/>
        <v>100</v>
      </c>
      <c r="T39" s="774" t="s">
        <v>17</v>
      </c>
      <c r="U39" s="775">
        <f t="shared" si="13"/>
        <v>100</v>
      </c>
      <c r="V39" s="774" t="s">
        <v>17</v>
      </c>
      <c r="W39" s="775">
        <f t="shared" si="14"/>
        <v>100</v>
      </c>
      <c r="X39" s="2958"/>
      <c r="Y39" s="3202"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00"/>
      <c r="Q40" s="2961" t="str">
        <f t="shared" si="11"/>
        <v>市政基础设施</v>
      </c>
      <c r="R40" s="774" t="s">
        <v>17</v>
      </c>
      <c r="S40" s="775">
        <f t="shared" si="12"/>
        <v>100</v>
      </c>
      <c r="T40" s="774" t="s">
        <v>17</v>
      </c>
      <c r="U40" s="775">
        <f t="shared" si="13"/>
        <v>100</v>
      </c>
      <c r="V40" s="774" t="s">
        <v>17</v>
      </c>
      <c r="W40" s="775">
        <f t="shared" si="14"/>
        <v>100</v>
      </c>
      <c r="X40" s="2958"/>
      <c r="Y40" s="3202"/>
      <c r="Z40" s="2959" t="str">
        <f t="shared" si="15"/>
        <v>市政基础设施</v>
      </c>
      <c r="AA40" s="2962">
        <f t="shared" si="3"/>
        <v>1</v>
      </c>
      <c r="AB40" s="2962">
        <f t="shared" si="4"/>
        <v>1</v>
      </c>
      <c r="AC40" s="2671">
        <f t="shared" si="5"/>
        <v>1</v>
      </c>
    </row>
    <row r="41" spans="1:29" ht="15">
      <c r="A41" s="472"/>
      <c r="B41" s="2957"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00"/>
      <c r="Q41" s="2961" t="str">
        <f t="shared" si="11"/>
        <v>层高</v>
      </c>
      <c r="R41" s="774" t="s">
        <v>17</v>
      </c>
      <c r="S41" s="775">
        <f t="shared" si="12"/>
        <v>100</v>
      </c>
      <c r="T41" s="774" t="s">
        <v>17</v>
      </c>
      <c r="U41" s="775">
        <f t="shared" si="13"/>
        <v>100</v>
      </c>
      <c r="V41" s="774" t="s">
        <v>17</v>
      </c>
      <c r="W41" s="775">
        <f t="shared" si="14"/>
        <v>100</v>
      </c>
      <c r="X41" s="2958"/>
      <c r="Y41" s="3202"/>
      <c r="Z41" s="2959" t="str">
        <f t="shared" si="15"/>
        <v>层高</v>
      </c>
      <c r="AA41" s="2962">
        <f t="shared" si="3"/>
        <v>1</v>
      </c>
      <c r="AB41" s="2962">
        <f t="shared" si="4"/>
        <v>1</v>
      </c>
      <c r="AC41" s="2671">
        <f t="shared" si="5"/>
        <v>1</v>
      </c>
    </row>
    <row r="42" spans="1:29" s="471" customFormat="1" ht="15">
      <c r="A42" s="468"/>
      <c r="B42" s="2960" t="s">
        <v>2694</v>
      </c>
      <c r="C42" s="434" t="s">
        <v>3121</v>
      </c>
      <c r="D42" s="435">
        <v>100</v>
      </c>
      <c r="E42" s="2968" t="s">
        <v>3162</v>
      </c>
      <c r="F42" s="461">
        <f>SUMIF(121:121,E42,122:122)-SUMIF(121:121,C42,122:122)+100</f>
        <v>106</v>
      </c>
      <c r="G42" s="2968" t="s">
        <v>3167</v>
      </c>
      <c r="H42" s="435">
        <f>SUMIF(121:121,G42,122:122)-SUMIF(121:121,C42,122:122)+100</f>
        <v>104</v>
      </c>
      <c r="I42" s="2968" t="s">
        <v>3165</v>
      </c>
      <c r="J42" s="435">
        <f>SUMIF(121:121,I42,122:122)-SUMIF(121:121,C42,122:122)+100</f>
        <v>98</v>
      </c>
      <c r="K42" s="613"/>
      <c r="L42" s="1138"/>
      <c r="M42" s="1141"/>
      <c r="N42" s="1141"/>
      <c r="O42" s="1141"/>
      <c r="P42" s="3200"/>
      <c r="Q42" s="776" t="str">
        <f t="shared" si="11"/>
        <v>单套建筑面积</v>
      </c>
      <c r="R42" s="777" t="s">
        <v>17</v>
      </c>
      <c r="S42" s="778">
        <f t="shared" si="12"/>
        <v>106</v>
      </c>
      <c r="T42" s="777" t="s">
        <v>17</v>
      </c>
      <c r="U42" s="778">
        <f t="shared" si="13"/>
        <v>104</v>
      </c>
      <c r="V42" s="777" t="s">
        <v>17</v>
      </c>
      <c r="W42" s="778">
        <f t="shared" si="14"/>
        <v>98</v>
      </c>
      <c r="X42" s="779"/>
      <c r="Y42" s="3202"/>
      <c r="Z42" s="780" t="str">
        <f t="shared" si="15"/>
        <v>单套建筑面积</v>
      </c>
      <c r="AA42" s="2962">
        <f t="shared" si="3"/>
        <v>0.94339622641509435</v>
      </c>
      <c r="AB42" s="2962">
        <f t="shared" si="4"/>
        <v>0.96153846153846156</v>
      </c>
      <c r="AC42" s="2671">
        <f t="shared" si="5"/>
        <v>1.0204081632653061</v>
      </c>
    </row>
    <row r="43" spans="1:29" ht="15">
      <c r="A43" s="472"/>
      <c r="B43" s="2957" t="s">
        <v>2666</v>
      </c>
      <c r="C43" s="460" t="s">
        <v>3125</v>
      </c>
      <c r="D43" s="435">
        <v>100</v>
      </c>
      <c r="E43" s="460" t="s">
        <v>3125</v>
      </c>
      <c r="F43" s="461">
        <f>SUMIF(123:123,E43,124:124)-SUMIF(123:123,C43,124:124)+100</f>
        <v>100</v>
      </c>
      <c r="G43" s="460" t="s">
        <v>3127</v>
      </c>
      <c r="H43" s="435">
        <f>SUMIF(123:123,G43,124:124)-SUMIF(123:123,C43,124:124)+100</f>
        <v>97</v>
      </c>
      <c r="I43" s="460" t="s">
        <v>3127</v>
      </c>
      <c r="J43" s="435">
        <f>SUMIF(123:123,I43,124:124)-SUMIF(123:123,C43,124:124)+100</f>
        <v>97</v>
      </c>
      <c r="K43" s="612">
        <v>3</v>
      </c>
      <c r="L43" s="1140"/>
      <c r="M43" s="1131"/>
      <c r="N43" s="1131"/>
      <c r="O43" s="1131"/>
      <c r="P43" s="3200"/>
      <c r="Q43" s="2961" t="str">
        <f t="shared" si="11"/>
        <v>内部装修</v>
      </c>
      <c r="R43" s="774" t="s">
        <v>17</v>
      </c>
      <c r="S43" s="775">
        <f t="shared" si="12"/>
        <v>100</v>
      </c>
      <c r="T43" s="774" t="s">
        <v>17</v>
      </c>
      <c r="U43" s="775">
        <f t="shared" si="13"/>
        <v>97</v>
      </c>
      <c r="V43" s="774" t="s">
        <v>17</v>
      </c>
      <c r="W43" s="775">
        <f t="shared" si="14"/>
        <v>97</v>
      </c>
      <c r="X43" s="2958"/>
      <c r="Y43" s="3202"/>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00"/>
      <c r="Q44" s="2961" t="str">
        <f t="shared" si="11"/>
        <v>内部装修维护情况</v>
      </c>
      <c r="R44" s="774" t="s">
        <v>17</v>
      </c>
      <c r="S44" s="775">
        <f t="shared" si="12"/>
        <v>100</v>
      </c>
      <c r="T44" s="774" t="s">
        <v>17</v>
      </c>
      <c r="U44" s="775">
        <f t="shared" si="13"/>
        <v>100</v>
      </c>
      <c r="V44" s="774" t="s">
        <v>17</v>
      </c>
      <c r="W44" s="775">
        <f t="shared" si="14"/>
        <v>100</v>
      </c>
      <c r="X44" s="2958"/>
      <c r="Y44" s="3202"/>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2955">
        <f t="shared" si="11"/>
        <v>111</v>
      </c>
      <c r="R45" s="770" t="s">
        <v>17</v>
      </c>
      <c r="S45" s="771">
        <f t="shared" si="12"/>
        <v>100</v>
      </c>
      <c r="T45" s="770" t="s">
        <v>17</v>
      </c>
      <c r="U45" s="771">
        <f t="shared" si="13"/>
        <v>100</v>
      </c>
      <c r="V45" s="770" t="s">
        <v>17</v>
      </c>
      <c r="W45" s="771">
        <f t="shared" si="14"/>
        <v>100</v>
      </c>
      <c r="X45" s="772"/>
      <c r="Y45" s="3202"/>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2961">
        <f t="shared" si="11"/>
        <v>111</v>
      </c>
      <c r="R46" s="774" t="s">
        <v>17</v>
      </c>
      <c r="S46" s="775">
        <f t="shared" si="12"/>
        <v>100</v>
      </c>
      <c r="T46" s="774" t="s">
        <v>17</v>
      </c>
      <c r="U46" s="775">
        <f t="shared" si="13"/>
        <v>100</v>
      </c>
      <c r="V46" s="774" t="s">
        <v>17</v>
      </c>
      <c r="W46" s="775">
        <f t="shared" si="14"/>
        <v>100</v>
      </c>
      <c r="X46" s="2958"/>
      <c r="Y46" s="3202"/>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2961">
        <f t="shared" si="11"/>
        <v>111</v>
      </c>
      <c r="R47" s="774" t="s">
        <v>17</v>
      </c>
      <c r="S47" s="775">
        <f t="shared" si="12"/>
        <v>100</v>
      </c>
      <c r="T47" s="774" t="s">
        <v>17</v>
      </c>
      <c r="U47" s="775">
        <f t="shared" si="13"/>
        <v>100</v>
      </c>
      <c r="V47" s="774" t="s">
        <v>17</v>
      </c>
      <c r="W47" s="775">
        <f t="shared" si="14"/>
        <v>100</v>
      </c>
      <c r="X47" s="2958"/>
      <c r="Y47" s="3203"/>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206" t="str">
        <f>A48</f>
        <v>成交单价（元/平方米）</v>
      </c>
      <c r="Q48" s="3195"/>
      <c r="R48" s="3196">
        <f>E48</f>
        <v>7.5</v>
      </c>
      <c r="S48" s="3196"/>
      <c r="T48" s="3196">
        <f>G48</f>
        <v>8.5</v>
      </c>
      <c r="U48" s="3196"/>
      <c r="V48" s="3196">
        <f>I48</f>
        <v>8</v>
      </c>
      <c r="W48" s="3196"/>
      <c r="X48" s="446"/>
      <c r="Y48" s="781"/>
      <c r="Z48" s="446"/>
      <c r="AA48" s="446"/>
      <c r="AB48" s="446"/>
      <c r="AC48" s="630"/>
    </row>
    <row r="49" spans="1:29" ht="15.75" thickBot="1">
      <c r="A49" s="486" t="s">
        <v>2576</v>
      </c>
      <c r="B49" s="487"/>
      <c r="C49" s="1413">
        <f>R50</f>
        <v>8.3000000000000007</v>
      </c>
      <c r="D49" s="1414"/>
      <c r="E49" s="1415">
        <f>R49</f>
        <v>7.4</v>
      </c>
      <c r="F49" s="1415"/>
      <c r="G49" s="1413">
        <f>T49</f>
        <v>8.6999999999999993</v>
      </c>
      <c r="H49" s="1414"/>
      <c r="I49" s="1415">
        <f>V49</f>
        <v>8.9</v>
      </c>
      <c r="J49" s="489"/>
      <c r="K49" s="784"/>
      <c r="L49" s="1143"/>
      <c r="M49" s="1131"/>
      <c r="N49" s="1131"/>
      <c r="O49" s="1131"/>
      <c r="P49" s="3206" t="str">
        <f>A49</f>
        <v>比较价值（元/平方米）</v>
      </c>
      <c r="Q49" s="3195"/>
      <c r="R49" s="3196">
        <f>IF(F1="售价",ROUND(PRODUCT(R48,AA7:AA47),0),ROUND(PRODUCT(R48,AA7:AA47),1))</f>
        <v>7.4</v>
      </c>
      <c r="S49" s="3196"/>
      <c r="T49" s="3196">
        <f>IF(F1="售价",ROUND(PRODUCT(T48,AB7:AB47),0),ROUND(PRODUCT(T48,AB7:AB47),1))</f>
        <v>8.6999999999999993</v>
      </c>
      <c r="U49" s="3196"/>
      <c r="V49" s="3196">
        <f>IF(F1="售价",ROUND(PRODUCT(V48,AC7:AC47),0),ROUND(PRODUCT(V48,AC7:AC47),1))</f>
        <v>8.9</v>
      </c>
      <c r="W49" s="3196"/>
      <c r="X49" s="446"/>
      <c r="Y49" s="446"/>
      <c r="Z49" s="446"/>
      <c r="AA49" s="446"/>
      <c r="AB49" s="446"/>
      <c r="AC49" s="630"/>
    </row>
    <row r="50" spans="1:29" ht="15.75" thickBot="1">
      <c r="A50" s="492" t="s">
        <v>2577</v>
      </c>
      <c r="B50" s="493"/>
      <c r="C50" s="1417">
        <f>R50</f>
        <v>8.3000000000000007</v>
      </c>
      <c r="D50" s="1417"/>
      <c r="E50" s="1417"/>
      <c r="F50" s="1417"/>
      <c r="G50" s="1417"/>
      <c r="H50" s="1417"/>
      <c r="I50" s="1417"/>
      <c r="J50" s="494"/>
      <c r="K50" s="785"/>
      <c r="L50" s="1143"/>
      <c r="M50" s="1131"/>
      <c r="N50" s="1131"/>
      <c r="O50" s="1131"/>
      <c r="P50" s="3254" t="str">
        <f>A50</f>
        <v>估价对象XX用房的比较价值（楼面单价，元/平方米）</v>
      </c>
      <c r="Q50" s="3255"/>
      <c r="R50" s="3256">
        <f>IF(F1="售价",ROUND(AVERAGE(R49:V49),0),ROUND(AVERAGE(R49:V49),1))</f>
        <v>8.3000000000000007</v>
      </c>
      <c r="S50" s="3256"/>
      <c r="T50" s="3256"/>
      <c r="U50" s="3256"/>
      <c r="V50" s="3256"/>
      <c r="W50" s="325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1.3513513513513375E-2</v>
      </c>
      <c r="F53" s="500" t="str">
        <f>IF(OR(E53&gt;=0.3,E53&lt;=-0.3),"超过30%","")</f>
        <v/>
      </c>
      <c r="G53" s="499">
        <f>IF(G48&lt;G49,G49/G48-1,G48/G49-1)</f>
        <v>2.3529411764705799E-2</v>
      </c>
      <c r="H53" s="500" t="str">
        <f>IF(OR(G53&gt;=0.3,G53&lt;=-0.3),"超过30%","")</f>
        <v/>
      </c>
      <c r="I53" s="499">
        <f>IF(I48&lt;I49,I49/I48-1,I48/I49-1)</f>
        <v>0.11250000000000004</v>
      </c>
      <c r="J53" s="500" t="str">
        <f>IF(OR(I53&gt;=0.3,I53&lt;=-0.3),"超过30%","")</f>
        <v/>
      </c>
      <c r="K53" s="1105"/>
      <c r="L53" s="1106"/>
      <c r="M53" s="1144"/>
      <c r="N53" s="1144"/>
      <c r="O53" s="1144"/>
    </row>
    <row r="54" spans="1:29" ht="13.5" customHeight="1">
      <c r="A54" s="1144"/>
      <c r="B54" s="1144"/>
      <c r="C54" s="497" t="s">
        <v>2579</v>
      </c>
      <c r="D54" s="501"/>
      <c r="E54" s="499">
        <f>IF(E49&lt;G49,G49/E49-1,E49/G49-1)</f>
        <v>0.17567567567567544</v>
      </c>
      <c r="F54" s="500" t="str">
        <f>IF(OR(E54&gt;=0.2,E54&lt;=-0.2),"超过20%","")</f>
        <v/>
      </c>
      <c r="G54" s="499">
        <f>IF(G49&lt;I49,I49/G49-1,G49/I49-1)</f>
        <v>2.2988505747126631E-2</v>
      </c>
      <c r="H54" s="500" t="str">
        <f>IF(OR(G54&gt;=0.2,G54&lt;=-0.2),"超过20%","")</f>
        <v/>
      </c>
      <c r="I54" s="499">
        <f>IF(I49&lt;E49,E49/I49-1,I49/E49-1)</f>
        <v>0.20270270270270263</v>
      </c>
      <c r="J54" s="500" t="str">
        <f>IF(OR(I54&gt;=0.2,I54&lt;=-0.2),"超过20%","")</f>
        <v>超过20%</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55"/>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1">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3129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43" sqref="L4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488</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47123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41" t="s">
        <v>2649</v>
      </c>
      <c r="Q4" s="3242"/>
      <c r="R4" s="3245" t="s">
        <v>2645</v>
      </c>
      <c r="S4" s="3246"/>
      <c r="T4" s="3245" t="s">
        <v>2646</v>
      </c>
      <c r="U4" s="3246"/>
      <c r="V4" s="3251" t="s">
        <v>2647</v>
      </c>
      <c r="W4" s="3251"/>
      <c r="X4" s="2667"/>
      <c r="Y4" s="3245" t="s">
        <v>2649</v>
      </c>
      <c r="Z4" s="3246"/>
      <c r="AA4" s="3252" t="s">
        <v>2645</v>
      </c>
      <c r="AB4" s="3252" t="s">
        <v>2646</v>
      </c>
      <c r="AC4" s="3238" t="s">
        <v>2647</v>
      </c>
    </row>
    <row r="5" spans="1:29" ht="15">
      <c r="A5" s="404"/>
      <c r="B5" s="405"/>
      <c r="C5" s="3247" t="s">
        <v>3147</v>
      </c>
      <c r="D5" s="3230"/>
      <c r="E5" s="3248" t="s">
        <v>3152</v>
      </c>
      <c r="F5" s="3237"/>
      <c r="G5" s="3248" t="s">
        <v>3152</v>
      </c>
      <c r="H5" s="3237"/>
      <c r="I5" s="3248" t="s">
        <v>3152</v>
      </c>
      <c r="J5" s="3237"/>
      <c r="K5" s="610"/>
      <c r="L5" s="1130"/>
      <c r="M5" s="1131"/>
      <c r="N5" s="1131"/>
      <c r="O5" s="1131"/>
      <c r="P5" s="3243"/>
      <c r="Q5" s="3217"/>
      <c r="R5" s="3222"/>
      <c r="S5" s="3223"/>
      <c r="T5" s="3222"/>
      <c r="U5" s="3223"/>
      <c r="V5" s="3226"/>
      <c r="W5" s="3226"/>
      <c r="X5" s="1808"/>
      <c r="Y5" s="3222"/>
      <c r="Z5" s="3223"/>
      <c r="AA5" s="3208"/>
      <c r="AB5" s="3208"/>
      <c r="AC5" s="3239"/>
    </row>
    <row r="6" spans="1:29" ht="15.75" thickBot="1">
      <c r="A6" s="406"/>
      <c r="B6" s="407"/>
      <c r="C6" s="3249" t="s">
        <v>3148</v>
      </c>
      <c r="D6" s="3228"/>
      <c r="E6" s="3250" t="s">
        <v>3104</v>
      </c>
      <c r="F6" s="3235"/>
      <c r="G6" s="3249" t="s">
        <v>3146</v>
      </c>
      <c r="H6" s="3228"/>
      <c r="I6" s="3250" t="s">
        <v>3104</v>
      </c>
      <c r="J6" s="3235"/>
      <c r="K6" s="610" t="s">
        <v>2545</v>
      </c>
      <c r="L6" s="1130"/>
      <c r="M6" s="1131"/>
      <c r="N6" s="1131"/>
      <c r="O6" s="1131"/>
      <c r="P6" s="3244"/>
      <c r="Q6" s="3219"/>
      <c r="R6" s="3222"/>
      <c r="S6" s="3223"/>
      <c r="T6" s="3224"/>
      <c r="U6" s="3225"/>
      <c r="V6" s="3226"/>
      <c r="W6" s="3226"/>
      <c r="X6" s="1808"/>
      <c r="Y6" s="3224"/>
      <c r="Z6" s="3225"/>
      <c r="AA6" s="3209"/>
      <c r="AB6" s="3209"/>
      <c r="AC6" s="3240"/>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43556</v>
      </c>
      <c r="J7" s="411">
        <f>SUMIF(59:59,YEAR(I7)&amp;"-"&amp;MONTH(I7),60:60)</f>
        <v>100</v>
      </c>
      <c r="K7" s="611"/>
      <c r="L7" s="1132"/>
      <c r="M7" s="1133"/>
      <c r="N7" s="1133"/>
      <c r="O7" s="1133"/>
      <c r="P7" s="3253" t="s">
        <v>2547</v>
      </c>
      <c r="Q7" s="3233"/>
      <c r="R7" s="770" t="s">
        <v>17</v>
      </c>
      <c r="S7" s="771">
        <f t="shared" ref="S7:S15" si="0">F7</f>
        <v>100</v>
      </c>
      <c r="T7" s="770" t="s">
        <v>17</v>
      </c>
      <c r="U7" s="771">
        <f t="shared" ref="U7:U15" si="1">H7</f>
        <v>100</v>
      </c>
      <c r="V7" s="770" t="s">
        <v>17</v>
      </c>
      <c r="W7" s="771">
        <f t="shared" ref="W7:W15" si="2">J7</f>
        <v>100</v>
      </c>
      <c r="X7" s="772"/>
      <c r="Y7" s="3231" t="s">
        <v>2547</v>
      </c>
      <c r="Z7" s="3232"/>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53" t="s">
        <v>2550</v>
      </c>
      <c r="Q8" s="3232"/>
      <c r="R8" s="770" t="s">
        <v>17</v>
      </c>
      <c r="S8" s="771">
        <f t="shared" si="0"/>
        <v>100</v>
      </c>
      <c r="T8" s="770" t="s">
        <v>17</v>
      </c>
      <c r="U8" s="771">
        <f t="shared" si="1"/>
        <v>100</v>
      </c>
      <c r="V8" s="770" t="s">
        <v>17</v>
      </c>
      <c r="W8" s="771">
        <f t="shared" si="2"/>
        <v>100</v>
      </c>
      <c r="X8" s="772"/>
      <c r="Y8" s="3231" t="s">
        <v>2550</v>
      </c>
      <c r="Z8" s="323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6"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2668">
        <f t="shared" si="5"/>
        <v>1</v>
      </c>
    </row>
    <row r="10" spans="1:29" s="427" customFormat="1" ht="27">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6"/>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68">
        <f t="shared" si="5"/>
        <v>1</v>
      </c>
    </row>
    <row r="11" spans="1:29" ht="15.75" thickBot="1">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6"/>
      <c r="Q11" s="1790" t="str">
        <f t="shared" si="6"/>
        <v>容积率</v>
      </c>
      <c r="R11" s="770" t="s">
        <v>17</v>
      </c>
      <c r="S11" s="771">
        <f t="shared" si="0"/>
        <v>100</v>
      </c>
      <c r="T11" s="770" t="s">
        <v>17</v>
      </c>
      <c r="U11" s="771">
        <f t="shared" si="1"/>
        <v>100</v>
      </c>
      <c r="V11" s="770" t="s">
        <v>17</v>
      </c>
      <c r="W11" s="771">
        <f t="shared" si="2"/>
        <v>100</v>
      </c>
      <c r="X11" s="772"/>
      <c r="Y11" s="3020"/>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6"/>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6"/>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6"/>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04" t="s">
        <v>2558</v>
      </c>
      <c r="Q15" s="1805" t="str">
        <f t="shared" si="6"/>
        <v>办公集聚程度</v>
      </c>
      <c r="R15" s="774" t="s">
        <v>17</v>
      </c>
      <c r="S15" s="775">
        <f t="shared" si="0"/>
        <v>100</v>
      </c>
      <c r="T15" s="774" t="s">
        <v>17</v>
      </c>
      <c r="U15" s="775">
        <f t="shared" si="1"/>
        <v>100</v>
      </c>
      <c r="V15" s="774" t="s">
        <v>17</v>
      </c>
      <c r="W15" s="775">
        <f t="shared" si="2"/>
        <v>100</v>
      </c>
      <c r="X15" s="1808"/>
      <c r="Y15" s="3197"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05"/>
      <c r="Q16" s="1805"/>
      <c r="R16" s="774"/>
      <c r="S16" s="775"/>
      <c r="T16" s="774"/>
      <c r="U16" s="775"/>
      <c r="V16" s="774"/>
      <c r="W16" s="775"/>
      <c r="X16" s="1808"/>
      <c r="Y16" s="3198"/>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05"/>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05"/>
      <c r="Q18" s="1805"/>
      <c r="R18" s="774"/>
      <c r="S18" s="775"/>
      <c r="T18" s="774"/>
      <c r="U18" s="775"/>
      <c r="V18" s="774"/>
      <c r="W18" s="775"/>
      <c r="X18" s="1808"/>
      <c r="Y18" s="3198"/>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05"/>
      <c r="Q19" s="1805" t="str">
        <f>B19</f>
        <v>公共配套设施</v>
      </c>
      <c r="R19" s="774" t="s">
        <v>17</v>
      </c>
      <c r="S19" s="775">
        <f>F19</f>
        <v>100</v>
      </c>
      <c r="T19" s="774" t="s">
        <v>17</v>
      </c>
      <c r="U19" s="775">
        <f>H19</f>
        <v>100</v>
      </c>
      <c r="V19" s="774" t="s">
        <v>17</v>
      </c>
      <c r="W19" s="775">
        <f>J19</f>
        <v>100</v>
      </c>
      <c r="X19" s="1808"/>
      <c r="Y19" s="3198"/>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05"/>
      <c r="Q20" s="1805"/>
      <c r="R20" s="774"/>
      <c r="S20" s="775"/>
      <c r="T20" s="774"/>
      <c r="U20" s="775"/>
      <c r="V20" s="774"/>
      <c r="W20" s="775"/>
      <c r="X20" s="1808"/>
      <c r="Y20" s="3198"/>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05"/>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05"/>
      <c r="Q22" s="1805"/>
      <c r="R22" s="774"/>
      <c r="S22" s="775"/>
      <c r="T22" s="774"/>
      <c r="U22" s="775"/>
      <c r="V22" s="774"/>
      <c r="W22" s="775"/>
      <c r="X22" s="1808"/>
      <c r="Y22" s="3198"/>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3156</v>
      </c>
      <c r="H23" s="450">
        <f>SUMIF(85:85,G24,86:86)-SUMIF(85:85,C24,86:86)+100</f>
        <v>100</v>
      </c>
      <c r="I23" s="452"/>
      <c r="J23" s="450">
        <f>SUMIF(85:85,I24,86:86)-SUMIF(85:85,C24,86:86)+100</f>
        <v>100</v>
      </c>
      <c r="K23" s="614">
        <v>1.5</v>
      </c>
      <c r="L23" s="1140"/>
      <c r="M23" s="1131"/>
      <c r="N23" s="1131"/>
      <c r="O23" s="1131"/>
      <c r="P23" s="3205"/>
      <c r="Q23" s="1805" t="str">
        <f>B23</f>
        <v>环境质量</v>
      </c>
      <c r="R23" s="774" t="s">
        <v>17</v>
      </c>
      <c r="S23" s="775">
        <f>F23</f>
        <v>100</v>
      </c>
      <c r="T23" s="774" t="s">
        <v>17</v>
      </c>
      <c r="U23" s="775">
        <f>H23</f>
        <v>100</v>
      </c>
      <c r="V23" s="774" t="s">
        <v>17</v>
      </c>
      <c r="W23" s="775">
        <f>J23</f>
        <v>100</v>
      </c>
      <c r="X23" s="1808"/>
      <c r="Y23" s="3198"/>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05"/>
      <c r="Q24" s="1805"/>
      <c r="R24" s="774"/>
      <c r="S24" s="775"/>
      <c r="T24" s="774"/>
      <c r="U24" s="775"/>
      <c r="V24" s="774"/>
      <c r="W24" s="775"/>
      <c r="X24" s="1808"/>
      <c r="Y24" s="3198"/>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05"/>
      <c r="Q25" s="1805" t="str">
        <f>B25</f>
        <v>毗邻道路的类型与等级</v>
      </c>
      <c r="R25" s="774" t="s">
        <v>17</v>
      </c>
      <c r="S25" s="775">
        <f>F25</f>
        <v>100</v>
      </c>
      <c r="T25" s="774" t="s">
        <v>17</v>
      </c>
      <c r="U25" s="775">
        <f>H25</f>
        <v>100</v>
      </c>
      <c r="V25" s="774" t="s">
        <v>17</v>
      </c>
      <c r="W25" s="775">
        <f>J25</f>
        <v>100</v>
      </c>
      <c r="X25" s="1808"/>
      <c r="Y25" s="3198"/>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05"/>
      <c r="Q26" s="1805"/>
      <c r="R26" s="774"/>
      <c r="S26" s="775"/>
      <c r="T26" s="774"/>
      <c r="U26" s="775"/>
      <c r="V26" s="774"/>
      <c r="W26" s="775"/>
      <c r="X26" s="1808"/>
      <c r="Y26" s="3198"/>
      <c r="Z26" s="1809"/>
      <c r="AA26" s="1806">
        <v>1</v>
      </c>
      <c r="AB26" s="1806">
        <v>1</v>
      </c>
      <c r="AC26" s="2671">
        <v>1</v>
      </c>
    </row>
    <row r="27" spans="1:29" ht="15.75" thickBot="1">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205"/>
      <c r="Q27" s="1805" t="str">
        <f t="shared" ref="Q27:Q47" si="11">B27</f>
        <v>楼层</v>
      </c>
      <c r="R27" s="774" t="s">
        <v>17</v>
      </c>
      <c r="S27" s="775">
        <f>F27</f>
        <v>100</v>
      </c>
      <c r="T27" s="774" t="s">
        <v>17</v>
      </c>
      <c r="U27" s="775">
        <f>H27</f>
        <v>100</v>
      </c>
      <c r="V27" s="774" t="s">
        <v>17</v>
      </c>
      <c r="W27" s="775">
        <f>J27</f>
        <v>100</v>
      </c>
      <c r="X27" s="1808"/>
      <c r="Y27" s="3198"/>
      <c r="Z27" s="1809" t="str">
        <f>Q27</f>
        <v>楼层</v>
      </c>
      <c r="AA27" s="1806">
        <f t="shared" si="3"/>
        <v>1</v>
      </c>
      <c r="AB27" s="1806">
        <f t="shared" si="4"/>
        <v>1</v>
      </c>
      <c r="AC27" s="2671">
        <f t="shared" si="5"/>
        <v>1</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5"/>
      <c r="Q28" s="1790" t="str">
        <f t="shared" si="11"/>
        <v>朝向</v>
      </c>
      <c r="R28" s="770" t="s">
        <v>17</v>
      </c>
      <c r="S28" s="771">
        <f>F28</f>
        <v>100</v>
      </c>
      <c r="T28" s="770" t="s">
        <v>17</v>
      </c>
      <c r="U28" s="771">
        <f>H28</f>
        <v>100</v>
      </c>
      <c r="V28" s="770" t="s">
        <v>17</v>
      </c>
      <c r="W28" s="771">
        <f>J28</f>
        <v>100</v>
      </c>
      <c r="X28" s="772"/>
      <c r="Y28" s="3198"/>
      <c r="Z28" s="55" t="str">
        <f>Q28</f>
        <v>朝向</v>
      </c>
      <c r="AA28" s="1806">
        <f>D28/F28</f>
        <v>1</v>
      </c>
      <c r="AB28" s="1806">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5"/>
      <c r="Q29" s="1805">
        <f t="shared" si="11"/>
        <v>111</v>
      </c>
      <c r="R29" s="774" t="s">
        <v>17</v>
      </c>
      <c r="S29" s="775">
        <f t="shared" ref="S29:S47" si="12">F29</f>
        <v>100</v>
      </c>
      <c r="T29" s="774" t="s">
        <v>17</v>
      </c>
      <c r="U29" s="775">
        <f t="shared" ref="U29:U47" si="13">H29</f>
        <v>100</v>
      </c>
      <c r="V29" s="774" t="s">
        <v>17</v>
      </c>
      <c r="W29" s="775">
        <f t="shared" ref="W29:W47" si="14">J29</f>
        <v>100</v>
      </c>
      <c r="X29" s="1808"/>
      <c r="Y29" s="3198"/>
      <c r="Z29" s="1809">
        <f t="shared" ref="Z29:Z47" si="15">Q29</f>
        <v>111</v>
      </c>
      <c r="AA29" s="1806">
        <f t="shared" si="3"/>
        <v>1</v>
      </c>
      <c r="AB29" s="1806">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5"/>
      <c r="Q30" s="1805">
        <f t="shared" si="11"/>
        <v>111</v>
      </c>
      <c r="R30" s="774" t="s">
        <v>17</v>
      </c>
      <c r="S30" s="775">
        <f t="shared" si="12"/>
        <v>100</v>
      </c>
      <c r="T30" s="774" t="s">
        <v>17</v>
      </c>
      <c r="U30" s="775">
        <f t="shared" si="13"/>
        <v>100</v>
      </c>
      <c r="V30" s="774" t="s">
        <v>17</v>
      </c>
      <c r="W30" s="775">
        <f t="shared" si="14"/>
        <v>100</v>
      </c>
      <c r="X30" s="1808"/>
      <c r="Y30" s="3198"/>
      <c r="Z30" s="1809">
        <f t="shared" si="15"/>
        <v>111</v>
      </c>
      <c r="AA30" s="1806">
        <f t="shared" si="3"/>
        <v>1</v>
      </c>
      <c r="AB30" s="1806">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5"/>
      <c r="Q31" s="1805">
        <f t="shared" si="11"/>
        <v>111</v>
      </c>
      <c r="R31" s="774" t="s">
        <v>17</v>
      </c>
      <c r="S31" s="775">
        <f t="shared" si="12"/>
        <v>100</v>
      </c>
      <c r="T31" s="774" t="s">
        <v>17</v>
      </c>
      <c r="U31" s="775">
        <f t="shared" si="13"/>
        <v>100</v>
      </c>
      <c r="V31" s="774" t="s">
        <v>17</v>
      </c>
      <c r="W31" s="775">
        <f t="shared" si="14"/>
        <v>100</v>
      </c>
      <c r="X31" s="1808"/>
      <c r="Y31" s="3198"/>
      <c r="Z31" s="1809">
        <f t="shared" si="15"/>
        <v>111</v>
      </c>
      <c r="AA31" s="1806">
        <f t="shared" si="3"/>
        <v>1</v>
      </c>
      <c r="AB31" s="1806">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5"/>
      <c r="Q32" s="1805">
        <f t="shared" si="11"/>
        <v>111</v>
      </c>
      <c r="R32" s="774" t="s">
        <v>17</v>
      </c>
      <c r="S32" s="775">
        <f t="shared" si="12"/>
        <v>100</v>
      </c>
      <c r="T32" s="774" t="s">
        <v>17</v>
      </c>
      <c r="U32" s="775">
        <f t="shared" si="13"/>
        <v>100</v>
      </c>
      <c r="V32" s="774" t="s">
        <v>17</v>
      </c>
      <c r="W32" s="775">
        <f t="shared" si="14"/>
        <v>100</v>
      </c>
      <c r="X32" s="1808"/>
      <c r="Y32" s="3198"/>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99" t="s">
        <v>2563</v>
      </c>
      <c r="Q33" s="1805" t="str">
        <f t="shared" si="11"/>
        <v>建筑类型</v>
      </c>
      <c r="R33" s="774" t="s">
        <v>17</v>
      </c>
      <c r="S33" s="775">
        <f t="shared" si="12"/>
        <v>100</v>
      </c>
      <c r="T33" s="774" t="s">
        <v>17</v>
      </c>
      <c r="U33" s="775">
        <f t="shared" si="13"/>
        <v>100</v>
      </c>
      <c r="V33" s="774" t="s">
        <v>17</v>
      </c>
      <c r="W33" s="775">
        <f t="shared" si="14"/>
        <v>100</v>
      </c>
      <c r="X33" s="1808"/>
      <c r="Y33" s="3202" t="s">
        <v>2563</v>
      </c>
      <c r="Z33" s="1809" t="str">
        <f t="shared" si="15"/>
        <v>建筑类型</v>
      </c>
      <c r="AA33" s="1806">
        <f t="shared" si="3"/>
        <v>1</v>
      </c>
      <c r="AB33" s="1806">
        <f t="shared" si="4"/>
        <v>1</v>
      </c>
      <c r="AC33" s="2671">
        <f t="shared" si="5"/>
        <v>1</v>
      </c>
    </row>
    <row r="34" spans="1:29" s="471" customFormat="1" ht="15">
      <c r="A34" s="468"/>
      <c r="B34" s="422" t="s">
        <v>2564</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38"/>
      <c r="M34" s="1141"/>
      <c r="N34" s="1141"/>
      <c r="O34" s="1141"/>
      <c r="P34" s="3200"/>
      <c r="Q34" s="776" t="str">
        <f t="shared" si="11"/>
        <v>项目建筑规模</v>
      </c>
      <c r="R34" s="777" t="s">
        <v>17</v>
      </c>
      <c r="S34" s="778">
        <f t="shared" si="12"/>
        <v>100</v>
      </c>
      <c r="T34" s="777" t="s">
        <v>17</v>
      </c>
      <c r="U34" s="778">
        <f t="shared" si="13"/>
        <v>100</v>
      </c>
      <c r="V34" s="777" t="s">
        <v>17</v>
      </c>
      <c r="W34" s="778">
        <f t="shared" si="14"/>
        <v>100</v>
      </c>
      <c r="X34" s="779"/>
      <c r="Y34" s="3202"/>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00"/>
      <c r="Q35" s="1805" t="str">
        <f t="shared" si="11"/>
        <v>建筑结构</v>
      </c>
      <c r="R35" s="774" t="s">
        <v>17</v>
      </c>
      <c r="S35" s="775">
        <f t="shared" si="12"/>
        <v>100</v>
      </c>
      <c r="T35" s="774" t="s">
        <v>17</v>
      </c>
      <c r="U35" s="775">
        <f t="shared" si="13"/>
        <v>100</v>
      </c>
      <c r="V35" s="774" t="s">
        <v>17</v>
      </c>
      <c r="W35" s="775">
        <f t="shared" si="14"/>
        <v>100</v>
      </c>
      <c r="X35" s="1808"/>
      <c r="Y35" s="3202"/>
      <c r="Z35" s="1809" t="str">
        <f t="shared" si="15"/>
        <v>建筑结构</v>
      </c>
      <c r="AA35" s="1806">
        <f t="shared" si="3"/>
        <v>1</v>
      </c>
      <c r="AB35" s="1806">
        <f t="shared" si="4"/>
        <v>1</v>
      </c>
      <c r="AC35" s="2671">
        <f t="shared" si="5"/>
        <v>1</v>
      </c>
    </row>
    <row r="36" spans="1:29" ht="15">
      <c r="A36" s="472"/>
      <c r="B36" s="422"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00"/>
      <c r="Q36" s="1805" t="str">
        <f t="shared" si="11"/>
        <v>公共部分装修</v>
      </c>
      <c r="R36" s="774" t="s">
        <v>17</v>
      </c>
      <c r="S36" s="775">
        <f t="shared" si="12"/>
        <v>100</v>
      </c>
      <c r="T36" s="774" t="s">
        <v>17</v>
      </c>
      <c r="U36" s="775">
        <f t="shared" si="13"/>
        <v>100</v>
      </c>
      <c r="V36" s="774" t="s">
        <v>17</v>
      </c>
      <c r="W36" s="775">
        <f t="shared" si="14"/>
        <v>100</v>
      </c>
      <c r="X36" s="1808"/>
      <c r="Y36" s="3202"/>
      <c r="Z36" s="1809" t="str">
        <f t="shared" si="15"/>
        <v>公共部分装修</v>
      </c>
      <c r="AA36" s="1806">
        <f t="shared" si="3"/>
        <v>1</v>
      </c>
      <c r="AB36" s="1806">
        <f t="shared" si="4"/>
        <v>1</v>
      </c>
      <c r="AC36" s="2671">
        <f t="shared" si="5"/>
        <v>1</v>
      </c>
    </row>
    <row r="37" spans="1:29" ht="15">
      <c r="A37" s="472"/>
      <c r="B37" s="422" t="s">
        <v>2660</v>
      </c>
      <c r="C37" s="474">
        <v>0.76</v>
      </c>
      <c r="D37" s="435">
        <v>100</v>
      </c>
      <c r="E37" s="474">
        <v>0.76</v>
      </c>
      <c r="F37" s="461">
        <f>LOOKUP(E37,111:111,112:112)-LOOKUP(C37,111:111,112:112)+100</f>
        <v>100</v>
      </c>
      <c r="G37" s="474">
        <v>0.76</v>
      </c>
      <c r="H37" s="461">
        <f>LOOKUP(G37,111:111,112:112)-LOOKUP(C37,111:111,112:112)+100</f>
        <v>100</v>
      </c>
      <c r="I37" s="474">
        <v>0.76</v>
      </c>
      <c r="J37" s="435">
        <f>LOOKUP(I37,111:111,112:112)-LOOKUP(C37,111:111,112:112)+100</f>
        <v>100</v>
      </c>
      <c r="K37" s="612">
        <v>2</v>
      </c>
      <c r="L37" s="1140"/>
      <c r="M37" s="1131"/>
      <c r="N37" s="1131"/>
      <c r="O37" s="1131"/>
      <c r="P37" s="3200"/>
      <c r="Q37" s="1805" t="str">
        <f t="shared" si="11"/>
        <v>成新度</v>
      </c>
      <c r="R37" s="774" t="s">
        <v>17</v>
      </c>
      <c r="S37" s="775">
        <f t="shared" si="12"/>
        <v>100</v>
      </c>
      <c r="T37" s="774" t="s">
        <v>17</v>
      </c>
      <c r="U37" s="775">
        <f t="shared" si="13"/>
        <v>100</v>
      </c>
      <c r="V37" s="774" t="s">
        <v>17</v>
      </c>
      <c r="W37" s="775">
        <f t="shared" si="14"/>
        <v>100</v>
      </c>
      <c r="X37" s="1808"/>
      <c r="Y37" s="3202"/>
      <c r="Z37" s="1809" t="str">
        <f t="shared" si="15"/>
        <v>成新度</v>
      </c>
      <c r="AA37" s="1806">
        <f t="shared" si="3"/>
        <v>1</v>
      </c>
      <c r="AB37" s="1806">
        <f t="shared" si="4"/>
        <v>1</v>
      </c>
      <c r="AC37" s="2671">
        <f t="shared" si="5"/>
        <v>1</v>
      </c>
    </row>
    <row r="38" spans="1:29" s="117" customFormat="1" ht="15">
      <c r="A38" s="473"/>
      <c r="B38" s="422"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00"/>
      <c r="Q38" s="1790"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68">
        <f t="shared" si="5"/>
        <v>1</v>
      </c>
    </row>
    <row r="39" spans="1:29" ht="15">
      <c r="A39" s="472"/>
      <c r="B39" s="422"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00" t="s">
        <v>2563</v>
      </c>
      <c r="Q39" s="1805" t="str">
        <f t="shared" si="11"/>
        <v>物业管理</v>
      </c>
      <c r="R39" s="774" t="s">
        <v>17</v>
      </c>
      <c r="S39" s="775">
        <f t="shared" si="12"/>
        <v>100</v>
      </c>
      <c r="T39" s="774" t="s">
        <v>17</v>
      </c>
      <c r="U39" s="775">
        <f t="shared" si="13"/>
        <v>100</v>
      </c>
      <c r="V39" s="774" t="s">
        <v>17</v>
      </c>
      <c r="W39" s="775">
        <f t="shared" si="14"/>
        <v>100</v>
      </c>
      <c r="X39" s="1808"/>
      <c r="Y39" s="3202"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00"/>
      <c r="Q40" s="1805" t="str">
        <f t="shared" si="11"/>
        <v>市政基础设施</v>
      </c>
      <c r="R40" s="774" t="s">
        <v>17</v>
      </c>
      <c r="S40" s="775">
        <f t="shared" si="12"/>
        <v>100</v>
      </c>
      <c r="T40" s="774" t="s">
        <v>17</v>
      </c>
      <c r="U40" s="775">
        <f t="shared" si="13"/>
        <v>100</v>
      </c>
      <c r="V40" s="774" t="s">
        <v>17</v>
      </c>
      <c r="W40" s="775">
        <f t="shared" si="14"/>
        <v>100</v>
      </c>
      <c r="X40" s="1808"/>
      <c r="Y40" s="3202"/>
      <c r="Z40" s="1809" t="str">
        <f t="shared" si="15"/>
        <v>市政基础设施</v>
      </c>
      <c r="AA40" s="1806">
        <f t="shared" si="3"/>
        <v>1</v>
      </c>
      <c r="AB40" s="1806">
        <f t="shared" si="4"/>
        <v>1</v>
      </c>
      <c r="AC40" s="2671">
        <f t="shared" si="5"/>
        <v>1</v>
      </c>
    </row>
    <row r="41" spans="1:29" ht="15">
      <c r="A41" s="472"/>
      <c r="B41" s="422"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00"/>
      <c r="Q41" s="1805" t="str">
        <f t="shared" si="11"/>
        <v>层高</v>
      </c>
      <c r="R41" s="774" t="s">
        <v>17</v>
      </c>
      <c r="S41" s="775">
        <f t="shared" si="12"/>
        <v>100</v>
      </c>
      <c r="T41" s="774" t="s">
        <v>17</v>
      </c>
      <c r="U41" s="775">
        <f t="shared" si="13"/>
        <v>100</v>
      </c>
      <c r="V41" s="774" t="s">
        <v>17</v>
      </c>
      <c r="W41" s="775">
        <f t="shared" si="14"/>
        <v>100</v>
      </c>
      <c r="X41" s="1808"/>
      <c r="Y41" s="3202"/>
      <c r="Z41" s="1809" t="str">
        <f t="shared" si="15"/>
        <v>层高</v>
      </c>
      <c r="AA41" s="1806">
        <f t="shared" si="3"/>
        <v>1</v>
      </c>
      <c r="AB41" s="1806">
        <f t="shared" si="4"/>
        <v>1</v>
      </c>
      <c r="AC41" s="2671">
        <f t="shared" si="5"/>
        <v>1</v>
      </c>
    </row>
    <row r="42" spans="1:29" s="471" customFormat="1" ht="15">
      <c r="A42" s="468"/>
      <c r="B42" s="1807" t="s">
        <v>2694</v>
      </c>
      <c r="C42" s="434" t="s">
        <v>3121</v>
      </c>
      <c r="D42" s="435">
        <v>100</v>
      </c>
      <c r="E42" s="434" t="s">
        <v>3151</v>
      </c>
      <c r="F42" s="461">
        <f>SUMIF(121:121,E42,122:122)-SUMIF(121:121,C42,122:122)+100</f>
        <v>100</v>
      </c>
      <c r="G42" s="434" t="s">
        <v>3154</v>
      </c>
      <c r="H42" s="435">
        <f>SUMIF(121:121,G42,122:122)-SUMIF(121:121,C42,122:122)+100</f>
        <v>100</v>
      </c>
      <c r="I42" s="2968" t="s">
        <v>3121</v>
      </c>
      <c r="J42" s="435">
        <f>SUMIF(121:121,I42,122:122)-SUMIF(121:121,C42,122:122)+100</f>
        <v>100</v>
      </c>
      <c r="K42" s="613"/>
      <c r="L42" s="1138"/>
      <c r="M42" s="1141"/>
      <c r="N42" s="1141"/>
      <c r="O42" s="1141"/>
      <c r="P42" s="320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06">
        <f t="shared" si="3"/>
        <v>1</v>
      </c>
      <c r="AB42" s="1806">
        <f t="shared" si="4"/>
        <v>1</v>
      </c>
      <c r="AC42" s="2671">
        <f t="shared" si="5"/>
        <v>1</v>
      </c>
    </row>
    <row r="43" spans="1:29" ht="15">
      <c r="A43" s="472"/>
      <c r="B43" s="422" t="s">
        <v>2666</v>
      </c>
      <c r="C43" s="460" t="s">
        <v>3125</v>
      </c>
      <c r="D43" s="435">
        <v>100</v>
      </c>
      <c r="E43" s="460" t="s">
        <v>3125</v>
      </c>
      <c r="F43" s="461">
        <f>SUMIF(123:123,E43,124:124)-SUMIF(123:123,C43,124:124)+100</f>
        <v>100</v>
      </c>
      <c r="G43" s="460" t="s">
        <v>3127</v>
      </c>
      <c r="H43" s="435">
        <f>SUMIF(123:123,G43,124:124)-SUMIF(123:123,C43,124:124)+100</f>
        <v>95</v>
      </c>
      <c r="I43" s="2970" t="s">
        <v>3125</v>
      </c>
      <c r="J43" s="435">
        <f>SUMIF(123:123,I43,124:124)-SUMIF(123:123,C43,124:124)+100</f>
        <v>100</v>
      </c>
      <c r="K43" s="2971">
        <v>5</v>
      </c>
      <c r="L43" s="1140"/>
      <c r="M43" s="1131"/>
      <c r="N43" s="1131"/>
      <c r="O43" s="1131"/>
      <c r="P43" s="3200"/>
      <c r="Q43" s="1805" t="str">
        <f t="shared" si="11"/>
        <v>内部装修</v>
      </c>
      <c r="R43" s="774" t="s">
        <v>17</v>
      </c>
      <c r="S43" s="775">
        <f t="shared" si="12"/>
        <v>100</v>
      </c>
      <c r="T43" s="774" t="s">
        <v>17</v>
      </c>
      <c r="U43" s="775">
        <f t="shared" si="13"/>
        <v>95</v>
      </c>
      <c r="V43" s="774" t="s">
        <v>17</v>
      </c>
      <c r="W43" s="775">
        <f t="shared" si="14"/>
        <v>100</v>
      </c>
      <c r="X43" s="1808"/>
      <c r="Y43" s="3202"/>
      <c r="Z43" s="1809" t="str">
        <f t="shared" si="15"/>
        <v>内部装修</v>
      </c>
      <c r="AA43" s="1806">
        <f t="shared" si="3"/>
        <v>1</v>
      </c>
      <c r="AB43" s="1806">
        <f t="shared" si="4"/>
        <v>1.0526315789473684</v>
      </c>
      <c r="AC43" s="2671">
        <f t="shared" si="5"/>
        <v>1</v>
      </c>
    </row>
    <row r="44" spans="1:29" ht="15.75" thickBot="1">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00"/>
      <c r="Q44" s="1805" t="str">
        <f t="shared" si="11"/>
        <v>内部装修维护情况</v>
      </c>
      <c r="R44" s="774" t="s">
        <v>17</v>
      </c>
      <c r="S44" s="775">
        <f t="shared" si="12"/>
        <v>100</v>
      </c>
      <c r="T44" s="774" t="s">
        <v>17</v>
      </c>
      <c r="U44" s="775">
        <f t="shared" si="13"/>
        <v>100</v>
      </c>
      <c r="V44" s="774" t="s">
        <v>17</v>
      </c>
      <c r="W44" s="775">
        <f t="shared" si="14"/>
        <v>100</v>
      </c>
      <c r="X44" s="1808"/>
      <c r="Y44" s="3202"/>
      <c r="Z44" s="1809" t="str">
        <f t="shared" si="15"/>
        <v>内部装修维护情况</v>
      </c>
      <c r="AA44" s="1806">
        <f t="shared" si="3"/>
        <v>1</v>
      </c>
      <c r="AB44" s="1806">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1790">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1805">
        <f t="shared" si="11"/>
        <v>111</v>
      </c>
      <c r="R46" s="774" t="s">
        <v>17</v>
      </c>
      <c r="S46" s="775">
        <f t="shared" si="12"/>
        <v>100</v>
      </c>
      <c r="T46" s="774" t="s">
        <v>17</v>
      </c>
      <c r="U46" s="775">
        <f t="shared" si="13"/>
        <v>100</v>
      </c>
      <c r="V46" s="774" t="s">
        <v>17</v>
      </c>
      <c r="W46" s="775">
        <f t="shared" si="14"/>
        <v>100</v>
      </c>
      <c r="X46" s="1808"/>
      <c r="Y46" s="3202"/>
      <c r="Z46" s="1809">
        <f t="shared" si="15"/>
        <v>111</v>
      </c>
      <c r="AA46" s="1806">
        <f t="shared" si="3"/>
        <v>1</v>
      </c>
      <c r="AB46" s="180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1805">
        <f t="shared" si="11"/>
        <v>111</v>
      </c>
      <c r="R47" s="774" t="s">
        <v>17</v>
      </c>
      <c r="S47" s="775">
        <f t="shared" si="12"/>
        <v>100</v>
      </c>
      <c r="T47" s="774" t="s">
        <v>17</v>
      </c>
      <c r="U47" s="775">
        <f t="shared" si="13"/>
        <v>100</v>
      </c>
      <c r="V47" s="774" t="s">
        <v>17</v>
      </c>
      <c r="W47" s="775">
        <f t="shared" si="14"/>
        <v>100</v>
      </c>
      <c r="X47" s="1808"/>
      <c r="Y47" s="3203"/>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2969">
        <v>48000</v>
      </c>
      <c r="J48" s="485"/>
      <c r="K48" s="783"/>
      <c r="L48" s="1143"/>
      <c r="M48" s="1131"/>
      <c r="N48" s="1131"/>
      <c r="O48" s="1131"/>
      <c r="P48" s="3206" t="str">
        <f>A48</f>
        <v>成交单价（元/平方米）</v>
      </c>
      <c r="Q48" s="3195"/>
      <c r="R48" s="3196">
        <f>E48</f>
        <v>46000</v>
      </c>
      <c r="S48" s="3196"/>
      <c r="T48" s="3196">
        <f>G48</f>
        <v>45000</v>
      </c>
      <c r="U48" s="3196"/>
      <c r="V48" s="3196">
        <f>I48</f>
        <v>48000</v>
      </c>
      <c r="W48" s="3196"/>
      <c r="X48" s="446"/>
      <c r="Y48" s="781"/>
      <c r="Z48" s="446"/>
      <c r="AA48" s="446"/>
      <c r="AB48" s="446"/>
      <c r="AC48" s="630"/>
    </row>
    <row r="49" spans="1:29" ht="15.75" thickBot="1">
      <c r="A49" s="486" t="s">
        <v>2667</v>
      </c>
      <c r="B49" s="487"/>
      <c r="C49" s="1413">
        <f>R50</f>
        <v>47123</v>
      </c>
      <c r="D49" s="1414"/>
      <c r="E49" s="1415">
        <f>R49</f>
        <v>46000</v>
      </c>
      <c r="F49" s="1415"/>
      <c r="G49" s="1413">
        <f>T49</f>
        <v>47368</v>
      </c>
      <c r="H49" s="1414"/>
      <c r="I49" s="1415">
        <f>V49</f>
        <v>48000</v>
      </c>
      <c r="J49" s="489"/>
      <c r="K49" s="784"/>
      <c r="L49" s="1143"/>
      <c r="M49" s="1131"/>
      <c r="N49" s="1131"/>
      <c r="O49" s="1131"/>
      <c r="P49" s="3206" t="str">
        <f>A49</f>
        <v>比较价值（元/平方米）</v>
      </c>
      <c r="Q49" s="3195"/>
      <c r="R49" s="3196">
        <f>IF(F1="售价",ROUND(PRODUCT(R48,AA7:AA47),0),ROUND(PRODUCT(R48,AA7:AA47),1))</f>
        <v>46000</v>
      </c>
      <c r="S49" s="3196"/>
      <c r="T49" s="3196">
        <f>IF(F1="售价",ROUND(PRODUCT(T48,AB7:AB47),0),ROUND(PRODUCT(T48,AB7:AB47),1))</f>
        <v>47368</v>
      </c>
      <c r="U49" s="3196"/>
      <c r="V49" s="3196">
        <f>IF(F1="售价",ROUND(PRODUCT(V48,AC7:AC47),0),ROUND(PRODUCT(V48,AC7:AC47),1))</f>
        <v>48000</v>
      </c>
      <c r="W49" s="3196"/>
      <c r="X49" s="446"/>
      <c r="Y49" s="446"/>
      <c r="Z49" s="446"/>
      <c r="AA49" s="446"/>
      <c r="AB49" s="446"/>
      <c r="AC49" s="630"/>
    </row>
    <row r="50" spans="1:29" ht="15.75" thickBot="1">
      <c r="A50" s="492" t="s">
        <v>2668</v>
      </c>
      <c r="B50" s="493"/>
      <c r="C50" s="1417">
        <f>R50</f>
        <v>47123</v>
      </c>
      <c r="D50" s="1417"/>
      <c r="E50" s="1417"/>
      <c r="F50" s="1417"/>
      <c r="G50" s="1417"/>
      <c r="H50" s="1417"/>
      <c r="I50" s="1417"/>
      <c r="J50" s="494"/>
      <c r="K50" s="785"/>
      <c r="L50" s="1143"/>
      <c r="M50" s="1131"/>
      <c r="N50" s="1131"/>
      <c r="O50" s="1131"/>
      <c r="P50" s="3254" t="str">
        <f>A50</f>
        <v>估价对象XX用房的比较价值（楼面单价，元/平方米）</v>
      </c>
      <c r="Q50" s="3255"/>
      <c r="R50" s="3256">
        <f>IF(F1="售价",ROUND(AVERAGE(R49:V49),0),ROUND(AVERAGE(R49:V49),1))</f>
        <v>47123</v>
      </c>
      <c r="S50" s="3256"/>
      <c r="T50" s="3256"/>
      <c r="U50" s="3256"/>
      <c r="V50" s="3256"/>
      <c r="W50" s="325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5.2622222222222126E-2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2.9739130434782712E-2</v>
      </c>
      <c r="F54" s="500" t="str">
        <f>IF(OR(E54&gt;=0.2,E54&lt;=-0.2),"超过20%","")</f>
        <v/>
      </c>
      <c r="G54" s="499">
        <f>IF(G49&lt;I49,I49/G49-1,G49/I49-1)</f>
        <v>1.3342340820807319E-2</v>
      </c>
      <c r="H54" s="500" t="str">
        <f>IF(OR(G54&gt;=0.2,G54&lt;=-0.2),"超过20%","")</f>
        <v/>
      </c>
      <c r="I54" s="499">
        <f>IF(I49&lt;E49,E49/I49-1,I49/E49-1)</f>
        <v>4.3478260869565188E-2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6.6666666666666652E-2</v>
      </c>
      <c r="H55" s="500" t="str">
        <f>IF(OR(G55&gt;=0.3,G55&lt;=-0.3),"超过30%","")</f>
        <v/>
      </c>
      <c r="I55" s="499">
        <f>IF(I48&lt;E48,E48/I48-1,I48/E48-1)</f>
        <v>4.3478260869565188E-2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f>
        <v>100</v>
      </c>
      <c r="E60" s="512">
        <f>D60</f>
        <v>100</v>
      </c>
      <c r="F60" s="512">
        <f>C60</f>
        <v>100</v>
      </c>
      <c r="G60" s="512"/>
      <c r="H60" s="512"/>
      <c r="I60" s="512"/>
      <c r="J60" s="512"/>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3"/>
      <c r="O102" s="1153"/>
      <c r="P102" s="2681"/>
      <c r="Q102" s="504"/>
    </row>
    <row r="103" spans="1:17" ht="29.25" thickTop="1">
      <c r="A103" s="534"/>
      <c r="B103" s="538" t="s">
        <v>2611</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83"/>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0">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3145</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1">C124-$K43</f>
        <v>95</v>
      </c>
      <c r="E124" s="544">
        <f t="shared" si="31"/>
        <v>90</v>
      </c>
      <c r="F124" s="544">
        <f t="shared" si="31"/>
        <v>85</v>
      </c>
      <c r="G124" s="544">
        <f t="shared" si="31"/>
        <v>80</v>
      </c>
      <c r="H124" s="544">
        <f t="shared" si="31"/>
        <v>75</v>
      </c>
      <c r="I124" s="544">
        <f t="shared" si="31"/>
        <v>70</v>
      </c>
      <c r="J124" s="544">
        <f t="shared" si="31"/>
        <v>65</v>
      </c>
      <c r="K124" s="544">
        <f t="shared" si="31"/>
        <v>60</v>
      </c>
      <c r="L124" s="544">
        <f t="shared" si="31"/>
        <v>55</v>
      </c>
      <c r="M124" s="545">
        <f t="shared" si="31"/>
        <v>50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5"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5"/>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5"/>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95"/>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7" t="s">
        <v>2558</v>
      </c>
      <c r="Q15" s="1805" t="str">
        <f t="shared" si="6"/>
        <v>产业集聚程度</v>
      </c>
      <c r="R15" s="774" t="s">
        <v>17</v>
      </c>
      <c r="S15" s="775">
        <f t="shared" si="0"/>
        <v>100</v>
      </c>
      <c r="T15" s="774" t="s">
        <v>17</v>
      </c>
      <c r="U15" s="775">
        <f t="shared" si="1"/>
        <v>100</v>
      </c>
      <c r="V15" s="774" t="s">
        <v>17</v>
      </c>
      <c r="W15" s="775">
        <f t="shared" si="2"/>
        <v>100</v>
      </c>
      <c r="X15" s="1808"/>
      <c r="Y15" s="3197"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198"/>
      <c r="Q16" s="1805"/>
      <c r="R16" s="774"/>
      <c r="S16" s="775"/>
      <c r="T16" s="774"/>
      <c r="U16" s="775"/>
      <c r="V16" s="774"/>
      <c r="W16" s="775"/>
      <c r="X16" s="1808"/>
      <c r="Y16" s="3198"/>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8"/>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198"/>
      <c r="Q18" s="1805"/>
      <c r="R18" s="774"/>
      <c r="S18" s="775"/>
      <c r="T18" s="774"/>
      <c r="U18" s="775"/>
      <c r="V18" s="774"/>
      <c r="W18" s="775"/>
      <c r="X18" s="1808"/>
      <c r="Y18" s="3198"/>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8"/>
      <c r="Q19" s="1805" t="str">
        <f>B19</f>
        <v>公共配套设施</v>
      </c>
      <c r="R19" s="774" t="s">
        <v>17</v>
      </c>
      <c r="S19" s="775">
        <f>F19</f>
        <v>100</v>
      </c>
      <c r="T19" s="774" t="s">
        <v>17</v>
      </c>
      <c r="U19" s="775">
        <f>H19</f>
        <v>100</v>
      </c>
      <c r="V19" s="774" t="s">
        <v>17</v>
      </c>
      <c r="W19" s="775">
        <f>J19</f>
        <v>100</v>
      </c>
      <c r="X19" s="1808"/>
      <c r="Y19" s="3198"/>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198"/>
      <c r="Q20" s="1805"/>
      <c r="R20" s="774"/>
      <c r="S20" s="775"/>
      <c r="T20" s="774"/>
      <c r="U20" s="775"/>
      <c r="V20" s="774"/>
      <c r="W20" s="775"/>
      <c r="X20" s="1808"/>
      <c r="Y20" s="3198"/>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8"/>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198"/>
      <c r="Q22" s="1805"/>
      <c r="R22" s="774"/>
      <c r="S22" s="775"/>
      <c r="T22" s="774"/>
      <c r="U22" s="775"/>
      <c r="V22" s="774"/>
      <c r="W22" s="775"/>
      <c r="X22" s="1808"/>
      <c r="Y22" s="3198"/>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8"/>
      <c r="Q23" s="1805" t="str">
        <f>B23</f>
        <v>环境质量</v>
      </c>
      <c r="R23" s="774" t="s">
        <v>17</v>
      </c>
      <c r="S23" s="775">
        <f>F23</f>
        <v>100</v>
      </c>
      <c r="T23" s="774" t="s">
        <v>17</v>
      </c>
      <c r="U23" s="775">
        <f>H23</f>
        <v>100</v>
      </c>
      <c r="V23" s="774" t="s">
        <v>17</v>
      </c>
      <c r="W23" s="775">
        <f>J23</f>
        <v>100</v>
      </c>
      <c r="X23" s="1808"/>
      <c r="Y23" s="3198"/>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198"/>
      <c r="Q24" s="1805"/>
      <c r="R24" s="774"/>
      <c r="S24" s="775"/>
      <c r="T24" s="774"/>
      <c r="U24" s="775"/>
      <c r="V24" s="774"/>
      <c r="W24" s="775"/>
      <c r="X24" s="1808"/>
      <c r="Y24" s="3198"/>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8"/>
      <c r="Q25" s="1805">
        <f>B25</f>
        <v>111</v>
      </c>
      <c r="R25" s="774" t="s">
        <v>17</v>
      </c>
      <c r="S25" s="775">
        <f>F25</f>
        <v>100</v>
      </c>
      <c r="T25" s="774" t="s">
        <v>17</v>
      </c>
      <c r="U25" s="775">
        <f>H25</f>
        <v>100</v>
      </c>
      <c r="V25" s="774" t="s">
        <v>17</v>
      </c>
      <c r="W25" s="775">
        <f>J25</f>
        <v>100</v>
      </c>
      <c r="X25" s="1808"/>
      <c r="Y25" s="3198"/>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8"/>
      <c r="Q26" s="1805">
        <f t="shared" ref="Q26:Q40" si="11">B26</f>
        <v>111</v>
      </c>
      <c r="R26" s="774" t="s">
        <v>17</v>
      </c>
      <c r="S26" s="775">
        <f>F26</f>
        <v>100</v>
      </c>
      <c r="T26" s="774" t="s">
        <v>17</v>
      </c>
      <c r="U26" s="775">
        <f>H26</f>
        <v>100</v>
      </c>
      <c r="V26" s="774" t="s">
        <v>17</v>
      </c>
      <c r="W26" s="775">
        <f>J26</f>
        <v>100</v>
      </c>
      <c r="X26" s="1808"/>
      <c r="Y26" s="3198"/>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8"/>
      <c r="Q27" s="1790">
        <f t="shared" si="11"/>
        <v>111</v>
      </c>
      <c r="R27" s="770" t="s">
        <v>17</v>
      </c>
      <c r="S27" s="771">
        <f>F27</f>
        <v>100</v>
      </c>
      <c r="T27" s="770" t="s">
        <v>17</v>
      </c>
      <c r="U27" s="771">
        <f>H27</f>
        <v>100</v>
      </c>
      <c r="V27" s="770" t="s">
        <v>17</v>
      </c>
      <c r="W27" s="771">
        <f>J27</f>
        <v>100</v>
      </c>
      <c r="X27" s="772"/>
      <c r="Y27" s="3198"/>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8"/>
      <c r="Q28" s="1805">
        <f t="shared" si="11"/>
        <v>111</v>
      </c>
      <c r="R28" s="774" t="s">
        <v>17</v>
      </c>
      <c r="S28" s="775">
        <f t="shared" ref="S28:S40" si="12">F28</f>
        <v>100</v>
      </c>
      <c r="T28" s="774" t="s">
        <v>17</v>
      </c>
      <c r="U28" s="775">
        <f t="shared" ref="U28:U40" si="13">H28</f>
        <v>100</v>
      </c>
      <c r="V28" s="774" t="s">
        <v>17</v>
      </c>
      <c r="W28" s="775">
        <f t="shared" ref="W28:W40" si="14">J28</f>
        <v>100</v>
      </c>
      <c r="X28" s="1808"/>
      <c r="Y28" s="3198"/>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7" t="s">
        <v>2563</v>
      </c>
      <c r="Q29" s="1805" t="str">
        <f t="shared" si="11"/>
        <v>建筑类型</v>
      </c>
      <c r="R29" s="774" t="s">
        <v>17</v>
      </c>
      <c r="S29" s="775">
        <f t="shared" si="12"/>
        <v>100</v>
      </c>
      <c r="T29" s="774" t="s">
        <v>17</v>
      </c>
      <c r="U29" s="775">
        <f t="shared" si="13"/>
        <v>100</v>
      </c>
      <c r="V29" s="774" t="s">
        <v>17</v>
      </c>
      <c r="W29" s="775">
        <f t="shared" si="14"/>
        <v>100</v>
      </c>
      <c r="X29" s="1808"/>
      <c r="Y29" s="3202"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05" t="str">
        <f t="shared" si="11"/>
        <v>建筑结构</v>
      </c>
      <c r="R31" s="774" t="s">
        <v>17</v>
      </c>
      <c r="S31" s="775">
        <f t="shared" si="12"/>
        <v>100</v>
      </c>
      <c r="T31" s="774" t="s">
        <v>17</v>
      </c>
      <c r="U31" s="775">
        <f t="shared" si="13"/>
        <v>100</v>
      </c>
      <c r="V31" s="774" t="s">
        <v>17</v>
      </c>
      <c r="W31" s="775">
        <f t="shared" si="14"/>
        <v>100</v>
      </c>
      <c r="X31" s="1808"/>
      <c r="Y31" s="3202"/>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05" t="str">
        <f t="shared" si="11"/>
        <v>公共部分装修</v>
      </c>
      <c r="R32" s="774" t="s">
        <v>17</v>
      </c>
      <c r="S32" s="775">
        <f t="shared" si="12"/>
        <v>100</v>
      </c>
      <c r="T32" s="774" t="s">
        <v>17</v>
      </c>
      <c r="U32" s="775">
        <f t="shared" si="13"/>
        <v>100</v>
      </c>
      <c r="V32" s="774" t="s">
        <v>17</v>
      </c>
      <c r="W32" s="775">
        <f t="shared" si="14"/>
        <v>100</v>
      </c>
      <c r="X32" s="1808"/>
      <c r="Y32" s="3202"/>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05" t="str">
        <f t="shared" si="11"/>
        <v>成新度</v>
      </c>
      <c r="R33" s="774" t="s">
        <v>17</v>
      </c>
      <c r="S33" s="775" t="e">
        <f t="shared" si="12"/>
        <v>#N/A</v>
      </c>
      <c r="T33" s="774" t="s">
        <v>17</v>
      </c>
      <c r="U33" s="775" t="e">
        <f t="shared" si="13"/>
        <v>#N/A</v>
      </c>
      <c r="V33" s="774" t="s">
        <v>17</v>
      </c>
      <c r="W33" s="775" t="e">
        <f t="shared" si="14"/>
        <v>#N/A</v>
      </c>
      <c r="X33" s="1808"/>
      <c r="Y33" s="3202"/>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0"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2563</v>
      </c>
      <c r="Q35" s="1805" t="str">
        <f t="shared" si="11"/>
        <v>市政基础设施</v>
      </c>
      <c r="R35" s="774" t="s">
        <v>17</v>
      </c>
      <c r="S35" s="775">
        <f t="shared" si="12"/>
        <v>100</v>
      </c>
      <c r="T35" s="774" t="s">
        <v>17</v>
      </c>
      <c r="U35" s="775">
        <f t="shared" si="13"/>
        <v>100</v>
      </c>
      <c r="V35" s="774" t="s">
        <v>17</v>
      </c>
      <c r="W35" s="775">
        <f t="shared" si="14"/>
        <v>100</v>
      </c>
      <c r="X35" s="1808"/>
      <c r="Y35" s="3202"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05" t="str">
        <f t="shared" si="11"/>
        <v>内部装修</v>
      </c>
      <c r="R36" s="774" t="s">
        <v>17</v>
      </c>
      <c r="S36" s="775">
        <f t="shared" si="12"/>
        <v>100</v>
      </c>
      <c r="T36" s="774" t="s">
        <v>17</v>
      </c>
      <c r="U36" s="775">
        <f t="shared" si="13"/>
        <v>100</v>
      </c>
      <c r="V36" s="774" t="s">
        <v>17</v>
      </c>
      <c r="W36" s="775">
        <f t="shared" si="14"/>
        <v>100</v>
      </c>
      <c r="X36" s="1808"/>
      <c r="Y36" s="3202"/>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05" t="str">
        <f t="shared" si="11"/>
        <v>内部装修状况</v>
      </c>
      <c r="R37" s="774" t="s">
        <v>17</v>
      </c>
      <c r="S37" s="775">
        <f t="shared" si="12"/>
        <v>100</v>
      </c>
      <c r="T37" s="774" t="s">
        <v>17</v>
      </c>
      <c r="U37" s="775">
        <f t="shared" si="13"/>
        <v>100</v>
      </c>
      <c r="V37" s="774" t="s">
        <v>17</v>
      </c>
      <c r="W37" s="775">
        <f t="shared" si="14"/>
        <v>100</v>
      </c>
      <c r="X37" s="1808"/>
      <c r="Y37" s="3202"/>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05">
        <f t="shared" si="11"/>
        <v>111</v>
      </c>
      <c r="R39" s="774" t="s">
        <v>17</v>
      </c>
      <c r="S39" s="775">
        <f t="shared" si="12"/>
        <v>100</v>
      </c>
      <c r="T39" s="774" t="s">
        <v>17</v>
      </c>
      <c r="U39" s="775">
        <f t="shared" si="13"/>
        <v>100</v>
      </c>
      <c r="V39" s="774" t="s">
        <v>17</v>
      </c>
      <c r="W39" s="775">
        <f t="shared" si="14"/>
        <v>100</v>
      </c>
      <c r="X39" s="1808"/>
      <c r="Y39" s="3202"/>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3"/>
      <c r="Q40" s="1805">
        <f t="shared" si="11"/>
        <v>111</v>
      </c>
      <c r="R40" s="774" t="s">
        <v>17</v>
      </c>
      <c r="S40" s="775">
        <f t="shared" si="12"/>
        <v>100</v>
      </c>
      <c r="T40" s="774" t="s">
        <v>17</v>
      </c>
      <c r="U40" s="775">
        <f t="shared" si="13"/>
        <v>100</v>
      </c>
      <c r="V40" s="774" t="s">
        <v>17</v>
      </c>
      <c r="W40" s="775">
        <f t="shared" si="14"/>
        <v>100</v>
      </c>
      <c r="X40" s="1808"/>
      <c r="Y40" s="3203"/>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195" t="str">
        <f>A41</f>
        <v>成交单价（元/平方米）</v>
      </c>
      <c r="Q41" s="3195"/>
      <c r="R41" s="3196">
        <f>E41</f>
        <v>0</v>
      </c>
      <c r="S41" s="3196"/>
      <c r="T41" s="3196">
        <f>G41</f>
        <v>0</v>
      </c>
      <c r="U41" s="3196"/>
      <c r="V41" s="3196">
        <f>I41</f>
        <v>0</v>
      </c>
      <c r="W41" s="3196"/>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92" t="str">
        <f>A43</f>
        <v>估价对象XX用房的比较价值（楼面单价，元/平方米）</v>
      </c>
      <c r="Q43" s="3193"/>
      <c r="R43" s="3194" t="e">
        <f>IF(F1="售价",ROUND(AVERAGE(R42:V42),0),ROUND(AVERAGE(R42:V42),1))</f>
        <v>#DIV/0!</v>
      </c>
      <c r="S43" s="3194"/>
      <c r="T43" s="3194"/>
      <c r="U43" s="3194"/>
      <c r="V43" s="3194"/>
      <c r="W43" s="319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1" t="s">
        <v>2547</v>
      </c>
      <c r="Q7" s="3233"/>
      <c r="R7" s="770" t="s">
        <v>17</v>
      </c>
      <c r="S7" s="771">
        <f t="shared" ref="S7:S14" si="0">F7</f>
        <v>0</v>
      </c>
      <c r="T7" s="770" t="s">
        <v>17</v>
      </c>
      <c r="U7" s="771">
        <f t="shared" ref="U7:U14" si="1">H7</f>
        <v>0</v>
      </c>
      <c r="V7" s="770" t="s">
        <v>17</v>
      </c>
      <c r="W7" s="771">
        <f t="shared" ref="W7:W14" si="2">J7</f>
        <v>0</v>
      </c>
      <c r="X7" s="772"/>
      <c r="Y7" s="3231" t="s">
        <v>2547</v>
      </c>
      <c r="Z7" s="323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5" t="s">
        <v>2553</v>
      </c>
      <c r="Q9" s="1790"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5"/>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5"/>
      <c r="Q11" s="1790">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7" t="s">
        <v>2558</v>
      </c>
      <c r="Q14" s="1805" t="str">
        <f t="shared" si="6"/>
        <v>交通便捷度</v>
      </c>
      <c r="R14" s="774" t="s">
        <v>17</v>
      </c>
      <c r="S14" s="775">
        <f t="shared" si="0"/>
        <v>100</v>
      </c>
      <c r="T14" s="774" t="s">
        <v>17</v>
      </c>
      <c r="U14" s="775">
        <f t="shared" si="1"/>
        <v>100</v>
      </c>
      <c r="V14" s="774" t="s">
        <v>17</v>
      </c>
      <c r="W14" s="775">
        <f t="shared" si="2"/>
        <v>100</v>
      </c>
      <c r="X14" s="1808"/>
      <c r="Y14" s="3197"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198"/>
      <c r="Q15" s="1805"/>
      <c r="R15" s="774"/>
      <c r="S15" s="775"/>
      <c r="T15" s="774"/>
      <c r="U15" s="775"/>
      <c r="V15" s="774"/>
      <c r="W15" s="775"/>
      <c r="X15" s="1808"/>
      <c r="Y15" s="3198"/>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8"/>
      <c r="Q16" s="1805" t="str">
        <f>B16</f>
        <v>公共配套设施</v>
      </c>
      <c r="R16" s="774" t="s">
        <v>17</v>
      </c>
      <c r="S16" s="775">
        <f>F16</f>
        <v>100</v>
      </c>
      <c r="T16" s="774" t="s">
        <v>17</v>
      </c>
      <c r="U16" s="775">
        <f>H16</f>
        <v>100</v>
      </c>
      <c r="V16" s="774" t="s">
        <v>17</v>
      </c>
      <c r="W16" s="775">
        <f>J16</f>
        <v>100</v>
      </c>
      <c r="X16" s="1808"/>
      <c r="Y16" s="3198"/>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198"/>
      <c r="Q17" s="1805"/>
      <c r="R17" s="774"/>
      <c r="S17" s="775"/>
      <c r="T17" s="774"/>
      <c r="U17" s="775"/>
      <c r="V17" s="774"/>
      <c r="W17" s="775"/>
      <c r="X17" s="1808"/>
      <c r="Y17" s="3198"/>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8"/>
      <c r="Q18" s="1805" t="str">
        <f>B18</f>
        <v>基础设施水平</v>
      </c>
      <c r="R18" s="774" t="s">
        <v>17</v>
      </c>
      <c r="S18" s="775">
        <f>F18</f>
        <v>100</v>
      </c>
      <c r="T18" s="774" t="s">
        <v>17</v>
      </c>
      <c r="U18" s="775">
        <f>H18</f>
        <v>100</v>
      </c>
      <c r="V18" s="774" t="s">
        <v>17</v>
      </c>
      <c r="W18" s="775">
        <f>J18</f>
        <v>100</v>
      </c>
      <c r="X18" s="1808"/>
      <c r="Y18" s="3198"/>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198"/>
      <c r="Q19" s="1805"/>
      <c r="R19" s="774"/>
      <c r="S19" s="775"/>
      <c r="T19" s="774"/>
      <c r="U19" s="775"/>
      <c r="V19" s="774"/>
      <c r="W19" s="775"/>
      <c r="X19" s="1808"/>
      <c r="Y19" s="3198"/>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8"/>
      <c r="Q20" s="1805" t="str">
        <f>B20</f>
        <v>自然及人文环境</v>
      </c>
      <c r="R20" s="774" t="s">
        <v>17</v>
      </c>
      <c r="S20" s="775">
        <f>F20</f>
        <v>100</v>
      </c>
      <c r="T20" s="774" t="s">
        <v>17</v>
      </c>
      <c r="U20" s="775">
        <f>H20</f>
        <v>100</v>
      </c>
      <c r="V20" s="774" t="s">
        <v>17</v>
      </c>
      <c r="W20" s="775">
        <f>J20</f>
        <v>100</v>
      </c>
      <c r="X20" s="1808"/>
      <c r="Y20" s="3198"/>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198"/>
      <c r="Q21" s="1805"/>
      <c r="R21" s="774"/>
      <c r="S21" s="775"/>
      <c r="T21" s="774"/>
      <c r="U21" s="775"/>
      <c r="V21" s="774"/>
      <c r="W21" s="775"/>
      <c r="X21" s="1808"/>
      <c r="Y21" s="3198"/>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8"/>
      <c r="Q22" s="1805" t="str">
        <f>B22</f>
        <v>楼层</v>
      </c>
      <c r="R22" s="774" t="s">
        <v>17</v>
      </c>
      <c r="S22" s="775">
        <f>F22</f>
        <v>100</v>
      </c>
      <c r="T22" s="774" t="s">
        <v>17</v>
      </c>
      <c r="U22" s="775">
        <f>H22</f>
        <v>100</v>
      </c>
      <c r="V22" s="774" t="s">
        <v>17</v>
      </c>
      <c r="W22" s="775">
        <f>J22</f>
        <v>100</v>
      </c>
      <c r="X22" s="1808"/>
      <c r="Y22" s="3198"/>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8"/>
      <c r="Q23" s="1805">
        <f>B23</f>
        <v>111</v>
      </c>
      <c r="R23" s="774" t="s">
        <v>17</v>
      </c>
      <c r="S23" s="775">
        <f>F23</f>
        <v>100</v>
      </c>
      <c r="T23" s="774" t="s">
        <v>17</v>
      </c>
      <c r="U23" s="775">
        <f>H23</f>
        <v>100</v>
      </c>
      <c r="V23" s="774" t="s">
        <v>17</v>
      </c>
      <c r="W23" s="775">
        <f>J23</f>
        <v>100</v>
      </c>
      <c r="X23" s="1808"/>
      <c r="Y23" s="3198"/>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8"/>
      <c r="Q24" s="1805">
        <f t="shared" ref="Q24:Q36" si="11">B24</f>
        <v>111</v>
      </c>
      <c r="R24" s="774" t="s">
        <v>17</v>
      </c>
      <c r="S24" s="775">
        <f>F24</f>
        <v>100</v>
      </c>
      <c r="T24" s="774" t="s">
        <v>17</v>
      </c>
      <c r="U24" s="775">
        <f>H24</f>
        <v>100</v>
      </c>
      <c r="V24" s="774" t="s">
        <v>17</v>
      </c>
      <c r="W24" s="775">
        <f>J24</f>
        <v>100</v>
      </c>
      <c r="X24" s="1808"/>
      <c r="Y24" s="3198"/>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8"/>
      <c r="Q25" s="1790">
        <f t="shared" si="11"/>
        <v>111</v>
      </c>
      <c r="R25" s="770" t="s">
        <v>17</v>
      </c>
      <c r="S25" s="771">
        <f>F25</f>
        <v>100</v>
      </c>
      <c r="T25" s="770" t="s">
        <v>17</v>
      </c>
      <c r="U25" s="771">
        <f>H25</f>
        <v>100</v>
      </c>
      <c r="V25" s="770" t="s">
        <v>17</v>
      </c>
      <c r="W25" s="771">
        <f>J25</f>
        <v>100</v>
      </c>
      <c r="X25" s="772"/>
      <c r="Y25" s="3198"/>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02"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05" t="str">
        <f t="shared" si="11"/>
        <v>公共部分装修</v>
      </c>
      <c r="R28" s="774" t="s">
        <v>17</v>
      </c>
      <c r="S28" s="775">
        <f t="shared" si="12"/>
        <v>100</v>
      </c>
      <c r="T28" s="774" t="s">
        <v>17</v>
      </c>
      <c r="U28" s="775">
        <f t="shared" si="13"/>
        <v>100</v>
      </c>
      <c r="V28" s="774" t="s">
        <v>17</v>
      </c>
      <c r="W28" s="775">
        <f t="shared" si="14"/>
        <v>100</v>
      </c>
      <c r="X28" s="1808"/>
      <c r="Y28" s="3202"/>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05" t="str">
        <f t="shared" si="11"/>
        <v>成新率</v>
      </c>
      <c r="R29" s="774" t="s">
        <v>17</v>
      </c>
      <c r="S29" s="775" t="e">
        <f t="shared" si="12"/>
        <v>#N/A</v>
      </c>
      <c r="T29" s="774" t="s">
        <v>17</v>
      </c>
      <c r="U29" s="775" t="e">
        <f t="shared" si="13"/>
        <v>#N/A</v>
      </c>
      <c r="V29" s="774" t="s">
        <v>17</v>
      </c>
      <c r="W29" s="775" t="e">
        <f t="shared" si="14"/>
        <v>#N/A</v>
      </c>
      <c r="X29" s="1808"/>
      <c r="Y29" s="3202"/>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05" t="str">
        <f t="shared" si="11"/>
        <v>物业等级</v>
      </c>
      <c r="R30" s="774" t="s">
        <v>17</v>
      </c>
      <c r="S30" s="775">
        <f t="shared" si="12"/>
        <v>100</v>
      </c>
      <c r="T30" s="774" t="s">
        <v>17</v>
      </c>
      <c r="U30" s="775">
        <f t="shared" si="13"/>
        <v>100</v>
      </c>
      <c r="V30" s="774" t="s">
        <v>17</v>
      </c>
      <c r="W30" s="775">
        <f t="shared" si="14"/>
        <v>100</v>
      </c>
      <c r="X30" s="1808"/>
      <c r="Y30" s="3202"/>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0"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2563</v>
      </c>
      <c r="Q32" s="1805" t="str">
        <f t="shared" si="11"/>
        <v>车位类型</v>
      </c>
      <c r="R32" s="774" t="s">
        <v>17</v>
      </c>
      <c r="S32" s="775">
        <f t="shared" si="12"/>
        <v>100</v>
      </c>
      <c r="T32" s="774" t="s">
        <v>17</v>
      </c>
      <c r="U32" s="775">
        <f t="shared" si="13"/>
        <v>100</v>
      </c>
      <c r="V32" s="774" t="s">
        <v>17</v>
      </c>
      <c r="W32" s="775">
        <f t="shared" si="14"/>
        <v>100</v>
      </c>
      <c r="X32" s="1808"/>
      <c r="Y32" s="3202"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05" t="str">
        <f t="shared" si="11"/>
        <v>是否直接入户</v>
      </c>
      <c r="R33" s="774" t="s">
        <v>17</v>
      </c>
      <c r="S33" s="775">
        <f t="shared" si="12"/>
        <v>100</v>
      </c>
      <c r="T33" s="774" t="s">
        <v>17</v>
      </c>
      <c r="U33" s="775">
        <f t="shared" si="13"/>
        <v>100</v>
      </c>
      <c r="V33" s="774" t="s">
        <v>17</v>
      </c>
      <c r="W33" s="775">
        <f t="shared" si="14"/>
        <v>100</v>
      </c>
      <c r="X33" s="1808"/>
      <c r="Y33" s="3202"/>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05">
        <f t="shared" si="11"/>
        <v>111</v>
      </c>
      <c r="R34" s="774" t="s">
        <v>17</v>
      </c>
      <c r="S34" s="775">
        <f t="shared" si="12"/>
        <v>100</v>
      </c>
      <c r="T34" s="774" t="s">
        <v>17</v>
      </c>
      <c r="U34" s="775">
        <f t="shared" si="13"/>
        <v>100</v>
      </c>
      <c r="V34" s="774" t="s">
        <v>17</v>
      </c>
      <c r="W34" s="775">
        <f t="shared" si="14"/>
        <v>100</v>
      </c>
      <c r="X34" s="1808"/>
      <c r="Y34" s="3202"/>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05">
        <f t="shared" si="11"/>
        <v>111</v>
      </c>
      <c r="R36" s="774" t="s">
        <v>17</v>
      </c>
      <c r="S36" s="775">
        <f t="shared" si="12"/>
        <v>100</v>
      </c>
      <c r="T36" s="774" t="s">
        <v>17</v>
      </c>
      <c r="U36" s="775">
        <f t="shared" si="13"/>
        <v>100</v>
      </c>
      <c r="V36" s="774" t="s">
        <v>17</v>
      </c>
      <c r="W36" s="775">
        <f t="shared" si="14"/>
        <v>100</v>
      </c>
      <c r="X36" s="1808"/>
      <c r="Y36" s="3202"/>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195" t="str">
        <f>A37</f>
        <v>成交单价</v>
      </c>
      <c r="Q37" s="3195"/>
      <c r="R37" s="3196">
        <f>E37</f>
        <v>0</v>
      </c>
      <c r="S37" s="3196"/>
      <c r="T37" s="3196">
        <f>G37</f>
        <v>0</v>
      </c>
      <c r="U37" s="3196"/>
      <c r="V37" s="3196">
        <f>I37</f>
        <v>0</v>
      </c>
      <c r="W37" s="3196"/>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92" t="str">
        <f>A39</f>
        <v>估价对象XX用房的比较价值（楼面单价，元/平方米）</v>
      </c>
      <c r="Q39" s="3193"/>
      <c r="R39" s="3194" t="e">
        <f>IF(F1="售价",ROUND(AVERAGE(R38:V38),0),ROUND(AVERAGE(R38:V38),1))</f>
        <v>#DIV/0!</v>
      </c>
      <c r="S39" s="3194"/>
      <c r="T39" s="3194"/>
      <c r="U39" s="3194"/>
      <c r="V39" s="3194"/>
      <c r="W39" s="319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31" t="s">
        <v>2547</v>
      </c>
      <c r="Q7" s="3233"/>
      <c r="R7" s="770" t="s">
        <v>17</v>
      </c>
      <c r="S7" s="771">
        <f t="shared" ref="S7:S14" si="0">F7</f>
        <v>0</v>
      </c>
      <c r="T7" s="770" t="s">
        <v>17</v>
      </c>
      <c r="U7" s="771">
        <f t="shared" ref="U7:U14" si="1">H7</f>
        <v>0</v>
      </c>
      <c r="V7" s="770" t="s">
        <v>17</v>
      </c>
      <c r="W7" s="771">
        <f t="shared" ref="W7:W14" si="2">J7</f>
        <v>0</v>
      </c>
      <c r="X7" s="772"/>
      <c r="Y7" s="3231" t="s">
        <v>2547</v>
      </c>
      <c r="Z7" s="323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5" t="s">
        <v>2553</v>
      </c>
      <c r="Q9" s="1790"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5"/>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5"/>
      <c r="Q11" s="1790">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7" t="s">
        <v>2558</v>
      </c>
      <c r="Q14" s="1805" t="str">
        <f t="shared" si="6"/>
        <v>交通便捷度</v>
      </c>
      <c r="R14" s="774" t="s">
        <v>17</v>
      </c>
      <c r="S14" s="775">
        <f t="shared" si="0"/>
        <v>100</v>
      </c>
      <c r="T14" s="774" t="s">
        <v>17</v>
      </c>
      <c r="U14" s="775">
        <f t="shared" si="1"/>
        <v>100</v>
      </c>
      <c r="V14" s="774" t="s">
        <v>17</v>
      </c>
      <c r="W14" s="775">
        <f t="shared" si="2"/>
        <v>100</v>
      </c>
      <c r="X14" s="1808"/>
      <c r="Y14" s="3197"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198"/>
      <c r="Q15" s="1805"/>
      <c r="R15" s="774"/>
      <c r="S15" s="775"/>
      <c r="T15" s="774"/>
      <c r="U15" s="775"/>
      <c r="V15" s="774"/>
      <c r="W15" s="775"/>
      <c r="X15" s="1808"/>
      <c r="Y15" s="3198"/>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8"/>
      <c r="Q16" s="1805" t="str">
        <f>B16</f>
        <v>公共配套设施</v>
      </c>
      <c r="R16" s="774" t="s">
        <v>17</v>
      </c>
      <c r="S16" s="775">
        <f>F16</f>
        <v>100</v>
      </c>
      <c r="T16" s="774" t="s">
        <v>17</v>
      </c>
      <c r="U16" s="775">
        <f>H16</f>
        <v>100</v>
      </c>
      <c r="V16" s="774" t="s">
        <v>17</v>
      </c>
      <c r="W16" s="775">
        <f>J16</f>
        <v>100</v>
      </c>
      <c r="X16" s="1808"/>
      <c r="Y16" s="3198"/>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198"/>
      <c r="Q17" s="1805"/>
      <c r="R17" s="774"/>
      <c r="S17" s="775"/>
      <c r="T17" s="774"/>
      <c r="U17" s="775"/>
      <c r="V17" s="774"/>
      <c r="W17" s="775"/>
      <c r="X17" s="1808"/>
      <c r="Y17" s="3198"/>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8"/>
      <c r="Q18" s="1805" t="str">
        <f>B18</f>
        <v>基础设施水平</v>
      </c>
      <c r="R18" s="774" t="s">
        <v>17</v>
      </c>
      <c r="S18" s="775">
        <f>F18</f>
        <v>100</v>
      </c>
      <c r="T18" s="774" t="s">
        <v>17</v>
      </c>
      <c r="U18" s="775">
        <f>H18</f>
        <v>100</v>
      </c>
      <c r="V18" s="774" t="s">
        <v>17</v>
      </c>
      <c r="W18" s="775">
        <f>J18</f>
        <v>100</v>
      </c>
      <c r="X18" s="1808"/>
      <c r="Y18" s="3198"/>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198"/>
      <c r="Q19" s="1805"/>
      <c r="R19" s="774"/>
      <c r="S19" s="775"/>
      <c r="T19" s="774"/>
      <c r="U19" s="775"/>
      <c r="V19" s="774"/>
      <c r="W19" s="775"/>
      <c r="X19" s="1808"/>
      <c r="Y19" s="3198"/>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8"/>
      <c r="Q20" s="1805" t="str">
        <f>B20</f>
        <v>自然及人文环境</v>
      </c>
      <c r="R20" s="774" t="s">
        <v>17</v>
      </c>
      <c r="S20" s="775">
        <f>F20</f>
        <v>100</v>
      </c>
      <c r="T20" s="774" t="s">
        <v>17</v>
      </c>
      <c r="U20" s="775">
        <f>H20</f>
        <v>100</v>
      </c>
      <c r="V20" s="774" t="s">
        <v>17</v>
      </c>
      <c r="W20" s="775">
        <f>J20</f>
        <v>100</v>
      </c>
      <c r="X20" s="1808"/>
      <c r="Y20" s="3198"/>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198"/>
      <c r="Q21" s="1805"/>
      <c r="R21" s="774"/>
      <c r="S21" s="775"/>
      <c r="T21" s="774"/>
      <c r="U21" s="775"/>
      <c r="V21" s="774"/>
      <c r="W21" s="775"/>
      <c r="X21" s="1808"/>
      <c r="Y21" s="3198"/>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8"/>
      <c r="Q22" s="1805" t="str">
        <f>B22</f>
        <v>楼层</v>
      </c>
      <c r="R22" s="774" t="s">
        <v>17</v>
      </c>
      <c r="S22" s="775">
        <f>F22</f>
        <v>100</v>
      </c>
      <c r="T22" s="774" t="s">
        <v>17</v>
      </c>
      <c r="U22" s="775">
        <f>H22</f>
        <v>100</v>
      </c>
      <c r="V22" s="774" t="s">
        <v>17</v>
      </c>
      <c r="W22" s="775">
        <f>J22</f>
        <v>100</v>
      </c>
      <c r="X22" s="1808"/>
      <c r="Y22" s="3198"/>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8"/>
      <c r="Q23" s="1805">
        <f>B23</f>
        <v>111</v>
      </c>
      <c r="R23" s="774" t="s">
        <v>17</v>
      </c>
      <c r="S23" s="775">
        <f>F23</f>
        <v>100</v>
      </c>
      <c r="T23" s="774" t="s">
        <v>17</v>
      </c>
      <c r="U23" s="775">
        <f>H23</f>
        <v>100</v>
      </c>
      <c r="V23" s="774" t="s">
        <v>17</v>
      </c>
      <c r="W23" s="775">
        <f>J23</f>
        <v>100</v>
      </c>
      <c r="X23" s="1808"/>
      <c r="Y23" s="3198"/>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8"/>
      <c r="Q24" s="1805">
        <f t="shared" ref="Q24:Q34" si="11">B24</f>
        <v>111</v>
      </c>
      <c r="R24" s="774" t="s">
        <v>17</v>
      </c>
      <c r="S24" s="775">
        <f>F24</f>
        <v>100</v>
      </c>
      <c r="T24" s="774" t="s">
        <v>17</v>
      </c>
      <c r="U24" s="775">
        <f>H24</f>
        <v>100</v>
      </c>
      <c r="V24" s="774" t="s">
        <v>17</v>
      </c>
      <c r="W24" s="775">
        <f>J24</f>
        <v>100</v>
      </c>
      <c r="X24" s="1808"/>
      <c r="Y24" s="3198"/>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98"/>
      <c r="Q25" s="1790">
        <f t="shared" si="11"/>
        <v>111</v>
      </c>
      <c r="R25" s="770" t="s">
        <v>17</v>
      </c>
      <c r="S25" s="771">
        <f>F25</f>
        <v>100</v>
      </c>
      <c r="T25" s="770" t="s">
        <v>17</v>
      </c>
      <c r="U25" s="771">
        <f>H25</f>
        <v>100</v>
      </c>
      <c r="V25" s="770" t="s">
        <v>17</v>
      </c>
      <c r="W25" s="771">
        <f>J25</f>
        <v>100</v>
      </c>
      <c r="X25" s="772"/>
      <c r="Y25" s="3198"/>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7"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02"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05" t="str">
        <f t="shared" si="11"/>
        <v>物业等级</v>
      </c>
      <c r="R28" s="774" t="s">
        <v>17</v>
      </c>
      <c r="S28" s="775">
        <f t="shared" si="12"/>
        <v>100</v>
      </c>
      <c r="T28" s="774" t="s">
        <v>17</v>
      </c>
      <c r="U28" s="775">
        <f t="shared" si="13"/>
        <v>100</v>
      </c>
      <c r="V28" s="774" t="s">
        <v>17</v>
      </c>
      <c r="W28" s="775">
        <f t="shared" si="14"/>
        <v>100</v>
      </c>
      <c r="X28" s="1808"/>
      <c r="Y28" s="3202"/>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05" t="str">
        <f t="shared" si="11"/>
        <v>有无电梯</v>
      </c>
      <c r="R29" s="774" t="s">
        <v>17</v>
      </c>
      <c r="S29" s="775">
        <f t="shared" si="12"/>
        <v>100</v>
      </c>
      <c r="T29" s="774" t="s">
        <v>17</v>
      </c>
      <c r="U29" s="775">
        <f t="shared" si="13"/>
        <v>100</v>
      </c>
      <c r="V29" s="774" t="s">
        <v>17</v>
      </c>
      <c r="W29" s="775">
        <f t="shared" si="14"/>
        <v>100</v>
      </c>
      <c r="X29" s="1808"/>
      <c r="Y29" s="3202"/>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05" t="str">
        <f t="shared" si="11"/>
        <v>建筑面积</v>
      </c>
      <c r="R30" s="774" t="s">
        <v>17</v>
      </c>
      <c r="S30" s="775" t="e">
        <f t="shared" si="12"/>
        <v>#N/A</v>
      </c>
      <c r="T30" s="774" t="s">
        <v>17</v>
      </c>
      <c r="U30" s="775" t="e">
        <f t="shared" si="13"/>
        <v>#N/A</v>
      </c>
      <c r="V30" s="774" t="s">
        <v>17</v>
      </c>
      <c r="W30" s="775" t="e">
        <f t="shared" si="14"/>
        <v>#N/A</v>
      </c>
      <c r="X30" s="1808"/>
      <c r="Y30" s="3202"/>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90"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2563</v>
      </c>
      <c r="Q32" s="1805">
        <f t="shared" si="11"/>
        <v>111</v>
      </c>
      <c r="R32" s="774" t="s">
        <v>17</v>
      </c>
      <c r="S32" s="775">
        <f t="shared" si="12"/>
        <v>100</v>
      </c>
      <c r="T32" s="774" t="s">
        <v>17</v>
      </c>
      <c r="U32" s="775">
        <f t="shared" si="13"/>
        <v>100</v>
      </c>
      <c r="V32" s="774" t="s">
        <v>17</v>
      </c>
      <c r="W32" s="775">
        <f t="shared" si="14"/>
        <v>100</v>
      </c>
      <c r="X32" s="1808"/>
      <c r="Y32" s="3202"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05">
        <f t="shared" si="11"/>
        <v>111</v>
      </c>
      <c r="R33" s="774" t="s">
        <v>17</v>
      </c>
      <c r="S33" s="775">
        <f t="shared" si="12"/>
        <v>100</v>
      </c>
      <c r="T33" s="774" t="s">
        <v>17</v>
      </c>
      <c r="U33" s="775">
        <f t="shared" si="13"/>
        <v>100</v>
      </c>
      <c r="V33" s="774" t="s">
        <v>17</v>
      </c>
      <c r="W33" s="775">
        <f t="shared" si="14"/>
        <v>100</v>
      </c>
      <c r="X33" s="1808"/>
      <c r="Y33" s="3202"/>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2"/>
      <c r="Q34" s="1805">
        <f t="shared" si="11"/>
        <v>111</v>
      </c>
      <c r="R34" s="774" t="s">
        <v>17</v>
      </c>
      <c r="S34" s="775">
        <f t="shared" si="12"/>
        <v>100</v>
      </c>
      <c r="T34" s="774" t="s">
        <v>17</v>
      </c>
      <c r="U34" s="775">
        <f t="shared" si="13"/>
        <v>100</v>
      </c>
      <c r="V34" s="774" t="s">
        <v>17</v>
      </c>
      <c r="W34" s="775">
        <f t="shared" si="14"/>
        <v>100</v>
      </c>
      <c r="X34" s="1808"/>
      <c r="Y34" s="3202"/>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195" t="str">
        <f>A35</f>
        <v>成交单价（元/平方米）</v>
      </c>
      <c r="Q35" s="3195"/>
      <c r="R35" s="3196">
        <f>E35</f>
        <v>0</v>
      </c>
      <c r="S35" s="3196"/>
      <c r="T35" s="3196">
        <f>G35</f>
        <v>0</v>
      </c>
      <c r="U35" s="3196"/>
      <c r="V35" s="3196">
        <f>I35</f>
        <v>0</v>
      </c>
      <c r="W35" s="3196"/>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92" t="str">
        <f>A37</f>
        <v>估价对象XX用房的比较价值（楼面单价，元/平方米）</v>
      </c>
      <c r="Q37" s="3193"/>
      <c r="R37" s="3194" t="e">
        <f>IF(F1="售价",ROUND(AVERAGE(R36:V36),0),ROUND(AVERAGE(R36:V36),1))</f>
        <v>#DIV/0!</v>
      </c>
      <c r="S37" s="3194"/>
      <c r="T37" s="3194"/>
      <c r="U37" s="3194"/>
      <c r="V37" s="3194"/>
      <c r="W37" s="319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30"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30"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95"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195"/>
      <c r="Q10" s="1790" t="str">
        <f t="shared" si="6"/>
        <v>土地使用年限（年）</v>
      </c>
      <c r="R10" s="770" t="s">
        <v>17</v>
      </c>
      <c r="S10" s="771">
        <f t="shared" si="0"/>
        <v>113</v>
      </c>
      <c r="T10" s="770" t="s">
        <v>17</v>
      </c>
      <c r="U10" s="771">
        <f t="shared" si="1"/>
        <v>113</v>
      </c>
      <c r="V10" s="770" t="s">
        <v>17</v>
      </c>
      <c r="W10" s="771">
        <f t="shared" si="2"/>
        <v>113</v>
      </c>
      <c r="X10" s="772"/>
      <c r="Y10" s="3020"/>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5"/>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5"/>
      <c r="Q12" s="1790"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5"/>
      <c r="Q14" s="1790">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7" t="s">
        <v>2558</v>
      </c>
      <c r="Q15" s="1805" t="str">
        <f t="shared" si="6"/>
        <v>居住社区成熟度</v>
      </c>
      <c r="R15" s="774" t="s">
        <v>17</v>
      </c>
      <c r="S15" s="775">
        <f t="shared" si="0"/>
        <v>100</v>
      </c>
      <c r="T15" s="774" t="s">
        <v>17</v>
      </c>
      <c r="U15" s="775">
        <f t="shared" si="1"/>
        <v>100</v>
      </c>
      <c r="V15" s="774" t="s">
        <v>17</v>
      </c>
      <c r="W15" s="775">
        <f t="shared" si="2"/>
        <v>100</v>
      </c>
      <c r="X15" s="1808"/>
      <c r="Y15" s="3197"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198"/>
      <c r="Q16" s="1805"/>
      <c r="R16" s="774"/>
      <c r="S16" s="775"/>
      <c r="T16" s="774"/>
      <c r="U16" s="775"/>
      <c r="V16" s="774"/>
      <c r="W16" s="775"/>
      <c r="X16" s="1808"/>
      <c r="Y16" s="3198"/>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8"/>
      <c r="Q17" s="1805" t="str">
        <f>B17</f>
        <v>商业繁华度</v>
      </c>
      <c r="R17" s="774" t="s">
        <v>17</v>
      </c>
      <c r="S17" s="775">
        <f>F17</f>
        <v>100</v>
      </c>
      <c r="T17" s="774" t="s">
        <v>17</v>
      </c>
      <c r="U17" s="775">
        <f>H17</f>
        <v>100</v>
      </c>
      <c r="V17" s="774" t="s">
        <v>17</v>
      </c>
      <c r="W17" s="775">
        <f>J17</f>
        <v>100</v>
      </c>
      <c r="X17" s="1808"/>
      <c r="Y17" s="3198"/>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198"/>
      <c r="Q18" s="1805"/>
      <c r="R18" s="774"/>
      <c r="S18" s="775"/>
      <c r="T18" s="774"/>
      <c r="U18" s="775"/>
      <c r="V18" s="774"/>
      <c r="W18" s="775"/>
      <c r="X18" s="1808"/>
      <c r="Y18" s="3198"/>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8"/>
      <c r="Q19" s="1805" t="str">
        <f>B19</f>
        <v>办公集聚程度</v>
      </c>
      <c r="R19" s="774" t="s">
        <v>17</v>
      </c>
      <c r="S19" s="775">
        <f>F19</f>
        <v>100</v>
      </c>
      <c r="T19" s="774" t="s">
        <v>17</v>
      </c>
      <c r="U19" s="775">
        <f>H19</f>
        <v>100</v>
      </c>
      <c r="V19" s="774" t="s">
        <v>17</v>
      </c>
      <c r="W19" s="775">
        <f>J19</f>
        <v>100</v>
      </c>
      <c r="X19" s="1808"/>
      <c r="Y19" s="3198"/>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198"/>
      <c r="Q20" s="1805"/>
      <c r="R20" s="774"/>
      <c r="S20" s="775"/>
      <c r="T20" s="774"/>
      <c r="U20" s="775"/>
      <c r="V20" s="774"/>
      <c r="W20" s="775"/>
      <c r="X20" s="1808"/>
      <c r="Y20" s="3198"/>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8"/>
      <c r="Q21" s="1805" t="str">
        <f>B21</f>
        <v>交通便捷度</v>
      </c>
      <c r="R21" s="774" t="s">
        <v>17</v>
      </c>
      <c r="S21" s="775">
        <f>F21</f>
        <v>100</v>
      </c>
      <c r="T21" s="774" t="s">
        <v>17</v>
      </c>
      <c r="U21" s="775">
        <f>H21</f>
        <v>100</v>
      </c>
      <c r="V21" s="774" t="s">
        <v>17</v>
      </c>
      <c r="W21" s="775">
        <f>J21</f>
        <v>100</v>
      </c>
      <c r="X21" s="1808"/>
      <c r="Y21" s="3198"/>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198"/>
      <c r="Q22" s="1805"/>
      <c r="R22" s="774"/>
      <c r="S22" s="775"/>
      <c r="T22" s="774"/>
      <c r="U22" s="775"/>
      <c r="V22" s="774"/>
      <c r="W22" s="775"/>
      <c r="X22" s="1808"/>
      <c r="Y22" s="3198"/>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8"/>
      <c r="Q23" s="1805" t="str">
        <f t="shared" ref="Q23:Q37" si="8">B23</f>
        <v>区域土地利用方向</v>
      </c>
      <c r="R23" s="774" t="s">
        <v>17</v>
      </c>
      <c r="S23" s="775">
        <f>F23</f>
        <v>100</v>
      </c>
      <c r="T23" s="774" t="s">
        <v>17</v>
      </c>
      <c r="U23" s="775">
        <f>H23</f>
        <v>100</v>
      </c>
      <c r="V23" s="774" t="s">
        <v>17</v>
      </c>
      <c r="W23" s="775">
        <f>J23</f>
        <v>100</v>
      </c>
      <c r="X23" s="1808"/>
      <c r="Y23" s="3198"/>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198"/>
      <c r="Q24" s="1805"/>
      <c r="R24" s="774"/>
      <c r="S24" s="775"/>
      <c r="T24" s="774"/>
      <c r="U24" s="775"/>
      <c r="V24" s="774"/>
      <c r="W24" s="775"/>
      <c r="X24" s="1808"/>
      <c r="Y24" s="3198"/>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8"/>
      <c r="Q25" s="1805" t="str">
        <f t="shared" si="8"/>
        <v>自然及人文环境状况</v>
      </c>
      <c r="R25" s="774" t="s">
        <v>17</v>
      </c>
      <c r="S25" s="775">
        <f>F25</f>
        <v>100</v>
      </c>
      <c r="T25" s="774" t="s">
        <v>17</v>
      </c>
      <c r="U25" s="775">
        <f>H25</f>
        <v>100</v>
      </c>
      <c r="V25" s="774" t="s">
        <v>17</v>
      </c>
      <c r="W25" s="775">
        <f>J25</f>
        <v>100</v>
      </c>
      <c r="X25" s="1808"/>
      <c r="Y25" s="3198"/>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198"/>
      <c r="Q26" s="1805"/>
      <c r="R26" s="774"/>
      <c r="S26" s="775"/>
      <c r="T26" s="774"/>
      <c r="U26" s="775"/>
      <c r="V26" s="774"/>
      <c r="W26" s="775"/>
      <c r="X26" s="1808"/>
      <c r="Y26" s="3198"/>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8"/>
      <c r="Q27" s="1790" t="str">
        <f t="shared" si="8"/>
        <v>公共配套设施</v>
      </c>
      <c r="R27" s="770" t="s">
        <v>17</v>
      </c>
      <c r="S27" s="771">
        <f>F27</f>
        <v>100</v>
      </c>
      <c r="T27" s="770" t="s">
        <v>17</v>
      </c>
      <c r="U27" s="771">
        <f>H27</f>
        <v>100</v>
      </c>
      <c r="V27" s="770" t="s">
        <v>17</v>
      </c>
      <c r="W27" s="771">
        <f>J27</f>
        <v>100</v>
      </c>
      <c r="X27" s="772"/>
      <c r="Y27" s="3198"/>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198"/>
      <c r="Q28" s="1790"/>
      <c r="R28" s="770"/>
      <c r="S28" s="771"/>
      <c r="T28" s="770"/>
      <c r="U28" s="771"/>
      <c r="V28" s="770"/>
      <c r="W28" s="771"/>
      <c r="X28" s="772"/>
      <c r="Y28" s="3198"/>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8"/>
      <c r="Q29" s="1790" t="str">
        <f t="shared" ref="Q29" si="9">B29</f>
        <v>基础设施水平</v>
      </c>
      <c r="R29" s="770" t="s">
        <v>17</v>
      </c>
      <c r="S29" s="771">
        <f>F29</f>
        <v>100</v>
      </c>
      <c r="T29" s="770" t="s">
        <v>17</v>
      </c>
      <c r="U29" s="771">
        <f>H29</f>
        <v>100</v>
      </c>
      <c r="V29" s="770" t="s">
        <v>17</v>
      </c>
      <c r="W29" s="771">
        <f>J29</f>
        <v>100</v>
      </c>
      <c r="X29" s="772"/>
      <c r="Y29" s="3198"/>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198"/>
      <c r="Q30" s="1790"/>
      <c r="R30" s="770"/>
      <c r="S30" s="771"/>
      <c r="T30" s="770"/>
      <c r="U30" s="771"/>
      <c r="V30" s="770"/>
      <c r="W30" s="771"/>
      <c r="X30" s="772"/>
      <c r="Y30" s="3198"/>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8"/>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8"/>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8"/>
      <c r="Q32" s="1805" t="str">
        <f t="shared" si="8"/>
        <v>毗邻道路的类型与等级</v>
      </c>
      <c r="R32" s="774" t="s">
        <v>17</v>
      </c>
      <c r="S32" s="775">
        <f t="shared" si="10"/>
        <v>100</v>
      </c>
      <c r="T32" s="774" t="s">
        <v>17</v>
      </c>
      <c r="U32" s="775">
        <f t="shared" si="11"/>
        <v>100</v>
      </c>
      <c r="V32" s="774" t="s">
        <v>17</v>
      </c>
      <c r="W32" s="775">
        <f t="shared" si="12"/>
        <v>100</v>
      </c>
      <c r="X32" s="1808"/>
      <c r="Y32" s="3198"/>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198"/>
      <c r="Q33" s="1805"/>
      <c r="R33" s="774"/>
      <c r="S33" s="775"/>
      <c r="T33" s="774"/>
      <c r="U33" s="775"/>
      <c r="V33" s="774"/>
      <c r="W33" s="775"/>
      <c r="X33" s="1808"/>
      <c r="Y33" s="3198"/>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8"/>
      <c r="Q34" s="1805" t="str">
        <f t="shared" si="8"/>
        <v>土地级别</v>
      </c>
      <c r="R34" s="774" t="s">
        <v>17</v>
      </c>
      <c r="S34" s="775">
        <f t="shared" si="10"/>
        <v>100</v>
      </c>
      <c r="T34" s="774" t="s">
        <v>17</v>
      </c>
      <c r="U34" s="775">
        <f t="shared" si="11"/>
        <v>100</v>
      </c>
      <c r="V34" s="774" t="s">
        <v>17</v>
      </c>
      <c r="W34" s="775">
        <f t="shared" si="12"/>
        <v>100</v>
      </c>
      <c r="X34" s="1808"/>
      <c r="Y34" s="3198"/>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8"/>
      <c r="Q35" s="1805">
        <f t="shared" si="8"/>
        <v>111</v>
      </c>
      <c r="R35" s="774" t="s">
        <v>17</v>
      </c>
      <c r="S35" s="775">
        <f t="shared" si="10"/>
        <v>100</v>
      </c>
      <c r="T35" s="774" t="s">
        <v>17</v>
      </c>
      <c r="U35" s="775">
        <f t="shared" si="11"/>
        <v>100</v>
      </c>
      <c r="V35" s="774" t="s">
        <v>17</v>
      </c>
      <c r="W35" s="775">
        <f t="shared" si="12"/>
        <v>100</v>
      </c>
      <c r="X35" s="1808"/>
      <c r="Y35" s="3198"/>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2563</v>
      </c>
      <c r="Q36" s="1805">
        <f t="shared" si="8"/>
        <v>111</v>
      </c>
      <c r="R36" s="774" t="s">
        <v>17</v>
      </c>
      <c r="S36" s="775">
        <f t="shared" si="10"/>
        <v>100</v>
      </c>
      <c r="T36" s="774" t="s">
        <v>17</v>
      </c>
      <c r="U36" s="775">
        <f t="shared" si="11"/>
        <v>100</v>
      </c>
      <c r="V36" s="774" t="s">
        <v>17</v>
      </c>
      <c r="W36" s="775">
        <f t="shared" si="12"/>
        <v>100</v>
      </c>
      <c r="X36" s="1808"/>
      <c r="Y36" s="3202"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05">
        <f t="shared" si="8"/>
        <v>111</v>
      </c>
      <c r="R37" s="777" t="s">
        <v>17</v>
      </c>
      <c r="S37" s="778">
        <f t="shared" si="10"/>
        <v>100</v>
      </c>
      <c r="T37" s="777" t="s">
        <v>17</v>
      </c>
      <c r="U37" s="778">
        <f t="shared" si="11"/>
        <v>100</v>
      </c>
      <c r="V37" s="777" t="s">
        <v>17</v>
      </c>
      <c r="W37" s="778">
        <f t="shared" si="12"/>
        <v>100</v>
      </c>
      <c r="X37" s="779"/>
      <c r="Y37" s="3202"/>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2"/>
      <c r="Q38" s="1805" t="str">
        <f>B38</f>
        <v>宗地面积</v>
      </c>
      <c r="R38" s="774" t="s">
        <v>17</v>
      </c>
      <c r="S38" s="775" t="e">
        <f t="shared" si="10"/>
        <v>#N/A</v>
      </c>
      <c r="T38" s="774" t="s">
        <v>17</v>
      </c>
      <c r="U38" s="775" t="e">
        <f t="shared" si="11"/>
        <v>#N/A</v>
      </c>
      <c r="V38" s="774" t="s">
        <v>17</v>
      </c>
      <c r="W38" s="775" t="e">
        <f t="shared" si="12"/>
        <v>#N/A</v>
      </c>
      <c r="X38" s="1808"/>
      <c r="Y38" s="3202"/>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02"/>
      <c r="Q39" s="1805" t="str">
        <f t="shared" ref="Q39:Q45" si="14">B39</f>
        <v>宗地形状</v>
      </c>
      <c r="R39" s="774" t="s">
        <v>17</v>
      </c>
      <c r="S39" s="775">
        <f t="shared" si="10"/>
        <v>100</v>
      </c>
      <c r="T39" s="774" t="s">
        <v>17</v>
      </c>
      <c r="U39" s="775">
        <f t="shared" si="11"/>
        <v>100</v>
      </c>
      <c r="V39" s="774" t="s">
        <v>17</v>
      </c>
      <c r="W39" s="775">
        <f t="shared" si="12"/>
        <v>100</v>
      </c>
      <c r="X39" s="1808"/>
      <c r="Y39" s="3202"/>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02"/>
      <c r="Q40" s="1805" t="str">
        <f t="shared" si="14"/>
        <v>临街宽度及深度</v>
      </c>
      <c r="R40" s="774" t="s">
        <v>17</v>
      </c>
      <c r="S40" s="775">
        <f t="shared" si="10"/>
        <v>100</v>
      </c>
      <c r="T40" s="774" t="s">
        <v>17</v>
      </c>
      <c r="U40" s="775">
        <f t="shared" si="11"/>
        <v>100</v>
      </c>
      <c r="V40" s="774" t="s">
        <v>17</v>
      </c>
      <c r="W40" s="775">
        <f t="shared" si="12"/>
        <v>100</v>
      </c>
      <c r="X40" s="1808"/>
      <c r="Y40" s="3202"/>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02"/>
      <c r="Q41" s="1805"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02" t="s">
        <v>2563</v>
      </c>
      <c r="Q42" s="1805" t="str">
        <f t="shared" si="14"/>
        <v>工程地质条件</v>
      </c>
      <c r="R42" s="774" t="s">
        <v>17</v>
      </c>
      <c r="S42" s="775">
        <f t="shared" si="10"/>
        <v>100</v>
      </c>
      <c r="T42" s="774" t="s">
        <v>17</v>
      </c>
      <c r="U42" s="775">
        <f t="shared" si="11"/>
        <v>100</v>
      </c>
      <c r="V42" s="774" t="s">
        <v>17</v>
      </c>
      <c r="W42" s="775">
        <f t="shared" si="12"/>
        <v>100</v>
      </c>
      <c r="X42" s="1808"/>
      <c r="Y42" s="3202"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05">
        <f t="shared" si="14"/>
        <v>111</v>
      </c>
      <c r="R43" s="774" t="s">
        <v>17</v>
      </c>
      <c r="S43" s="775">
        <f t="shared" si="10"/>
        <v>100</v>
      </c>
      <c r="T43" s="774" t="s">
        <v>17</v>
      </c>
      <c r="U43" s="775">
        <f t="shared" si="11"/>
        <v>100</v>
      </c>
      <c r="V43" s="774" t="s">
        <v>17</v>
      </c>
      <c r="W43" s="775">
        <f t="shared" si="12"/>
        <v>100</v>
      </c>
      <c r="X43" s="1808"/>
      <c r="Y43" s="3202"/>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05">
        <f t="shared" si="14"/>
        <v>111</v>
      </c>
      <c r="R44" s="774" t="s">
        <v>17</v>
      </c>
      <c r="S44" s="775">
        <f t="shared" si="10"/>
        <v>100</v>
      </c>
      <c r="T44" s="774" t="s">
        <v>17</v>
      </c>
      <c r="U44" s="775">
        <f t="shared" si="11"/>
        <v>100</v>
      </c>
      <c r="V44" s="774" t="s">
        <v>17</v>
      </c>
      <c r="W44" s="775">
        <f t="shared" si="12"/>
        <v>100</v>
      </c>
      <c r="X44" s="1808"/>
      <c r="Y44" s="3202"/>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05">
        <f t="shared" si="14"/>
        <v>111</v>
      </c>
      <c r="R45" s="777" t="s">
        <v>17</v>
      </c>
      <c r="S45" s="778">
        <f t="shared" si="10"/>
        <v>100</v>
      </c>
      <c r="T45" s="777" t="s">
        <v>17</v>
      </c>
      <c r="U45" s="778">
        <f t="shared" si="11"/>
        <v>100</v>
      </c>
      <c r="V45" s="777" t="s">
        <v>17</v>
      </c>
      <c r="W45" s="778">
        <f t="shared" si="12"/>
        <v>100</v>
      </c>
      <c r="X45" s="779"/>
      <c r="Y45" s="3202"/>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195" t="str">
        <f>A46</f>
        <v>成交单价</v>
      </c>
      <c r="Q46" s="3195"/>
      <c r="R46" s="3226">
        <f>E46</f>
        <v>0</v>
      </c>
      <c r="S46" s="3226"/>
      <c r="T46" s="3226">
        <f>G46</f>
        <v>0</v>
      </c>
      <c r="U46" s="3226"/>
      <c r="V46" s="3226">
        <f>I46</f>
        <v>0</v>
      </c>
      <c r="W46" s="322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95" t="str">
        <f>A47</f>
        <v>比较价值（元/平方米）</v>
      </c>
      <c r="Q47" s="3195"/>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92" t="str">
        <f>A48</f>
        <v>估价对象XX用房的比较价值（楼面单价，元/平方米）</v>
      </c>
      <c r="Q48" s="3193"/>
      <c r="R48" s="3259" t="e">
        <f>ROUND(AVERAGE(R47:V47),0)</f>
        <v>#DIV/0!</v>
      </c>
      <c r="S48" s="3259"/>
      <c r="T48" s="3259"/>
      <c r="U48" s="3259"/>
      <c r="V48" s="3259"/>
      <c r="W48" s="32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210" t="s">
        <v>2762</v>
      </c>
      <c r="H55" s="3260"/>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206"/>
      <c r="H56" s="3195"/>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6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6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6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6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62" t="s">
        <v>2795</v>
      </c>
      <c r="D6" s="3263"/>
      <c r="E6" s="3264" t="s">
        <v>2795</v>
      </c>
      <c r="F6" s="3265"/>
      <c r="G6" s="3262" t="s">
        <v>2795</v>
      </c>
      <c r="H6" s="3263"/>
      <c r="I6" s="3262" t="s">
        <v>2795</v>
      </c>
      <c r="J6" s="3263"/>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95"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95"/>
      <c r="Q10" s="1790" t="str">
        <f t="shared" si="6"/>
        <v>土地使用年限（年）</v>
      </c>
      <c r="R10" s="770" t="s">
        <v>17</v>
      </c>
      <c r="S10" s="771">
        <f t="shared" si="0"/>
        <v>113</v>
      </c>
      <c r="T10" s="770" t="s">
        <v>17</v>
      </c>
      <c r="U10" s="771">
        <f t="shared" si="1"/>
        <v>113</v>
      </c>
      <c r="V10" s="770" t="s">
        <v>17</v>
      </c>
      <c r="W10" s="771">
        <f t="shared" si="2"/>
        <v>113</v>
      </c>
      <c r="X10" s="772"/>
      <c r="Y10" s="3020"/>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5"/>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5"/>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7" t="s">
        <v>2558</v>
      </c>
      <c r="Q15" s="1805" t="str">
        <f t="shared" si="6"/>
        <v>产业集聚程度</v>
      </c>
      <c r="R15" s="774" t="s">
        <v>17</v>
      </c>
      <c r="S15" s="775">
        <f t="shared" si="0"/>
        <v>100</v>
      </c>
      <c r="T15" s="774" t="s">
        <v>17</v>
      </c>
      <c r="U15" s="775">
        <f t="shared" si="1"/>
        <v>100</v>
      </c>
      <c r="V15" s="774" t="s">
        <v>17</v>
      </c>
      <c r="W15" s="775">
        <f t="shared" si="2"/>
        <v>100</v>
      </c>
      <c r="X15" s="1808"/>
      <c r="Y15" s="3197"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198"/>
      <c r="Q16" s="1805"/>
      <c r="R16" s="774"/>
      <c r="S16" s="775"/>
      <c r="T16" s="774"/>
      <c r="U16" s="775"/>
      <c r="V16" s="774"/>
      <c r="W16" s="775"/>
      <c r="X16" s="1808"/>
      <c r="Y16" s="3198"/>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8"/>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198"/>
      <c r="Q18" s="1805"/>
      <c r="R18" s="774"/>
      <c r="S18" s="775"/>
      <c r="T18" s="774"/>
      <c r="U18" s="775"/>
      <c r="V18" s="774"/>
      <c r="W18" s="775"/>
      <c r="X18" s="1808"/>
      <c r="Y18" s="3198"/>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8"/>
      <c r="Q19" s="1805" t="str">
        <f t="shared" ref="Q19:Q33" si="8">B19</f>
        <v>区域土地利用方向</v>
      </c>
      <c r="R19" s="774" t="s">
        <v>17</v>
      </c>
      <c r="S19" s="775">
        <f>F19</f>
        <v>100</v>
      </c>
      <c r="T19" s="774" t="s">
        <v>17</v>
      </c>
      <c r="U19" s="775">
        <f>H19</f>
        <v>100</v>
      </c>
      <c r="V19" s="774" t="s">
        <v>17</v>
      </c>
      <c r="W19" s="775">
        <f>J19</f>
        <v>100</v>
      </c>
      <c r="X19" s="1808"/>
      <c r="Y19" s="3198"/>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198"/>
      <c r="Q20" s="1805"/>
      <c r="R20" s="774"/>
      <c r="S20" s="775"/>
      <c r="T20" s="774"/>
      <c r="U20" s="775"/>
      <c r="V20" s="774"/>
      <c r="W20" s="775"/>
      <c r="X20" s="1808"/>
      <c r="Y20" s="3198"/>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8"/>
      <c r="Q21" s="1805" t="str">
        <f t="shared" si="8"/>
        <v>环境状况</v>
      </c>
      <c r="R21" s="774" t="s">
        <v>17</v>
      </c>
      <c r="S21" s="775">
        <f>F21</f>
        <v>100</v>
      </c>
      <c r="T21" s="774" t="s">
        <v>17</v>
      </c>
      <c r="U21" s="775">
        <f>H21</f>
        <v>100</v>
      </c>
      <c r="V21" s="774" t="s">
        <v>17</v>
      </c>
      <c r="W21" s="775">
        <f>J21</f>
        <v>100</v>
      </c>
      <c r="X21" s="1808"/>
      <c r="Y21" s="3198"/>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198"/>
      <c r="Q22" s="1805"/>
      <c r="R22" s="774"/>
      <c r="S22" s="775"/>
      <c r="T22" s="774"/>
      <c r="U22" s="775"/>
      <c r="V22" s="774"/>
      <c r="W22" s="775"/>
      <c r="X22" s="1808"/>
      <c r="Y22" s="3198"/>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8"/>
      <c r="Q23" s="1790" t="str">
        <f t="shared" si="8"/>
        <v>公共配套设施</v>
      </c>
      <c r="R23" s="770" t="s">
        <v>17</v>
      </c>
      <c r="S23" s="771">
        <f>F23</f>
        <v>100</v>
      </c>
      <c r="T23" s="770" t="s">
        <v>17</v>
      </c>
      <c r="U23" s="771">
        <f>H23</f>
        <v>100</v>
      </c>
      <c r="V23" s="770" t="s">
        <v>17</v>
      </c>
      <c r="W23" s="771">
        <f>J23</f>
        <v>100</v>
      </c>
      <c r="X23" s="772"/>
      <c r="Y23" s="3198"/>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198"/>
      <c r="Q24" s="1790"/>
      <c r="R24" s="770"/>
      <c r="S24" s="771"/>
      <c r="T24" s="770"/>
      <c r="U24" s="771"/>
      <c r="V24" s="770"/>
      <c r="W24" s="771"/>
      <c r="X24" s="772"/>
      <c r="Y24" s="3198"/>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8"/>
      <c r="Q25" s="1790" t="str">
        <f t="shared" ref="Q25" si="9">B25</f>
        <v>基础设施水平</v>
      </c>
      <c r="R25" s="770" t="s">
        <v>17</v>
      </c>
      <c r="S25" s="771">
        <f>F25</f>
        <v>100</v>
      </c>
      <c r="T25" s="770" t="s">
        <v>17</v>
      </c>
      <c r="U25" s="771">
        <f>H25</f>
        <v>100</v>
      </c>
      <c r="V25" s="770" t="s">
        <v>17</v>
      </c>
      <c r="W25" s="771">
        <f>J25</f>
        <v>100</v>
      </c>
      <c r="X25" s="772"/>
      <c r="Y25" s="3198"/>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198"/>
      <c r="Q26" s="1790"/>
      <c r="R26" s="770"/>
      <c r="S26" s="771"/>
      <c r="T26" s="770"/>
      <c r="U26" s="771"/>
      <c r="V26" s="770"/>
      <c r="W26" s="771"/>
      <c r="X26" s="772"/>
      <c r="Y26" s="319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8"/>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8"/>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8"/>
      <c r="Q28" s="1805" t="str">
        <f t="shared" si="8"/>
        <v>毗邻道路的类型与等级</v>
      </c>
      <c r="R28" s="774" t="s">
        <v>17</v>
      </c>
      <c r="S28" s="775">
        <f t="shared" si="10"/>
        <v>100</v>
      </c>
      <c r="T28" s="774" t="s">
        <v>17</v>
      </c>
      <c r="U28" s="775">
        <f t="shared" si="11"/>
        <v>100</v>
      </c>
      <c r="V28" s="774" t="s">
        <v>17</v>
      </c>
      <c r="W28" s="775">
        <f t="shared" si="12"/>
        <v>100</v>
      </c>
      <c r="X28" s="1808"/>
      <c r="Y28" s="3198"/>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198"/>
      <c r="Q29" s="1805"/>
      <c r="R29" s="774"/>
      <c r="S29" s="775"/>
      <c r="T29" s="774"/>
      <c r="U29" s="775"/>
      <c r="V29" s="774"/>
      <c r="W29" s="775"/>
      <c r="X29" s="1808"/>
      <c r="Y29" s="3198"/>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8"/>
      <c r="Q30" s="1805" t="str">
        <f t="shared" si="8"/>
        <v>土地级别</v>
      </c>
      <c r="R30" s="774" t="s">
        <v>17</v>
      </c>
      <c r="S30" s="775">
        <f t="shared" si="10"/>
        <v>100</v>
      </c>
      <c r="T30" s="774" t="s">
        <v>17</v>
      </c>
      <c r="U30" s="775">
        <f t="shared" si="11"/>
        <v>100</v>
      </c>
      <c r="V30" s="774" t="s">
        <v>17</v>
      </c>
      <c r="W30" s="775">
        <f t="shared" si="12"/>
        <v>100</v>
      </c>
      <c r="X30" s="1808"/>
      <c r="Y30" s="3198"/>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8"/>
      <c r="Q31" s="1805">
        <f t="shared" si="8"/>
        <v>111</v>
      </c>
      <c r="R31" s="774" t="s">
        <v>17</v>
      </c>
      <c r="S31" s="775">
        <f t="shared" si="10"/>
        <v>100</v>
      </c>
      <c r="T31" s="774" t="s">
        <v>17</v>
      </c>
      <c r="U31" s="775">
        <f t="shared" si="11"/>
        <v>100</v>
      </c>
      <c r="V31" s="774" t="s">
        <v>17</v>
      </c>
      <c r="W31" s="775">
        <f t="shared" si="12"/>
        <v>100</v>
      </c>
      <c r="X31" s="1808"/>
      <c r="Y31" s="3198"/>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2563</v>
      </c>
      <c r="Q32" s="1805">
        <f t="shared" si="8"/>
        <v>111</v>
      </c>
      <c r="R32" s="774" t="s">
        <v>17</v>
      </c>
      <c r="S32" s="775">
        <f t="shared" si="10"/>
        <v>100</v>
      </c>
      <c r="T32" s="774" t="s">
        <v>17</v>
      </c>
      <c r="U32" s="775">
        <f t="shared" si="11"/>
        <v>100</v>
      </c>
      <c r="V32" s="774" t="s">
        <v>17</v>
      </c>
      <c r="W32" s="775">
        <f t="shared" si="12"/>
        <v>100</v>
      </c>
      <c r="X32" s="1808"/>
      <c r="Y32" s="3202"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05">
        <f t="shared" si="8"/>
        <v>111</v>
      </c>
      <c r="R33" s="777" t="s">
        <v>17</v>
      </c>
      <c r="S33" s="778">
        <f t="shared" si="10"/>
        <v>100</v>
      </c>
      <c r="T33" s="777" t="s">
        <v>17</v>
      </c>
      <c r="U33" s="778">
        <f t="shared" si="11"/>
        <v>100</v>
      </c>
      <c r="V33" s="777" t="s">
        <v>17</v>
      </c>
      <c r="W33" s="778">
        <f t="shared" si="12"/>
        <v>100</v>
      </c>
      <c r="X33" s="779"/>
      <c r="Y33" s="3202"/>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05" t="str">
        <f>B34</f>
        <v>宗地面积</v>
      </c>
      <c r="R34" s="774" t="s">
        <v>17</v>
      </c>
      <c r="S34" s="775" t="e">
        <f t="shared" si="10"/>
        <v>#N/A</v>
      </c>
      <c r="T34" s="774" t="s">
        <v>17</v>
      </c>
      <c r="U34" s="775" t="e">
        <f t="shared" si="11"/>
        <v>#N/A</v>
      </c>
      <c r="V34" s="774" t="s">
        <v>17</v>
      </c>
      <c r="W34" s="775" t="e">
        <f t="shared" si="12"/>
        <v>#N/A</v>
      </c>
      <c r="X34" s="1808"/>
      <c r="Y34" s="3202"/>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02"/>
      <c r="Q35" s="1805" t="str">
        <f t="shared" ref="Q35:Q40" si="14">B35</f>
        <v>宗地形状</v>
      </c>
      <c r="R35" s="774" t="s">
        <v>17</v>
      </c>
      <c r="S35" s="775">
        <f t="shared" si="10"/>
        <v>100</v>
      </c>
      <c r="T35" s="774" t="s">
        <v>17</v>
      </c>
      <c r="U35" s="775">
        <f t="shared" si="11"/>
        <v>100</v>
      </c>
      <c r="V35" s="774" t="s">
        <v>17</v>
      </c>
      <c r="W35" s="775">
        <f t="shared" si="12"/>
        <v>100</v>
      </c>
      <c r="X35" s="1808"/>
      <c r="Y35" s="3202"/>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02"/>
      <c r="Q36" s="1805"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02" t="s">
        <v>2563</v>
      </c>
      <c r="Q37" s="1805" t="str">
        <f t="shared" si="14"/>
        <v>工程地质条件</v>
      </c>
      <c r="R37" s="774" t="s">
        <v>17</v>
      </c>
      <c r="S37" s="775">
        <f t="shared" si="10"/>
        <v>100</v>
      </c>
      <c r="T37" s="774" t="s">
        <v>17</v>
      </c>
      <c r="U37" s="775">
        <f t="shared" si="11"/>
        <v>100</v>
      </c>
      <c r="V37" s="774" t="s">
        <v>17</v>
      </c>
      <c r="W37" s="775">
        <f t="shared" si="12"/>
        <v>100</v>
      </c>
      <c r="X37" s="1808"/>
      <c r="Y37" s="3202"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05">
        <f t="shared" si="14"/>
        <v>111</v>
      </c>
      <c r="R38" s="774" t="s">
        <v>17</v>
      </c>
      <c r="S38" s="775">
        <f t="shared" si="10"/>
        <v>100</v>
      </c>
      <c r="T38" s="774" t="s">
        <v>17</v>
      </c>
      <c r="U38" s="775">
        <f t="shared" si="11"/>
        <v>100</v>
      </c>
      <c r="V38" s="774" t="s">
        <v>17</v>
      </c>
      <c r="W38" s="775">
        <f t="shared" si="12"/>
        <v>100</v>
      </c>
      <c r="X38" s="1808"/>
      <c r="Y38" s="3202"/>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05">
        <f t="shared" si="14"/>
        <v>111</v>
      </c>
      <c r="R39" s="774" t="s">
        <v>17</v>
      </c>
      <c r="S39" s="775">
        <f t="shared" si="10"/>
        <v>100</v>
      </c>
      <c r="T39" s="774" t="s">
        <v>17</v>
      </c>
      <c r="U39" s="775">
        <f t="shared" si="11"/>
        <v>100</v>
      </c>
      <c r="V39" s="774" t="s">
        <v>17</v>
      </c>
      <c r="W39" s="775">
        <f t="shared" si="12"/>
        <v>100</v>
      </c>
      <c r="X39" s="1808"/>
      <c r="Y39" s="3202"/>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05">
        <f t="shared" si="14"/>
        <v>111</v>
      </c>
      <c r="R40" s="777" t="s">
        <v>17</v>
      </c>
      <c r="S40" s="778">
        <f t="shared" si="10"/>
        <v>100</v>
      </c>
      <c r="T40" s="777" t="s">
        <v>17</v>
      </c>
      <c r="U40" s="778">
        <f t="shared" si="11"/>
        <v>100</v>
      </c>
      <c r="V40" s="777" t="s">
        <v>17</v>
      </c>
      <c r="W40" s="778">
        <f t="shared" si="12"/>
        <v>100</v>
      </c>
      <c r="X40" s="779"/>
      <c r="Y40" s="3202"/>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195" t="str">
        <f>A41</f>
        <v>成交单价</v>
      </c>
      <c r="Q41" s="3195"/>
      <c r="R41" s="3226">
        <f>E41</f>
        <v>0</v>
      </c>
      <c r="S41" s="3226"/>
      <c r="T41" s="3226">
        <f>G41</f>
        <v>0</v>
      </c>
      <c r="U41" s="3226"/>
      <c r="V41" s="3226">
        <f>I41</f>
        <v>0</v>
      </c>
      <c r="W41" s="322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5" t="str">
        <f>A42</f>
        <v>比较价值（元/平方米）</v>
      </c>
      <c r="Q42" s="3195"/>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92" t="str">
        <f>A43</f>
        <v>估价对象XX用房的比较价值（楼面单价，元/平方米）</v>
      </c>
      <c r="Q43" s="3193"/>
      <c r="R43" s="3259" t="e">
        <f>ROUND(AVERAGE(R42:V42),0)</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210" t="s">
        <v>2762</v>
      </c>
      <c r="H50" s="3260"/>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206"/>
      <c r="H51" s="3195"/>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6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6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6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6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9"/>
      <c r="B4" s="3270"/>
      <c r="C4" s="3270"/>
      <c r="D4" s="3271"/>
      <c r="E4" s="3271"/>
      <c r="F4" s="3271"/>
      <c r="G4" s="3271"/>
      <c r="H4" s="3271"/>
      <c r="I4" s="3271"/>
      <c r="J4" s="3272"/>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73"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74"/>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6" t="s">
        <v>2838</v>
      </c>
      <c r="X8" s="3267"/>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4"/>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8"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4"/>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8"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73"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8"/>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68"/>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5"/>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6"/>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3" t="s">
        <v>2881</v>
      </c>
      <c r="B16" s="2742" t="s">
        <v>2882</v>
      </c>
      <c r="C16" s="2932" t="e">
        <f>ROUND(IF(F17="与级别开发程度一致",0,(G17-E17)/C17),0)</f>
        <v>#DIV/0!</v>
      </c>
      <c r="D16" s="3287" t="s">
        <v>2886</v>
      </c>
      <c r="E16" s="3288"/>
      <c r="F16" s="3287" t="s">
        <v>2883</v>
      </c>
      <c r="G16" s="3288"/>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7"/>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84"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5"/>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86"/>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78" t="s">
        <v>2971</v>
      </c>
      <c r="B90" s="3278"/>
      <c r="C90" s="3278"/>
      <c r="D90" s="3278"/>
      <c r="E90" s="3278"/>
      <c r="F90" s="3278"/>
      <c r="G90" s="3278"/>
      <c r="H90" s="3278"/>
      <c r="I90" s="3278"/>
      <c r="J90" s="3278"/>
      <c r="K90" s="2881"/>
      <c r="L90" s="2881"/>
      <c r="M90" s="2881"/>
      <c r="N90" s="2881"/>
    </row>
    <row r="91" spans="1:37">
      <c r="A91" s="3280" t="s">
        <v>2972</v>
      </c>
      <c r="B91" s="3280" t="s">
        <v>2973</v>
      </c>
      <c r="C91" s="2835" t="s">
        <v>2974</v>
      </c>
      <c r="D91" s="2836"/>
      <c r="E91" s="2836"/>
      <c r="F91" s="2836"/>
      <c r="G91" s="2836"/>
      <c r="H91" s="2836"/>
      <c r="I91" s="2836"/>
      <c r="J91" s="2882"/>
      <c r="K91" s="2883"/>
      <c r="L91" s="2883"/>
      <c r="M91" s="2883"/>
      <c r="N91" s="2883"/>
    </row>
    <row r="92" spans="1:37">
      <c r="A92" s="3280"/>
      <c r="B92" s="328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1"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2"/>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1"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8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8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8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8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8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8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82"/>
      <c r="B108" s="3135"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3"/>
      <c r="B109" s="3136"/>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79" t="s">
        <v>2979</v>
      </c>
      <c r="B110" s="3279"/>
      <c r="C110" s="3279"/>
      <c r="D110" s="3279"/>
      <c r="E110" s="3279"/>
      <c r="F110" s="3279"/>
      <c r="G110" s="3279"/>
      <c r="H110" s="3279"/>
      <c r="I110" s="3279"/>
      <c r="J110" s="3279"/>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1146</v>
      </c>
      <c r="C1" s="3295"/>
      <c r="D1" s="3295"/>
      <c r="E1" s="3295"/>
      <c r="F1" s="3295"/>
      <c r="G1" s="3294" t="s">
        <v>1147</v>
      </c>
      <c r="H1" s="3294"/>
      <c r="I1" s="3294"/>
      <c r="J1" s="3294"/>
      <c r="K1" s="3294"/>
      <c r="L1" s="3294"/>
      <c r="N1" s="3294" t="s">
        <v>1148</v>
      </c>
      <c r="O1" s="3294"/>
      <c r="P1" s="3294"/>
      <c r="Q1" s="3294"/>
      <c r="R1" s="1446"/>
      <c r="S1" s="3294" t="s">
        <v>1149</v>
      </c>
      <c r="T1" s="3294"/>
      <c r="U1" s="3294"/>
      <c r="V1" s="3294"/>
      <c r="X1" s="3293" t="s">
        <v>1150</v>
      </c>
      <c r="Y1" s="3294"/>
      <c r="Z1" s="3294"/>
      <c r="AA1" s="3294"/>
      <c r="AB1" s="3294"/>
      <c r="AD1" s="3293" t="s">
        <v>1151</v>
      </c>
      <c r="AE1" s="3294"/>
      <c r="AF1" s="3294"/>
      <c r="AG1" s="3294"/>
      <c r="AH1" s="3294"/>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1">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9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9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9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6"/>
      <c r="B4" s="2980" t="s">
        <v>1626</v>
      </c>
      <c r="C4" s="2980"/>
      <c r="D4" s="2980"/>
      <c r="E4" s="1956"/>
    </row>
    <row r="5" spans="1:5" ht="16.5" thickTop="1">
      <c r="A5" s="1954"/>
      <c r="B5" s="2978" t="s">
        <v>1618</v>
      </c>
      <c r="C5" s="1957" t="s">
        <v>1619</v>
      </c>
      <c r="D5" s="1040">
        <f ca="1">结果表!H101</f>
        <v>483</v>
      </c>
      <c r="E5" s="1954"/>
    </row>
    <row r="6" spans="1:5" ht="15.75">
      <c r="A6" s="1954"/>
      <c r="B6" s="2978"/>
      <c r="C6" s="1957" t="s">
        <v>1620</v>
      </c>
      <c r="D6" s="1040" t="str">
        <f ca="1">NUMBERSTRING(INT(D5*10000),2)&amp;"元整"</f>
        <v>肆佰捌拾叁万元整</v>
      </c>
      <c r="E6" s="1954"/>
    </row>
    <row r="7" spans="1:5" ht="15.75">
      <c r="A7" s="1954"/>
      <c r="B7" s="2983"/>
      <c r="C7" s="1958" t="s">
        <v>1621</v>
      </c>
      <c r="D7" s="1041">
        <f ca="1">结果表!H102</f>
        <v>4230</v>
      </c>
      <c r="E7" s="1954"/>
    </row>
    <row r="8" spans="1:5" ht="15.75">
      <c r="A8" s="1954"/>
      <c r="B8" s="2984" t="str">
        <f>结果表!E103</f>
        <v>2.估价师知悉的法定优先受偿款</v>
      </c>
      <c r="C8" s="1959" t="s">
        <v>1622</v>
      </c>
      <c r="D8" s="1041">
        <f>结果表!H103</f>
        <v>0</v>
      </c>
      <c r="E8" s="1954"/>
    </row>
    <row r="9" spans="1:5" ht="15.75">
      <c r="A9" s="1954"/>
      <c r="B9" s="2986"/>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77" t="str">
        <f>结果表!E107</f>
        <v>3.房地产抵押价值</v>
      </c>
      <c r="C13" s="1962" t="s">
        <v>1619</v>
      </c>
      <c r="D13" s="1043">
        <f ca="1">结果表!H107</f>
        <v>483</v>
      </c>
      <c r="E13" s="1954"/>
    </row>
    <row r="14" spans="1:5" ht="15.75">
      <c r="A14" s="1954"/>
      <c r="B14" s="2978"/>
      <c r="C14" s="1957" t="s">
        <v>1620</v>
      </c>
      <c r="D14" s="1040" t="str">
        <f ca="1">NUMBERSTRING(INT(D13*10000),2)&amp;"元整"</f>
        <v>肆佰捌拾叁万元整</v>
      </c>
      <c r="E14" s="1954"/>
    </row>
    <row r="15" spans="1:5" ht="15">
      <c r="A15" s="1954"/>
      <c r="B15" s="2983"/>
      <c r="C15" s="1958" t="s">
        <v>1630</v>
      </c>
      <c r="D15" s="1052">
        <f ca="1">结果表!H108</f>
        <v>4230</v>
      </c>
      <c r="E15" s="1954"/>
    </row>
    <row r="16" spans="1:5" ht="15">
      <c r="A16" s="1954"/>
      <c r="B16" s="2984" t="str">
        <f>结果表!E109</f>
        <v>——</v>
      </c>
      <c r="C16" s="1962" t="s">
        <v>1631</v>
      </c>
      <c r="D16" s="1963" t="str">
        <f>结果表!H109</f>
        <v>——</v>
      </c>
      <c r="E16" s="1954"/>
    </row>
    <row r="17" spans="1:5" ht="15.75">
      <c r="A17" s="1954"/>
      <c r="B17" s="2985"/>
      <c r="C17" s="1957" t="s">
        <v>1632</v>
      </c>
      <c r="D17" s="1040" t="e">
        <f>NUMBERSTRING(INT(D16*10000),2)&amp;"元整"</f>
        <v>#VALUE!</v>
      </c>
      <c r="E17" s="1954"/>
    </row>
    <row r="18" spans="1:5" ht="15">
      <c r="A18" s="1954"/>
      <c r="B18" s="2986"/>
      <c r="C18" s="1958" t="s">
        <v>1621</v>
      </c>
      <c r="D18" s="1052" t="str">
        <f>结果表!H110</f>
        <v>——</v>
      </c>
      <c r="E18" s="1954"/>
    </row>
    <row r="19" spans="1:5" ht="15.75">
      <c r="A19" s="1954"/>
      <c r="B19" s="2977" t="str">
        <f>结果表!E111</f>
        <v>——</v>
      </c>
      <c r="C19" s="1962" t="s">
        <v>1619</v>
      </c>
      <c r="D19" s="1041" t="str">
        <f>结果表!H111</f>
        <v>——</v>
      </c>
      <c r="E19" s="1954"/>
    </row>
    <row r="20" spans="1:5" ht="15.75">
      <c r="A20" s="1954"/>
      <c r="B20" s="2978"/>
      <c r="C20" s="1957" t="s">
        <v>1632</v>
      </c>
      <c r="D20" s="1040" t="e">
        <f>NUMBERSTRING(INT(D19*10000),2)&amp;"元整"</f>
        <v>#VALUE!</v>
      </c>
      <c r="E20" s="1954"/>
    </row>
    <row r="21" spans="1:5" ht="15.75" thickBot="1">
      <c r="A21" s="1954"/>
      <c r="B21" s="2979"/>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37" sqref="T37"/>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2" t="s">
        <v>3005</v>
      </c>
      <c r="D1" s="3303"/>
      <c r="E1" s="3303"/>
      <c r="F1" s="3303"/>
      <c r="G1" s="3303"/>
      <c r="H1" s="3303"/>
      <c r="I1" s="3303"/>
      <c r="J1" s="3303"/>
      <c r="K1" s="3303"/>
      <c r="L1" s="3303"/>
      <c r="M1" s="3303"/>
      <c r="N1" s="3303"/>
      <c r="O1" s="3303"/>
      <c r="P1" s="3303"/>
      <c r="Q1" s="3303"/>
      <c r="R1" s="3303"/>
      <c r="S1" s="3304"/>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300(含)-500</v>
      </c>
      <c r="I2" s="705" t="str">
        <f t="shared" si="0"/>
        <v>500(含)-750</v>
      </c>
      <c r="J2" s="705" t="str">
        <f t="shared" si="0"/>
        <v>750(含)-1000</v>
      </c>
      <c r="K2" s="705" t="str">
        <f t="shared" si="0"/>
        <v>1000(含)-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500</v>
      </c>
      <c r="J3" s="710">
        <v>750</v>
      </c>
      <c r="K3" s="1704">
        <v>1000</v>
      </c>
      <c r="L3" s="1704"/>
      <c r="M3" s="709"/>
      <c r="N3" s="710"/>
      <c r="O3" s="710"/>
      <c r="P3" s="1704"/>
      <c r="Q3" s="1704"/>
      <c r="R3" s="709"/>
      <c r="S3" s="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705">
        <f t="shared" ref="C4:E4" si="7">D4-2</f>
        <v>92</v>
      </c>
      <c r="D4" s="1705">
        <f t="shared" si="7"/>
        <v>94</v>
      </c>
      <c r="E4" s="1705">
        <f t="shared" si="7"/>
        <v>96</v>
      </c>
      <c r="F4" s="1705">
        <f>G4-2</f>
        <v>98</v>
      </c>
      <c r="G4" s="1705">
        <v>100</v>
      </c>
      <c r="H4" s="1210">
        <f>G4-2</f>
        <v>98</v>
      </c>
      <c r="I4" s="1210">
        <f t="shared" ref="I4:K4" si="8">H4-2</f>
        <v>96</v>
      </c>
      <c r="J4" s="1210">
        <f t="shared" si="8"/>
        <v>94</v>
      </c>
      <c r="K4" s="1210">
        <f t="shared" si="8"/>
        <v>92</v>
      </c>
      <c r="L4" s="1705"/>
      <c r="M4" s="1210"/>
      <c r="N4" s="1211"/>
      <c r="O4" s="1211"/>
      <c r="P4" s="1705"/>
      <c r="Q4" s="1705"/>
      <c r="R4" s="1210"/>
      <c r="S4" s="1211"/>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9">D6-$T5</f>
        <v>100</v>
      </c>
      <c r="F6" s="1710">
        <f t="shared" si="9"/>
        <v>100</v>
      </c>
      <c r="G6" s="1710">
        <f t="shared" si="9"/>
        <v>100</v>
      </c>
      <c r="H6" s="1710">
        <f t="shared" si="9"/>
        <v>100</v>
      </c>
      <c r="I6" s="1710">
        <f t="shared" si="9"/>
        <v>100</v>
      </c>
      <c r="J6" s="1710">
        <f t="shared" si="9"/>
        <v>100</v>
      </c>
      <c r="K6" s="1710">
        <f t="shared" si="9"/>
        <v>100</v>
      </c>
      <c r="L6" s="1710">
        <f t="shared" si="9"/>
        <v>100</v>
      </c>
      <c r="M6" s="1710">
        <f t="shared" si="9"/>
        <v>100</v>
      </c>
      <c r="N6" s="1710">
        <f t="shared" si="9"/>
        <v>100</v>
      </c>
      <c r="O6" s="1710">
        <f t="shared" si="9"/>
        <v>100</v>
      </c>
      <c r="P6" s="1710">
        <f t="shared" si="9"/>
        <v>100</v>
      </c>
      <c r="Q6" s="1710">
        <f t="shared" si="9"/>
        <v>100</v>
      </c>
      <c r="R6" s="1710">
        <f t="shared" si="9"/>
        <v>100</v>
      </c>
      <c r="S6" s="1710">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10">D8-$T7</f>
        <v>100</v>
      </c>
      <c r="F8" s="1710">
        <f t="shared" si="10"/>
        <v>100</v>
      </c>
      <c r="G8" s="1710">
        <f t="shared" si="10"/>
        <v>100</v>
      </c>
      <c r="H8" s="1710">
        <f t="shared" si="10"/>
        <v>100</v>
      </c>
      <c r="I8" s="1710">
        <f t="shared" si="10"/>
        <v>100</v>
      </c>
      <c r="J8" s="1710">
        <f t="shared" si="10"/>
        <v>100</v>
      </c>
      <c r="K8" s="1710">
        <f t="shared" si="10"/>
        <v>100</v>
      </c>
      <c r="L8" s="1710">
        <f t="shared" si="10"/>
        <v>100</v>
      </c>
      <c r="M8" s="1710">
        <f t="shared" si="10"/>
        <v>100</v>
      </c>
      <c r="N8" s="1710">
        <f t="shared" si="10"/>
        <v>100</v>
      </c>
      <c r="O8" s="1710">
        <f t="shared" si="10"/>
        <v>100</v>
      </c>
      <c r="P8" s="1710">
        <f t="shared" si="10"/>
        <v>100</v>
      </c>
      <c r="Q8" s="1710">
        <f t="shared" si="10"/>
        <v>100</v>
      </c>
      <c r="R8" s="1710">
        <f t="shared" si="10"/>
        <v>100</v>
      </c>
      <c r="S8" s="1710">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1">D10-$T9</f>
        <v>100</v>
      </c>
      <c r="F10" s="1720">
        <f t="shared" si="11"/>
        <v>100</v>
      </c>
      <c r="G10" s="1720">
        <f t="shared" si="11"/>
        <v>100</v>
      </c>
      <c r="H10" s="1720">
        <f t="shared" si="11"/>
        <v>100</v>
      </c>
      <c r="I10" s="1720">
        <f t="shared" si="11"/>
        <v>100</v>
      </c>
      <c r="J10" s="1720">
        <f t="shared" si="11"/>
        <v>100</v>
      </c>
      <c r="K10" s="1720">
        <f t="shared" si="11"/>
        <v>100</v>
      </c>
      <c r="L10" s="1720">
        <f t="shared" si="11"/>
        <v>100</v>
      </c>
      <c r="M10" s="1720">
        <f t="shared" si="11"/>
        <v>100</v>
      </c>
      <c r="N10" s="1720">
        <f t="shared" si="11"/>
        <v>100</v>
      </c>
      <c r="O10" s="1720">
        <f t="shared" si="11"/>
        <v>100</v>
      </c>
      <c r="P10" s="1720">
        <f t="shared" si="11"/>
        <v>100</v>
      </c>
      <c r="Q10" s="1720">
        <f t="shared" si="11"/>
        <v>100</v>
      </c>
      <c r="R10" s="1720">
        <f t="shared" si="11"/>
        <v>100</v>
      </c>
      <c r="S10" s="1720">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5358</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46927</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157" t="s">
        <v>33</v>
      </c>
      <c r="D22" s="3158"/>
      <c r="E22" s="3158"/>
      <c r="F22" s="3158"/>
      <c r="G22" s="3158"/>
      <c r="H22" s="3158"/>
      <c r="I22" s="3158"/>
      <c r="J22" s="3158"/>
      <c r="K22" s="3158"/>
      <c r="L22" s="3158"/>
      <c r="M22" s="3158"/>
      <c r="N22" s="3158"/>
      <c r="O22" s="3158"/>
      <c r="P22" s="3158"/>
      <c r="Q22" s="3301"/>
      <c r="R22" s="716">
        <f ca="1">ROUND(S22*10000/B22,0)</f>
        <v>46927</v>
      </c>
      <c r="S22" s="24">
        <f ca="1">SUM(S24:S10000)</f>
        <v>5358</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3150</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46601</v>
      </c>
      <c r="S24" s="719">
        <f t="shared" ref="S24:S54" ca="1" si="13">ROUND(R24*B24/10000,0)</f>
        <v>482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47533</v>
      </c>
      <c r="S25" s="361">
        <f t="shared" ca="1" si="13"/>
        <v>725</v>
      </c>
    </row>
    <row r="26" spans="1:45">
      <c r="A26" s="159" t="str">
        <f>'数据-基础表'!C15</f>
        <v>17层19C7</v>
      </c>
      <c r="B26" s="59">
        <f>'数据-基础表'!I15</f>
        <v>180.72</v>
      </c>
      <c r="C26" s="24">
        <f t="shared" ref="C26:C89" si="14">IF(B26="",1,(LOOKUP(B26,$3:$3,$4:$4)-LOOKUP($B$24,$3:$3,$4:$4)+100)/100)</f>
        <v>1.02</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1</v>
      </c>
      <c r="R26" s="716">
        <f t="shared" ref="R26:R89" ca="1" si="22">IF(B26="",0,ROUND($R$24*C26*E26*G26*I26*K26*M26*O26*Q26,0))</f>
        <v>47533</v>
      </c>
      <c r="S26" s="361">
        <f t="shared" ca="1" si="13"/>
        <v>859</v>
      </c>
    </row>
    <row r="27" spans="1:45">
      <c r="A27" s="159" t="str">
        <f>'数据-基础表'!C16</f>
        <v>17层19C8</v>
      </c>
      <c r="B27" s="59">
        <f>'数据-基础表'!I16</f>
        <v>121.95</v>
      </c>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1</v>
      </c>
      <c r="R27" s="716">
        <f t="shared" ca="1" si="22"/>
        <v>46601</v>
      </c>
      <c r="S27" s="361">
        <f t="shared" ca="1" si="13"/>
        <v>568</v>
      </c>
    </row>
    <row r="28" spans="1:45">
      <c r="A28" s="159" t="str">
        <f>'数据-基础表'!C17</f>
        <v>17层19C9</v>
      </c>
      <c r="B28" s="59">
        <f>'数据-基础表'!I17</f>
        <v>124.27</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1</v>
      </c>
      <c r="R28" s="716">
        <f t="shared" ca="1" si="22"/>
        <v>46601</v>
      </c>
      <c r="S28" s="361">
        <f t="shared" ca="1" si="13"/>
        <v>579</v>
      </c>
    </row>
    <row r="29" spans="1:45">
      <c r="A29" s="159" t="str">
        <f>'数据-基础表'!C18</f>
        <v>17层19C10</v>
      </c>
      <c r="B29" s="59">
        <f>'数据-基础表'!I18</f>
        <v>105.34</v>
      </c>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1</v>
      </c>
      <c r="R29" s="716">
        <f t="shared" ca="1" si="22"/>
        <v>46601</v>
      </c>
      <c r="S29" s="361">
        <f t="shared" ca="1" si="13"/>
        <v>491</v>
      </c>
    </row>
    <row r="30" spans="1:45">
      <c r="A30" s="159" t="str">
        <f>'数据-基础表'!C19</f>
        <v>17层19C11</v>
      </c>
      <c r="B30" s="59">
        <f>'数据-基础表'!I19</f>
        <v>103.53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1</v>
      </c>
      <c r="R30" s="716">
        <f t="shared" ca="1" si="22"/>
        <v>46601</v>
      </c>
      <c r="S30" s="361">
        <f t="shared" ca="1" si="13"/>
        <v>482</v>
      </c>
    </row>
    <row r="31" spans="1:45">
      <c r="A31" s="159" t="str">
        <f>'数据-基础表'!C20</f>
        <v>17层19C12</v>
      </c>
      <c r="B31" s="59">
        <f>'数据-基础表'!I20</f>
        <v>165.95</v>
      </c>
      <c r="C31" s="24">
        <f t="shared" si="14"/>
        <v>1.02</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1</v>
      </c>
      <c r="R31" s="716">
        <f t="shared" ca="1" si="22"/>
        <v>47533</v>
      </c>
      <c r="S31" s="361">
        <f t="shared" ca="1" si="13"/>
        <v>789</v>
      </c>
    </row>
    <row r="32" spans="1:45">
      <c r="A32" s="159" t="str">
        <f>'数据-基础表'!C21</f>
        <v>17层19C13</v>
      </c>
      <c r="B32" s="59">
        <f>'数据-基础表'!I21</f>
        <v>83.86</v>
      </c>
      <c r="C32" s="24">
        <f t="shared" si="14"/>
        <v>0.98</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ca="1" si="22"/>
        <v>45669</v>
      </c>
      <c r="S32" s="361">
        <f t="shared" ca="1" si="13"/>
        <v>383</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31636</v>
      </c>
      <c r="C2" s="2" t="s">
        <v>133</v>
      </c>
      <c r="D2" s="243"/>
      <c r="E2" s="243"/>
      <c r="F2" s="243"/>
      <c r="G2" s="243"/>
    </row>
    <row r="3" spans="1:7" s="244" customFormat="1" ht="18" customHeight="1" thickBot="1">
      <c r="A3" s="247" t="s">
        <v>85</v>
      </c>
      <c r="B3" s="248">
        <f ca="1">ROUND(B2*10000/'数据-汇总表'!E3,0)</f>
        <v>277079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516</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2031</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5287</v>
      </c>
      <c r="D27" s="279">
        <f>C29</f>
        <v>6.3E-3</v>
      </c>
      <c r="E27" s="280" t="s">
        <v>126</v>
      </c>
      <c r="F27" s="290">
        <f>'数据-取费表'!Q16</f>
        <v>0.25</v>
      </c>
      <c r="G27" s="291" t="s">
        <v>1066</v>
      </c>
    </row>
    <row r="28" spans="1:7" s="258" customFormat="1" ht="13.5" customHeight="1">
      <c r="A28" s="951" t="s">
        <v>794</v>
      </c>
      <c r="B28" s="292" t="s">
        <v>1059</v>
      </c>
      <c r="C28" s="293">
        <f>ROUND((C5+C19+C20)*F27*'数据-取费表'!B21/'数据-取费表'!B20,0)</f>
        <v>5287</v>
      </c>
      <c r="D28" s="279"/>
      <c r="E28" s="280"/>
      <c r="F28" s="290"/>
      <c r="G28" s="291"/>
    </row>
    <row r="29" spans="1:7" s="258" customFormat="1" ht="13.5" customHeight="1">
      <c r="A29" s="951" t="s">
        <v>792</v>
      </c>
      <c r="B29" s="292" t="s">
        <v>1060</v>
      </c>
      <c r="C29" s="282">
        <f>ROUND(C21*F27*'数据-取费表'!B21/'数据-取费表'!B20,4)</f>
        <v>6.3E-3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11</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22</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62" t="s">
        <v>121</v>
      </c>
    </row>
    <row r="43" spans="1:7" ht="13.5" customHeight="1">
      <c r="A43" s="951" t="s">
        <v>792</v>
      </c>
      <c r="B43" s="259" t="s">
        <v>1061</v>
      </c>
      <c r="C43" s="282">
        <f ca="1">ROUND(IF('数据-取费表'!B22&lt;=1,C39*F22*'数据-取费表'!B21/2,C39*(POWER((1+F22),'数据-取费表'!B21/2)-1)),0)</f>
        <v>1</v>
      </c>
      <c r="D43" s="282"/>
      <c r="E43" s="282"/>
      <c r="F43" s="283"/>
      <c r="G43" s="3163"/>
    </row>
    <row r="44" spans="1:7" ht="13.5" customHeight="1">
      <c r="A44" s="951" t="s">
        <v>793</v>
      </c>
      <c r="B44" s="259" t="s">
        <v>1063</v>
      </c>
      <c r="C44" s="282">
        <f ca="1">ROUND(IF('数据-取费表'!B22&lt;=1,C40*F22*'数据-取费表'!B21/2,C40*(POWER((1+F22),'数据-取费表'!B21/2)-1)),4)</f>
        <v>1.1999999999999999E-3</v>
      </c>
      <c r="D44" s="282"/>
      <c r="E44" s="282"/>
      <c r="F44" s="283"/>
      <c r="G44" s="3164"/>
    </row>
    <row r="45" spans="1:7" s="258" customFormat="1" ht="13.5" customHeight="1">
      <c r="A45" s="948" t="s">
        <v>786</v>
      </c>
      <c r="B45" s="288" t="s">
        <v>112</v>
      </c>
      <c r="C45" s="289">
        <f>C46</f>
        <v>115</v>
      </c>
      <c r="D45" s="279">
        <f>C47</f>
        <v>6.3E-3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6.3E-3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v>
      </c>
      <c r="D49" s="276"/>
      <c r="E49" s="276"/>
      <c r="F49" s="308"/>
      <c r="G49" s="278" t="s">
        <v>1070</v>
      </c>
    </row>
    <row r="50" spans="1:7" s="302" customFormat="1" ht="24">
      <c r="A50" s="948" t="s">
        <v>789</v>
      </c>
      <c r="B50" s="254" t="s">
        <v>124</v>
      </c>
      <c r="C50" s="276"/>
      <c r="D50" s="276"/>
      <c r="E50" s="276"/>
      <c r="F50" s="308">
        <f>IF('数据-取费表'!B24=0,'数据-取费表'!N16,1)</f>
        <v>0.76</v>
      </c>
      <c r="G50" s="291" t="s">
        <v>125</v>
      </c>
    </row>
    <row r="51" spans="1:7" ht="16.5" customHeight="1">
      <c r="A51" s="948" t="s">
        <v>790</v>
      </c>
      <c r="B51" s="254" t="s">
        <v>132</v>
      </c>
      <c r="C51" s="276">
        <f ca="1">ROUND(C49*F50,0)</f>
        <v>496</v>
      </c>
      <c r="D51" s="276"/>
      <c r="E51" s="276"/>
      <c r="F51" s="308"/>
      <c r="G51" s="278" t="s">
        <v>64</v>
      </c>
    </row>
    <row r="52" spans="1:7" s="252" customFormat="1" ht="16.5" thickBot="1">
      <c r="A52" s="309" t="s">
        <v>65</v>
      </c>
      <c r="B52" s="310"/>
      <c r="C52" s="311">
        <f ca="1">C31+C51</f>
        <v>31636</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40"/>
  <sheetViews>
    <sheetView topLeftCell="E4" zoomScale="160" zoomScaleNormal="160" workbookViewId="0">
      <selection activeCell="N20" sqref="N20"/>
    </sheetView>
  </sheetViews>
  <sheetFormatPr defaultRowHeight="13.5"/>
  <sheetData>
    <row r="21" spans="1:1">
      <c r="A21" s="2965" t="s">
        <v>3158</v>
      </c>
    </row>
    <row r="22" spans="1:1">
      <c r="A22" s="2965" t="s">
        <v>3159</v>
      </c>
    </row>
    <row r="23" spans="1:1">
      <c r="A23" s="2965" t="s">
        <v>3160</v>
      </c>
    </row>
    <row r="40" spans="1:1">
      <c r="A40" s="2967" t="s">
        <v>3161</v>
      </c>
    </row>
  </sheetData>
  <phoneticPr fontId="143" type="noConversion"/>
  <hyperlinks>
    <hyperlink ref="A40"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1637</v>
      </c>
      <c r="B2" s="2997" t="s">
        <v>1638</v>
      </c>
      <c r="C2" s="2997" t="s">
        <v>1639</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483</v>
      </c>
      <c r="I4" s="1044">
        <f ca="1">结果表!I118</f>
        <v>4230</v>
      </c>
    </row>
    <row r="5" spans="1:9" ht="30" customHeight="1">
      <c r="A5" s="2991" t="s">
        <v>1636</v>
      </c>
      <c r="B5" s="2991"/>
      <c r="C5" s="2991"/>
      <c r="D5" s="2992" t="e">
        <f ca="1">结果表!D119</f>
        <v>#REF!</v>
      </c>
      <c r="E5" s="2992"/>
      <c r="F5" s="2992" t="e">
        <f ca="1">结果表!F119</f>
        <v>#REF!</v>
      </c>
      <c r="G5" s="2992"/>
      <c r="H5" s="2992" t="str">
        <f ca="1">结果表!H119</f>
        <v>肆佰捌拾叁万元整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1636</v>
      </c>
      <c r="B7" s="2991"/>
      <c r="C7" s="2991"/>
      <c r="D7" s="2993" t="str">
        <f>结果表!D121</f>
        <v>零元整</v>
      </c>
      <c r="E7" s="2994"/>
      <c r="F7" s="2994"/>
      <c r="G7" s="2994"/>
      <c r="H7" s="2994"/>
      <c r="I7" s="2995"/>
    </row>
    <row r="8" spans="1:9" ht="15.75">
      <c r="A8" s="2990" t="str">
        <f>结果表!A122</f>
        <v>房地产抵押价值</v>
      </c>
      <c r="B8" s="2990"/>
      <c r="C8" s="2990"/>
      <c r="D8" s="2990">
        <f ca="1">结果表!D122</f>
        <v>483</v>
      </c>
      <c r="E8" s="2990"/>
      <c r="F8" s="2990"/>
      <c r="G8" s="2990"/>
      <c r="H8" s="2990"/>
      <c r="I8" s="2990"/>
    </row>
    <row r="9" spans="1:9" ht="15">
      <c r="A9" s="2991" t="s">
        <v>1636</v>
      </c>
      <c r="B9" s="2991"/>
      <c r="C9" s="2991"/>
      <c r="D9" s="2992" t="str">
        <f ca="1">结果表!D123</f>
        <v>肆佰捌拾叁万元整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1636</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04" t="s">
        <v>1658</v>
      </c>
      <c r="B1" s="3004"/>
      <c r="C1" s="3004"/>
      <c r="D1" s="3004"/>
    </row>
    <row r="2" spans="1:4" ht="18">
      <c r="A2" s="3005" t="s">
        <v>1642</v>
      </c>
      <c r="B2" s="3005"/>
      <c r="C2" s="3005"/>
      <c r="D2" s="3005"/>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3005" t="s">
        <v>1648</v>
      </c>
      <c r="B6" s="3005"/>
      <c r="C6" s="3005"/>
      <c r="D6" s="3005"/>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3006" t="s">
        <v>1651</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2998"/>
      <c r="C15" s="2998"/>
      <c r="D15" s="2998"/>
    </row>
    <row r="16" spans="1:4" ht="30" customHeight="1">
      <c r="A16" s="3000" t="s">
        <v>1652</v>
      </c>
      <c r="B16" s="3000"/>
      <c r="C16" s="3000"/>
      <c r="D16" s="3000"/>
    </row>
    <row r="17" spans="1:4" ht="144" customHeight="1">
      <c r="A17" s="3000" t="s">
        <v>1653</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1654</v>
      </c>
      <c r="B22" s="3002"/>
      <c r="C22" s="3002"/>
      <c r="D22" s="3002"/>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12" t="s">
        <v>1665</v>
      </c>
      <c r="B15" s="3007" t="s">
        <v>136</v>
      </c>
      <c r="C15" s="3008"/>
    </row>
    <row r="16" spans="1:7" ht="13.5">
      <c r="A16" s="3013"/>
      <c r="B16" s="3007" t="s">
        <v>69</v>
      </c>
      <c r="C16" s="3008"/>
    </row>
    <row r="17" spans="1:3" ht="13.5">
      <c r="A17" s="3013"/>
      <c r="B17" s="3010" t="s">
        <v>1666</v>
      </c>
      <c r="C17" s="1995" t="s">
        <v>1665</v>
      </c>
    </row>
    <row r="18" spans="1:3" ht="13.5">
      <c r="A18" s="3013"/>
      <c r="B18" s="3010"/>
      <c r="C18" s="1995" t="s">
        <v>1667</v>
      </c>
    </row>
    <row r="19" spans="1:3" ht="13.5">
      <c r="A19" s="3013"/>
      <c r="B19" s="3010"/>
      <c r="C19" s="1995" t="s">
        <v>1668</v>
      </c>
    </row>
    <row r="20" spans="1:3" ht="13.5">
      <c r="A20" s="3014"/>
      <c r="B20" s="3009" t="s">
        <v>1669</v>
      </c>
      <c r="C20" s="3008"/>
    </row>
    <row r="21" spans="1:3" ht="13.5">
      <c r="A21" s="1996" t="s">
        <v>1670</v>
      </c>
      <c r="B21" s="1997"/>
      <c r="C21" s="1998"/>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1995" t="s">
        <v>1676</v>
      </c>
    </row>
    <row r="26" spans="1:3" ht="13.5">
      <c r="A26" s="3011"/>
      <c r="B26" s="3010"/>
      <c r="C26" s="1995" t="s">
        <v>1677</v>
      </c>
    </row>
    <row r="27" spans="1:3" ht="13.5">
      <c r="A27" s="3011"/>
      <c r="B27" s="3010"/>
      <c r="C27" s="1995" t="s">
        <v>1678</v>
      </c>
    </row>
    <row r="28" spans="1:3" ht="13.5">
      <c r="A28" s="3011"/>
      <c r="B28" s="3010"/>
      <c r="C28" s="1995" t="s">
        <v>1679</v>
      </c>
    </row>
    <row r="29" spans="1:3" ht="13.5">
      <c r="A29" s="3011"/>
      <c r="B29" s="3010"/>
      <c r="C29" s="1995" t="s">
        <v>1680</v>
      </c>
    </row>
    <row r="30" spans="1:3" ht="13.5">
      <c r="A30" s="3011"/>
      <c r="B30" s="3010"/>
      <c r="C30" s="1995" t="s">
        <v>1681</v>
      </c>
    </row>
    <row r="31" spans="1:3" ht="13.5">
      <c r="A31" s="3011"/>
      <c r="B31" s="3010"/>
      <c r="C31" s="1995" t="s">
        <v>1682</v>
      </c>
    </row>
    <row r="32" spans="1:3" ht="13.5">
      <c r="A32" s="3011"/>
      <c r="B32" s="3010"/>
      <c r="C32" s="1995" t="s">
        <v>1683</v>
      </c>
    </row>
    <row r="33" spans="1:3" ht="13.5">
      <c r="A33" s="3011"/>
      <c r="B33" s="3010"/>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43607</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5" t="s">
        <v>843</v>
      </c>
      <c r="B25" s="3015"/>
      <c r="C25" s="3015"/>
      <c r="D25" s="3015"/>
      <c r="E25" s="3015"/>
      <c r="F25" s="3015"/>
      <c r="G25" s="3015"/>
    </row>
    <row r="26" spans="1:7" s="1025" customFormat="1" ht="24" customHeight="1">
      <c r="A26" s="3016" t="s">
        <v>844</v>
      </c>
      <c r="B26" s="3016"/>
      <c r="C26" s="3017"/>
      <c r="D26" s="3018" t="s">
        <v>845</v>
      </c>
      <c r="E26" s="3016"/>
      <c r="F26" s="3016"/>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2019-05-22T07:26:38Z</dcterms:modified>
</cp:coreProperties>
</file>