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租金"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 i="31" l="1"/>
  <c r="J4" i="31" s="1"/>
  <c r="K4" i="31" s="1"/>
  <c r="H122" i="78"/>
  <c r="I122" i="78" s="1"/>
  <c r="J122" i="78" s="1"/>
  <c r="G122" i="78"/>
  <c r="E122" i="78"/>
  <c r="D122" i="78" s="1"/>
  <c r="C122" i="78" s="1"/>
  <c r="J122" i="34"/>
  <c r="E4" i="31"/>
  <c r="D4" i="31" s="1"/>
  <c r="C4" i="31" s="1"/>
  <c r="F4" i="31"/>
  <c r="H4" i="31"/>
  <c r="D122" i="34"/>
  <c r="C122" i="34" s="1"/>
  <c r="E122" i="34"/>
  <c r="H122" i="34"/>
  <c r="I122" i="34" s="1"/>
  <c r="G122" i="34"/>
  <c r="C34" i="78"/>
  <c r="G34" i="78" s="1"/>
  <c r="F60" i="34"/>
  <c r="E60" i="34"/>
  <c r="D60" i="34"/>
  <c r="I34" i="78" l="1"/>
  <c r="E34" i="78"/>
  <c r="B131" i="78" l="1"/>
  <c r="B129" i="78"/>
  <c r="B127" i="78"/>
  <c r="G126" i="78"/>
  <c r="E126" i="78"/>
  <c r="F126" i="78" s="1"/>
  <c r="D126" i="78"/>
  <c r="D124" i="78"/>
  <c r="E124" i="78" s="1"/>
  <c r="F124" i="78" s="1"/>
  <c r="G124" i="78" s="1"/>
  <c r="H124" i="78" s="1"/>
  <c r="I124" i="78" s="1"/>
  <c r="J124" i="78" s="1"/>
  <c r="K124" i="78" s="1"/>
  <c r="L124" i="78" s="1"/>
  <c r="M124" i="78" s="1"/>
  <c r="E120" i="78"/>
  <c r="F120" i="78" s="1"/>
  <c r="G120" i="78" s="1"/>
  <c r="H120" i="78" s="1"/>
  <c r="I120" i="78" s="1"/>
  <c r="J120" i="78" s="1"/>
  <c r="K120" i="78" s="1"/>
  <c r="L120" i="78" s="1"/>
  <c r="M120" i="78" s="1"/>
  <c r="D120" i="78"/>
  <c r="G118" i="78"/>
  <c r="E118" i="78"/>
  <c r="F118" i="78" s="1"/>
  <c r="D118" i="78"/>
  <c r="G116" i="78"/>
  <c r="H116" i="78" s="1"/>
  <c r="I116" i="78" s="1"/>
  <c r="J116" i="78" s="1"/>
  <c r="K116" i="78" s="1"/>
  <c r="L116" i="78" s="1"/>
  <c r="M116" i="78" s="1"/>
  <c r="E116" i="78"/>
  <c r="F116" i="78" s="1"/>
  <c r="D116" i="78"/>
  <c r="G114" i="78"/>
  <c r="H114" i="78" s="1"/>
  <c r="I114" i="78" s="1"/>
  <c r="J114" i="78" s="1"/>
  <c r="K114" i="78" s="1"/>
  <c r="L114" i="78" s="1"/>
  <c r="M114" i="78" s="1"/>
  <c r="E114" i="78"/>
  <c r="F114" i="78" s="1"/>
  <c r="D114" i="78"/>
  <c r="G112" i="78"/>
  <c r="H112" i="78" s="1"/>
  <c r="I112" i="78" s="1"/>
  <c r="J112" i="78" s="1"/>
  <c r="K112" i="78" s="1"/>
  <c r="L112" i="78" s="1"/>
  <c r="M112" i="78" s="1"/>
  <c r="E112" i="78"/>
  <c r="F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D90" i="78"/>
  <c r="E90" i="78" s="1"/>
  <c r="F90" i="78" s="1"/>
  <c r="G90" i="78" s="1"/>
  <c r="H90" i="78" s="1"/>
  <c r="I90" i="78" s="1"/>
  <c r="J90" i="78" s="1"/>
  <c r="K90" i="78" s="1"/>
  <c r="L90" i="78" s="1"/>
  <c r="M90" i="78" s="1"/>
  <c r="B89" i="78"/>
  <c r="G88" i="78"/>
  <c r="H88" i="78" s="1"/>
  <c r="I88" i="78" s="1"/>
  <c r="J88" i="78" s="1"/>
  <c r="K88" i="78" s="1"/>
  <c r="L88" i="78" s="1"/>
  <c r="M88" i="78" s="1"/>
  <c r="E88" i="78"/>
  <c r="F88" i="78" s="1"/>
  <c r="D88" i="78"/>
  <c r="E86" i="78"/>
  <c r="F86" i="78" s="1"/>
  <c r="G86" i="78" s="1"/>
  <c r="D86" i="78"/>
  <c r="G84" i="78"/>
  <c r="E84" i="78"/>
  <c r="F84" i="78" s="1"/>
  <c r="D84" i="78"/>
  <c r="E82" i="78"/>
  <c r="F82" i="78" s="1"/>
  <c r="G82" i="78" s="1"/>
  <c r="D82" i="78"/>
  <c r="G80" i="78"/>
  <c r="E80" i="78"/>
  <c r="F80" i="78" s="1"/>
  <c r="D80" i="78"/>
  <c r="E78" i="78"/>
  <c r="F78" i="78" s="1"/>
  <c r="G78" i="78" s="1"/>
  <c r="D78" i="78"/>
  <c r="B75" i="78"/>
  <c r="B73" i="78"/>
  <c r="B71" i="78"/>
  <c r="F70" i="78"/>
  <c r="G70" i="78" s="1"/>
  <c r="H70" i="78" s="1"/>
  <c r="I70" i="78" s="1"/>
  <c r="J70" i="78" s="1"/>
  <c r="K70" i="78" s="1"/>
  <c r="L70" i="78" s="1"/>
  <c r="M70" i="78" s="1"/>
  <c r="D70" i="78"/>
  <c r="E70" i="78" s="1"/>
  <c r="M68" i="78"/>
  <c r="L68" i="78"/>
  <c r="K68" i="78"/>
  <c r="J68" i="78"/>
  <c r="I68" i="78"/>
  <c r="H68" i="78"/>
  <c r="G68" i="78"/>
  <c r="F68" i="78"/>
  <c r="E68" i="78"/>
  <c r="D68" i="78"/>
  <c r="C68" i="78"/>
  <c r="G67" i="78"/>
  <c r="H67" i="78" s="1"/>
  <c r="I67" i="78" s="1"/>
  <c r="F67" i="78"/>
  <c r="C64" i="78"/>
  <c r="G60" i="78"/>
  <c r="H60" i="78" s="1"/>
  <c r="I60" i="78" s="1"/>
  <c r="J60" i="78" s="1"/>
  <c r="E60" i="78"/>
  <c r="F60" i="78" s="1"/>
  <c r="D60" i="78"/>
  <c r="I55" i="78"/>
  <c r="J55" i="78" s="1"/>
  <c r="G55" i="78"/>
  <c r="H55" i="78" s="1"/>
  <c r="E55" i="78"/>
  <c r="F55" i="78" s="1"/>
  <c r="P50" i="78"/>
  <c r="P49" i="78"/>
  <c r="V48" i="78"/>
  <c r="T48" i="78"/>
  <c r="R48" i="78"/>
  <c r="P48" i="78"/>
  <c r="Q47" i="78"/>
  <c r="Z47" i="78" s="1"/>
  <c r="J47" i="78"/>
  <c r="W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I33" i="78"/>
  <c r="J33" i="78" s="1"/>
  <c r="G33" i="78"/>
  <c r="H33" i="78" s="1"/>
  <c r="AB33" i="78" s="1"/>
  <c r="E33" i="78"/>
  <c r="F33" i="78" s="1"/>
  <c r="Q32" i="78"/>
  <c r="Z32" i="78" s="1"/>
  <c r="J32" i="78"/>
  <c r="AC32" i="78" s="1"/>
  <c r="H32" i="78"/>
  <c r="AB32" i="78" s="1"/>
  <c r="F32" i="78"/>
  <c r="AA32" i="78" s="1"/>
  <c r="AC31" i="78"/>
  <c r="Q31" i="78"/>
  <c r="Z31" i="78" s="1"/>
  <c r="J31" i="78"/>
  <c r="W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9" i="78" s="1"/>
  <c r="D59" i="78" s="1"/>
  <c r="E59" i="78" s="1"/>
  <c r="F59" i="78" s="1"/>
  <c r="G59" i="78" s="1"/>
  <c r="H59" i="78" s="1"/>
  <c r="I59" i="78" s="1"/>
  <c r="J59" i="78" s="1"/>
  <c r="K59" i="78" s="1"/>
  <c r="L59" i="78" s="1"/>
  <c r="M59" i="78" s="1"/>
  <c r="N59" i="78" s="1"/>
  <c r="O59" i="78" s="1"/>
  <c r="D3" i="78"/>
  <c r="D2" i="78"/>
  <c r="F7" i="78" l="1"/>
  <c r="J7" i="78"/>
  <c r="S8" i="78"/>
  <c r="W8" i="78"/>
  <c r="AB8" i="78"/>
  <c r="S9" i="78"/>
  <c r="W9" i="78"/>
  <c r="U10" i="78"/>
  <c r="S11" i="78"/>
  <c r="W11" i="78"/>
  <c r="U12" i="78"/>
  <c r="S13" i="78"/>
  <c r="W13" i="78"/>
  <c r="U14" i="78"/>
  <c r="U15" i="78"/>
  <c r="U17" i="78"/>
  <c r="U19" i="78"/>
  <c r="U21" i="78"/>
  <c r="U23" i="78"/>
  <c r="S25" i="78"/>
  <c r="W25" i="78"/>
  <c r="U27" i="78"/>
  <c r="S28" i="78"/>
  <c r="W28" i="78"/>
  <c r="U29" i="78"/>
  <c r="S30" i="78"/>
  <c r="W30" i="78"/>
  <c r="AA33" i="78"/>
  <c r="S33" i="78"/>
  <c r="AC33" i="78"/>
  <c r="W33" i="78"/>
  <c r="U33" i="78"/>
  <c r="H7" i="78"/>
  <c r="U9" i="78"/>
  <c r="S10" i="78"/>
  <c r="W10" i="78"/>
  <c r="U11" i="78"/>
  <c r="S12" i="78"/>
  <c r="W12" i="78"/>
  <c r="U13" i="78"/>
  <c r="S14" i="78"/>
  <c r="W14" i="78"/>
  <c r="S15" i="78"/>
  <c r="W15" i="78"/>
  <c r="S17" i="78"/>
  <c r="W17" i="78"/>
  <c r="S19" i="78"/>
  <c r="W19" i="78"/>
  <c r="S21" i="78"/>
  <c r="W21" i="78"/>
  <c r="S23" i="78"/>
  <c r="W23" i="78"/>
  <c r="U25" i="78"/>
  <c r="S27" i="78"/>
  <c r="W27" i="78"/>
  <c r="U28" i="78"/>
  <c r="S29" i="78"/>
  <c r="W29" i="78"/>
  <c r="U30" i="78"/>
  <c r="S31" i="78"/>
  <c r="U32" i="78"/>
  <c r="S34" i="78"/>
  <c r="W34" i="78"/>
  <c r="U35" i="78"/>
  <c r="S36" i="78"/>
  <c r="W36" i="78"/>
  <c r="U37" i="78"/>
  <c r="S38" i="78"/>
  <c r="W38" i="78"/>
  <c r="U39" i="78"/>
  <c r="S40" i="78"/>
  <c r="W40" i="78"/>
  <c r="U41" i="78"/>
  <c r="S42" i="78"/>
  <c r="W42" i="78"/>
  <c r="U43" i="78"/>
  <c r="S44" i="78"/>
  <c r="W44" i="78"/>
  <c r="U45" i="78"/>
  <c r="S46" i="78"/>
  <c r="W46" i="78"/>
  <c r="U47" i="78"/>
  <c r="AC47" i="78"/>
  <c r="U31" i="78"/>
  <c r="S32" i="78"/>
  <c r="W32" i="78"/>
  <c r="U34" i="78"/>
  <c r="S35" i="78"/>
  <c r="W35" i="78"/>
  <c r="U36" i="78"/>
  <c r="S37" i="78"/>
  <c r="W37" i="78"/>
  <c r="U38" i="78"/>
  <c r="S39" i="78"/>
  <c r="W39" i="78"/>
  <c r="U40" i="78"/>
  <c r="S41" i="78"/>
  <c r="W41" i="78"/>
  <c r="U42" i="78"/>
  <c r="S43" i="78"/>
  <c r="W43" i="78"/>
  <c r="U44" i="78"/>
  <c r="S45" i="78"/>
  <c r="W45" i="78"/>
  <c r="U46" i="78"/>
  <c r="S47" i="78"/>
  <c r="B32" i="31"/>
  <c r="B31" i="31"/>
  <c r="B30" i="31"/>
  <c r="B29" i="31"/>
  <c r="B28" i="31"/>
  <c r="B27" i="31"/>
  <c r="B26" i="31"/>
  <c r="B25" i="31"/>
  <c r="B24" i="31"/>
  <c r="A32" i="31"/>
  <c r="A31" i="31"/>
  <c r="A30" i="31"/>
  <c r="A29" i="31"/>
  <c r="A28" i="31"/>
  <c r="A27" i="31"/>
  <c r="A26" i="31"/>
  <c r="A25" i="31"/>
  <c r="A24" i="31"/>
  <c r="I33" i="34"/>
  <c r="G33" i="34"/>
  <c r="E33" i="34"/>
  <c r="F20" i="6"/>
  <c r="F19" i="6"/>
  <c r="W7" i="78" l="1"/>
  <c r="AC7" i="78"/>
  <c r="V49" i="78" s="1"/>
  <c r="I49" i="78" s="1"/>
  <c r="AB7" i="78"/>
  <c r="T49" i="78" s="1"/>
  <c r="G49" i="78" s="1"/>
  <c r="U7" i="78"/>
  <c r="S7" i="78"/>
  <c r="AA7" i="78"/>
  <c r="R49" i="78" s="1"/>
  <c r="R50" i="78" l="1"/>
  <c r="E49" i="78"/>
  <c r="I53" i="78"/>
  <c r="J53" i="78" s="1"/>
  <c r="I54" i="78"/>
  <c r="J54" i="78" s="1"/>
  <c r="G54" i="78"/>
  <c r="H54" i="78" s="1"/>
  <c r="G53" i="78"/>
  <c r="H53" i="78" s="1"/>
  <c r="O17" i="43"/>
  <c r="N17" i="43"/>
  <c r="M17" i="43"/>
  <c r="L17" i="43"/>
  <c r="E53" i="78" l="1"/>
  <c r="F53" i="78" s="1"/>
  <c r="E54" i="78"/>
  <c r="F54" i="78" s="1"/>
  <c r="C50" i="78"/>
  <c r="U6" i="1" s="1"/>
  <c r="C49" i="78"/>
  <c r="M15" i="45"/>
  <c r="L15" i="45"/>
  <c r="K15" i="45"/>
  <c r="J15" i="45"/>
  <c r="I15" i="45"/>
  <c r="H15" i="45"/>
  <c r="G15" i="45"/>
  <c r="F15" i="45"/>
  <c r="E15" i="45"/>
  <c r="D15" i="45"/>
  <c r="C15" i="45"/>
  <c r="B15" i="45"/>
  <c r="E17" i="43"/>
  <c r="V6" i="71"/>
  <c r="U6" i="71"/>
  <c r="T6" i="71"/>
  <c r="S6" i="71"/>
  <c r="B3" i="78" l="1"/>
  <c r="B2" i="78"/>
  <c r="AH5" i="7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s="1"/>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s="1"/>
  <c r="F20" i="69"/>
  <c r="E10" i="69"/>
  <c r="E9" i="69"/>
  <c r="F7" i="69"/>
  <c r="C7" i="69" s="1"/>
  <c r="AC21" i="37"/>
  <c r="W21" i="37"/>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J51" i="67" s="1"/>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s="1"/>
  <c r="F27" i="34"/>
  <c r="AA27" i="34" s="1"/>
  <c r="F25" i="34"/>
  <c r="S25" i="34" s="1"/>
  <c r="H23" i="34"/>
  <c r="U23" i="34" s="1"/>
  <c r="J23" i="34"/>
  <c r="W23" i="34" s="1"/>
  <c r="F19" i="34"/>
  <c r="S19" i="34" s="1"/>
  <c r="H17" i="34"/>
  <c r="U17" i="34" s="1"/>
  <c r="F15" i="34"/>
  <c r="S15" i="34" s="1"/>
  <c r="J15" i="34"/>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A38" i="34"/>
  <c r="J37" i="34"/>
  <c r="AC37" i="34" s="1"/>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B41" i="34"/>
  <c r="AA45" i="34"/>
  <c r="W34" i="34"/>
  <c r="U28" i="34"/>
  <c r="S17" i="34"/>
  <c r="AA29" i="34"/>
  <c r="S23"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AJ6" i="3" s="1"/>
  <c r="BA13" i="3"/>
  <c r="E10" i="6"/>
  <c r="E11" i="6"/>
  <c r="E61" i="39" s="1"/>
  <c r="BL17" i="3"/>
  <c r="AZ17" i="3" s="1"/>
  <c r="BL13" i="3"/>
  <c r="G30" i="6"/>
  <c r="G31" i="6" s="1"/>
  <c r="J56" i="9"/>
  <c r="J57" i="9"/>
  <c r="J59" i="9" s="1"/>
  <c r="J61" i="9" s="1"/>
  <c r="A24" i="51"/>
  <c r="B18" i="72" s="1"/>
  <c r="U29" i="34"/>
  <c r="E14" i="6"/>
  <c r="E64" i="39" s="1"/>
  <c r="E5" i="6"/>
  <c r="D9" i="11" s="1"/>
  <c r="C9" i="11" s="1"/>
  <c r="E32" i="6"/>
  <c r="L19" i="6"/>
  <c r="G1" i="68"/>
  <c r="K1" i="12"/>
  <c r="E28" i="6"/>
  <c r="K14" i="1" s="1"/>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s="1"/>
  <c r="E59" i="34" s="1"/>
  <c r="F59" i="34" s="1"/>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AR8" i="1" s="1"/>
  <c r="K11" i="1"/>
  <c r="M11" i="1" s="1"/>
  <c r="O11" i="1" s="1"/>
  <c r="P11" i="1" s="1"/>
  <c r="AP6" i="1"/>
  <c r="B9" i="1"/>
  <c r="E9" i="1"/>
  <c r="K7" i="1"/>
  <c r="G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W33" i="34"/>
  <c r="AC14" i="34"/>
  <c r="AC32" i="34"/>
  <c r="AC29" i="34"/>
  <c r="W29" i="34"/>
  <c r="W46" i="34"/>
  <c r="AC46" i="34"/>
  <c r="S32" i="34"/>
  <c r="AA32" i="34"/>
  <c r="U30" i="34"/>
  <c r="AB30" i="34"/>
  <c r="S37" i="34"/>
  <c r="W40" i="34"/>
  <c r="AA19" i="34"/>
  <c r="AA36" i="34"/>
  <c r="S36" i="34"/>
  <c r="AA8" i="34"/>
  <c r="S8" i="34"/>
  <c r="AB9" i="34"/>
  <c r="U9" i="34"/>
  <c r="S46" i="34"/>
  <c r="AA46" i="34"/>
  <c r="U32" i="34"/>
  <c r="AB32" i="34"/>
  <c r="U14" i="34"/>
  <c r="AB14"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T11" i="1"/>
  <c r="AQ9" i="1"/>
  <c r="AR11" i="1"/>
  <c r="T9" i="1"/>
  <c r="T13" i="1"/>
  <c r="E328"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D65" i="40"/>
  <c r="AC11" i="37"/>
  <c r="W11" i="37"/>
  <c r="F34" i="11"/>
  <c r="C36" i="11" s="1"/>
  <c r="F11" i="12"/>
  <c r="F34" i="68"/>
  <c r="C36" i="68" s="1"/>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U7" i="33"/>
  <c r="H112" i="9"/>
  <c r="D21" i="53"/>
  <c r="B39" i="72" s="1"/>
  <c r="H111" i="9"/>
  <c r="D126" i="9" s="1"/>
  <c r="D19" i="53"/>
  <c r="B38" i="72" s="1"/>
  <c r="D59" i="9"/>
  <c r="M55" i="9"/>
  <c r="AD3" i="71"/>
  <c r="E8" i="76"/>
  <c r="E10" i="76"/>
  <c r="D6" i="73"/>
  <c r="F6" i="73"/>
  <c r="F36" i="15"/>
  <c r="C76" i="15"/>
  <c r="F43" i="15"/>
  <c r="F36" i="67"/>
  <c r="D2" i="34"/>
  <c r="E11" i="76"/>
  <c r="M29" i="67"/>
  <c r="M28" i="15"/>
  <c r="B9" i="76"/>
  <c r="B12" i="76"/>
  <c r="F13" i="15"/>
  <c r="J15" i="67"/>
  <c r="E7" i="76"/>
  <c r="F42" i="15"/>
  <c r="E2" i="69"/>
  <c r="F9" i="67"/>
  <c r="F8" i="15"/>
  <c r="F42" i="67"/>
  <c r="D2" i="21"/>
  <c r="E9" i="76"/>
  <c r="C76" i="67"/>
  <c r="AO8" i="1"/>
  <c r="M8" i="67"/>
  <c r="AO7" i="1"/>
  <c r="M23" i="15"/>
  <c r="B8" i="76"/>
  <c r="E12" i="76"/>
  <c r="AO13" i="1"/>
  <c r="M26" i="67"/>
  <c r="D3" i="73"/>
  <c r="E2" i="68"/>
  <c r="D35" i="9"/>
  <c r="D2" i="33"/>
  <c r="M6" i="67"/>
  <c r="F4" i="73"/>
  <c r="M6" i="15"/>
  <c r="L48" i="15"/>
  <c r="F9" i="15"/>
  <c r="B13" i="76"/>
  <c r="F26" i="15"/>
  <c r="F40" i="67"/>
  <c r="M28" i="67"/>
  <c r="F16" i="67"/>
  <c r="B7" i="76"/>
  <c r="M22" i="67"/>
  <c r="M29" i="15"/>
  <c r="D2" i="36"/>
  <c r="F43" i="67"/>
  <c r="F7" i="67"/>
  <c r="F6" i="15"/>
  <c r="J15" i="15"/>
  <c r="M9" i="15"/>
  <c r="M22" i="15"/>
  <c r="L48" i="67"/>
  <c r="F7" i="73"/>
  <c r="M24" i="67"/>
  <c r="F26" i="67"/>
  <c r="D2" i="37"/>
  <c r="B10" i="76"/>
  <c r="D2" i="35"/>
  <c r="F40" i="15"/>
  <c r="AO9" i="1"/>
  <c r="F37" i="67"/>
  <c r="M8" i="15"/>
  <c r="F8" i="67"/>
  <c r="L47" i="15"/>
  <c r="M24" i="15"/>
  <c r="AO12" i="1"/>
  <c r="AO10" i="1"/>
  <c r="F13" i="67"/>
  <c r="F38" i="67"/>
  <c r="D7" i="73"/>
  <c r="D4" i="73"/>
  <c r="M27" i="67"/>
  <c r="AO11" i="1"/>
  <c r="B11" i="76"/>
  <c r="F37" i="15"/>
  <c r="M23" i="67"/>
  <c r="F16" i="15"/>
  <c r="E13" i="76"/>
  <c r="F5" i="73"/>
  <c r="F3" i="73"/>
  <c r="M9" i="67"/>
  <c r="L47" i="67"/>
  <c r="D34" i="9"/>
  <c r="F6" i="67"/>
  <c r="F38" i="15"/>
  <c r="M26" i="15"/>
  <c r="D5" i="73"/>
  <c r="M27" i="15"/>
  <c r="F7" i="15"/>
  <c r="F20" i="31"/>
  <c r="J53" i="67" l="1"/>
  <c r="F1" i="67" s="1"/>
  <c r="P74" i="67"/>
  <c r="Q52" i="67"/>
  <c r="AC30" i="34"/>
  <c r="U31" i="34"/>
  <c r="S28" i="34"/>
  <c r="AB37" i="34"/>
  <c r="G17" i="43"/>
  <c r="C16" i="43" s="1"/>
  <c r="W37" i="34"/>
  <c r="A15" i="62"/>
  <c r="B61" i="72" s="1"/>
  <c r="AC17" i="34"/>
  <c r="U27" i="34"/>
  <c r="S43" i="34"/>
  <c r="AA41" i="34"/>
  <c r="AA39" i="34"/>
  <c r="U25" i="34"/>
  <c r="U44" i="34"/>
  <c r="U38" i="34"/>
  <c r="AB36" i="34"/>
  <c r="H21" i="34"/>
  <c r="F21" i="34"/>
  <c r="F84" i="34"/>
  <c r="G84" i="34" s="1"/>
  <c r="J21" i="34"/>
  <c r="U19" i="34"/>
  <c r="W41" i="34"/>
  <c r="AA40" i="34"/>
  <c r="AC39" i="34"/>
  <c r="AC38" i="34"/>
  <c r="AC36" i="34"/>
  <c r="S35" i="34"/>
  <c r="AA25" i="34"/>
  <c r="W25" i="34"/>
  <c r="AB23" i="34"/>
  <c r="U15" i="34"/>
  <c r="U11" i="34"/>
  <c r="W11" i="34"/>
  <c r="AA11" i="34"/>
  <c r="AC10" i="34"/>
  <c r="S9" i="34"/>
  <c r="S34" i="34"/>
  <c r="S27" i="34"/>
  <c r="P61" i="15"/>
  <c r="J53" i="15"/>
  <c r="Q52" i="15" s="1"/>
  <c r="C94" i="9"/>
  <c r="C92" i="9"/>
  <c r="F28" i="15"/>
  <c r="C28" i="15" s="1"/>
  <c r="D68" i="9"/>
  <c r="M18" i="67"/>
  <c r="C13" i="12"/>
  <c r="F54" i="9"/>
  <c r="M18" i="15"/>
  <c r="F32" i="15"/>
  <c r="F60" i="15" s="1"/>
  <c r="F30" i="69"/>
  <c r="F32" i="67"/>
  <c r="F60" i="67" s="1"/>
  <c r="F31" i="12"/>
  <c r="C31" i="12" s="1"/>
  <c r="F28" i="67"/>
  <c r="C28" i="67" s="1"/>
  <c r="F30" i="11"/>
  <c r="F30" i="68"/>
  <c r="Q16" i="1"/>
  <c r="F27" i="69" s="1"/>
  <c r="C47" i="69" s="1"/>
  <c r="D45" i="69" s="1"/>
  <c r="E16" i="6"/>
  <c r="E59" i="40"/>
  <c r="E63" i="39"/>
  <c r="E65" i="39"/>
  <c r="B113" i="43"/>
  <c r="F101" i="43"/>
  <c r="E22" i="43"/>
  <c r="C101" i="43"/>
  <c r="N104" i="46"/>
  <c r="L101" i="43"/>
  <c r="D101" i="43"/>
  <c r="I101" i="43"/>
  <c r="G22" i="43"/>
  <c r="D22" i="43" s="1"/>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M102" i="43" s="1"/>
  <c r="E101" i="43"/>
  <c r="S2" i="43"/>
  <c r="AJ11" i="43"/>
  <c r="AJ13" i="43" s="1"/>
  <c r="AF11" i="43"/>
  <c r="AF13" i="43" s="1"/>
  <c r="AB11" i="43"/>
  <c r="AB13" i="43" s="1"/>
  <c r="Z7" i="43"/>
  <c r="AI11" i="43"/>
  <c r="AI13" i="43" s="1"/>
  <c r="AE11" i="43"/>
  <c r="AE13" i="43" s="1"/>
  <c r="AA11" i="43"/>
  <c r="AA13" i="43" s="1"/>
  <c r="S6" i="43"/>
  <c r="S4" i="43"/>
  <c r="S7" i="43"/>
  <c r="E53" i="3"/>
  <c r="E125" i="3"/>
  <c r="E175" i="3"/>
  <c r="E217" i="3"/>
  <c r="E319" i="3"/>
  <c r="E366" i="3"/>
  <c r="E530" i="3"/>
  <c r="E526" i="3"/>
  <c r="E501" i="3"/>
  <c r="E553" i="3"/>
  <c r="E343" i="3"/>
  <c r="E268" i="3"/>
  <c r="E153" i="3"/>
  <c r="E282" i="3"/>
  <c r="E305" i="3"/>
  <c r="E322" i="3"/>
  <c r="E426" i="3"/>
  <c r="N6" i="3"/>
  <c r="E50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AQ8" i="1"/>
  <c r="D9" i="69"/>
  <c r="C9" i="69" s="1"/>
  <c r="J10" i="39"/>
  <c r="AC10" i="39" s="1"/>
  <c r="F10" i="40"/>
  <c r="AA10" i="40" s="1"/>
  <c r="AZ18" i="3"/>
  <c r="BA5" i="3"/>
  <c r="E27" i="6" s="1"/>
  <c r="H16" i="1"/>
  <c r="M7" i="1"/>
  <c r="O7" i="1" s="1"/>
  <c r="C36" i="69"/>
  <c r="H103" i="43"/>
  <c r="M103" i="43"/>
  <c r="E106" i="43"/>
  <c r="M14" i="1"/>
  <c r="O14" i="1" s="1"/>
  <c r="P14" i="1" s="1"/>
  <c r="C34" i="69"/>
  <c r="C38" i="69" s="1"/>
  <c r="S10" i="40"/>
  <c r="T8" i="1"/>
  <c r="E109" i="43"/>
  <c r="H105" i="43"/>
  <c r="H106" i="43"/>
  <c r="E105" i="43"/>
  <c r="E107" i="43"/>
  <c r="D9" i="68"/>
  <c r="C9" i="68" s="1"/>
  <c r="D19" i="12"/>
  <c r="C19" i="12" s="1"/>
  <c r="F30" i="6"/>
  <c r="BL5" i="3"/>
  <c r="AZ5" i="3"/>
  <c r="E3" i="6" s="1"/>
  <c r="E56" i="40"/>
  <c r="E29" i="6"/>
  <c r="K15" i="1" s="1"/>
  <c r="K16" i="1" s="1"/>
  <c r="AY6" i="3"/>
  <c r="F31" i="6"/>
  <c r="P6" i="1"/>
  <c r="E66" i="39"/>
  <c r="E30" i="6"/>
  <c r="O9" i="1"/>
  <c r="P9" i="1" s="1"/>
  <c r="K20" i="6"/>
  <c r="K24" i="6"/>
  <c r="M24" i="6" s="1"/>
  <c r="I24" i="6" s="1"/>
  <c r="K26" i="6"/>
  <c r="M26" i="6" s="1"/>
  <c r="I26" i="6" s="1"/>
  <c r="K19" i="6"/>
  <c r="S6" i="1" s="1"/>
  <c r="AQ6" i="1" s="1"/>
  <c r="E31" i="6"/>
  <c r="K21" i="6"/>
  <c r="M21" i="6" s="1"/>
  <c r="I21" i="6" s="1"/>
  <c r="K22" i="6"/>
  <c r="M22" i="6" s="1"/>
  <c r="I22" i="6" s="1"/>
  <c r="K25" i="6"/>
  <c r="M25" i="6" s="1"/>
  <c r="I25" i="6" s="1"/>
  <c r="K23" i="6"/>
  <c r="M23" i="6" s="1"/>
  <c r="I23" i="6" s="1"/>
  <c r="O8" i="1"/>
  <c r="T35" i="4"/>
  <c r="A19" i="51" s="1"/>
  <c r="B14" i="72" s="1"/>
  <c r="D20" i="53"/>
  <c r="B40" i="72" s="1"/>
  <c r="D125" i="9"/>
  <c r="D11" i="52" s="1"/>
  <c r="D10" i="52"/>
  <c r="I14" i="74"/>
  <c r="B8" i="74" s="1"/>
  <c r="D127" i="9"/>
  <c r="D13" i="52" s="1"/>
  <c r="D12" i="52"/>
  <c r="G52" i="33"/>
  <c r="H52" i="33" s="1"/>
  <c r="E48" i="33"/>
  <c r="R49" i="33"/>
  <c r="M63" i="40"/>
  <c r="L65" i="40"/>
  <c r="AC7" i="33"/>
  <c r="V48" i="33" s="1"/>
  <c r="I48" i="33" s="1"/>
  <c r="G53" i="33" s="1"/>
  <c r="H53" i="33" s="1"/>
  <c r="F48" i="35"/>
  <c r="C70" i="39"/>
  <c r="D68" i="39"/>
  <c r="H10" i="40"/>
  <c r="F10" i="39"/>
  <c r="J10" i="40"/>
  <c r="H10"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31" i="67"/>
  <c r="F59" i="15"/>
  <c r="M17" i="67"/>
  <c r="C14" i="15"/>
  <c r="C16" i="67"/>
  <c r="C14" i="67"/>
  <c r="G1" i="73"/>
  <c r="C17" i="15"/>
  <c r="C16" i="15"/>
  <c r="C17" i="67"/>
  <c r="M107" i="43" l="1"/>
  <c r="C5" i="43"/>
  <c r="D5" i="43"/>
  <c r="AC21" i="34"/>
  <c r="W21" i="34"/>
  <c r="AA21" i="34"/>
  <c r="S21" i="34"/>
  <c r="AB21" i="34"/>
  <c r="U21" i="34"/>
  <c r="C29" i="69"/>
  <c r="D27" i="69" s="1"/>
  <c r="F1" i="15"/>
  <c r="C30" i="68"/>
  <c r="C48" i="68"/>
  <c r="C48" i="11"/>
  <c r="C30" i="11"/>
  <c r="C48" i="69"/>
  <c r="C30" i="69"/>
  <c r="F28" i="12"/>
  <c r="C29" i="12" s="1"/>
  <c r="D28" i="12" s="1"/>
  <c r="M20" i="6"/>
  <c r="I20" i="6" s="1"/>
  <c r="S7" i="1"/>
  <c r="M16" i="1"/>
  <c r="C34" i="68" s="1"/>
  <c r="C35" i="68" s="1"/>
  <c r="W10" i="39"/>
  <c r="F27" i="68"/>
  <c r="F27" i="11"/>
  <c r="C29" i="11" s="1"/>
  <c r="D27" i="11" s="1"/>
  <c r="T6" i="1"/>
  <c r="AR6" i="1"/>
  <c r="S16" i="1"/>
  <c r="C35" i="69"/>
  <c r="M104" i="43"/>
  <c r="M105" i="43"/>
  <c r="E104" i="43"/>
  <c r="E103" i="43"/>
  <c r="E102" i="43"/>
  <c r="H107" i="43"/>
  <c r="H102" i="43"/>
  <c r="H104" i="43"/>
  <c r="H109" i="43"/>
  <c r="J104" i="43"/>
  <c r="J105" i="43"/>
  <c r="J103" i="43"/>
  <c r="J106" i="43"/>
  <c r="J109" i="43"/>
  <c r="J107" i="43"/>
  <c r="J102" i="43"/>
  <c r="N102" i="43"/>
  <c r="N103" i="43"/>
  <c r="N106" i="43"/>
  <c r="N107" i="43"/>
  <c r="N109" i="43"/>
  <c r="N105" i="43"/>
  <c r="N104" i="43"/>
  <c r="I109" i="43"/>
  <c r="I102" i="43"/>
  <c r="I106" i="43"/>
  <c r="I103" i="43"/>
  <c r="I104" i="43"/>
  <c r="I107" i="43"/>
  <c r="I105" i="43"/>
  <c r="L109" i="43"/>
  <c r="L102" i="43"/>
  <c r="L105" i="43"/>
  <c r="L104" i="43"/>
  <c r="L106" i="43"/>
  <c r="L107" i="43"/>
  <c r="L103" i="43"/>
  <c r="C104" i="43"/>
  <c r="C105" i="43"/>
  <c r="C102" i="43"/>
  <c r="C106" i="43"/>
  <c r="C107" i="43"/>
  <c r="C103" i="43"/>
  <c r="C109" i="43"/>
  <c r="F104" i="43"/>
  <c r="F107" i="43"/>
  <c r="F106" i="43"/>
  <c r="F103" i="43"/>
  <c r="F109" i="43"/>
  <c r="F102" i="43"/>
  <c r="F105" i="43"/>
  <c r="M109" i="43"/>
  <c r="M106" i="43"/>
  <c r="G105" i="43"/>
  <c r="G102" i="43"/>
  <c r="G103" i="43"/>
  <c r="G107" i="43"/>
  <c r="G104" i="43"/>
  <c r="G106" i="43"/>
  <c r="G109" i="43"/>
  <c r="K103" i="43"/>
  <c r="K107" i="43"/>
  <c r="K104" i="43"/>
  <c r="K106" i="43"/>
  <c r="K109" i="43"/>
  <c r="K102" i="43"/>
  <c r="K105" i="43"/>
  <c r="D109" i="43"/>
  <c r="D103" i="43"/>
  <c r="D104" i="43"/>
  <c r="D107" i="43"/>
  <c r="D105" i="43"/>
  <c r="D106" i="43"/>
  <c r="D102"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6" i="3"/>
  <c r="O16" i="1"/>
  <c r="P7" i="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BA6" i="3"/>
  <c r="AY94" i="3"/>
  <c r="AY78" i="3"/>
  <c r="AY35"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9" i="3"/>
  <c r="AY63" i="3"/>
  <c r="AY46" i="3"/>
  <c r="AY192"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20" i="11" s="1"/>
  <c r="C28" i="11" s="1"/>
  <c r="C27" i="11" s="1"/>
  <c r="C17" i="4"/>
  <c r="B4" i="52" s="1"/>
  <c r="B43" i="72" s="1"/>
  <c r="L18" i="9"/>
  <c r="D3" i="37"/>
  <c r="D3" i="34"/>
  <c r="E6" i="6"/>
  <c r="D37" i="11"/>
  <c r="C37" i="11" s="1"/>
  <c r="M18" i="9"/>
  <c r="B118" i="9" s="1"/>
  <c r="B14" i="74" s="1"/>
  <c r="B1" i="74" s="1"/>
  <c r="C7" i="74" s="1"/>
  <c r="D3" i="33"/>
  <c r="D14" i="12"/>
  <c r="P8" i="1"/>
  <c r="S25" i="6"/>
  <c r="H25" i="6"/>
  <c r="S21" i="6"/>
  <c r="H21" i="6"/>
  <c r="M19" i="6"/>
  <c r="K27" i="6"/>
  <c r="S24" i="6"/>
  <c r="H24" i="6"/>
  <c r="C34" i="11"/>
  <c r="N16" i="1"/>
  <c r="L16" i="1"/>
  <c r="S23" i="6"/>
  <c r="H23" i="6"/>
  <c r="S22" i="6"/>
  <c r="H22" i="6"/>
  <c r="H26" i="6"/>
  <c r="S26" i="6"/>
  <c r="S20" i="6"/>
  <c r="H20" i="6"/>
  <c r="P16" i="1"/>
  <c r="C11" i="12" s="1"/>
  <c r="C8" i="74"/>
  <c r="B4" i="62"/>
  <c r="B71" i="72" s="1"/>
  <c r="K4" i="4"/>
  <c r="B46" i="48" s="1"/>
  <c r="B4" i="72" s="1"/>
  <c r="E58" i="21"/>
  <c r="F58" i="21" s="1"/>
  <c r="G58" i="21" s="1"/>
  <c r="H58" i="21" s="1"/>
  <c r="I58" i="21" s="1"/>
  <c r="J58" i="21" s="1"/>
  <c r="K58" i="21" s="1"/>
  <c r="L58" i="21" s="1"/>
  <c r="M58" i="21" s="1"/>
  <c r="N58" i="21" s="1"/>
  <c r="O58" i="21" s="1"/>
  <c r="J7" i="21"/>
  <c r="H52" i="37"/>
  <c r="U10" i="39"/>
  <c r="AB10" i="39"/>
  <c r="AA10" i="39"/>
  <c r="S10" i="39"/>
  <c r="D70" i="39"/>
  <c r="E68" i="39"/>
  <c r="C49" i="33"/>
  <c r="B2" i="33" s="1"/>
  <c r="B3" i="33" s="1"/>
  <c r="C48" i="33"/>
  <c r="F7" i="21"/>
  <c r="F46" i="36"/>
  <c r="H59" i="34"/>
  <c r="AC10" i="40"/>
  <c r="W10" i="40"/>
  <c r="AB10" i="40"/>
  <c r="U10" i="40"/>
  <c r="G48" i="35"/>
  <c r="I52" i="33"/>
  <c r="J52" i="33" s="1"/>
  <c r="I53" i="33"/>
  <c r="J53" i="33" s="1"/>
  <c r="N63" i="40"/>
  <c r="M65" i="40"/>
  <c r="E53" i="33"/>
  <c r="F53" i="33" s="1"/>
  <c r="E52" i="33"/>
  <c r="F52" i="33" s="1"/>
  <c r="P23" i="43"/>
  <c r="B71" i="39" s="1"/>
  <c r="C6" i="71"/>
  <c r="C5" i="71" s="1"/>
  <c r="D5" i="71" s="1"/>
  <c r="D7" i="71"/>
  <c r="P25" i="43"/>
  <c r="C49" i="67"/>
  <c r="C49" i="15"/>
  <c r="C38" i="68"/>
  <c r="B40" i="1"/>
  <c r="C18" i="67"/>
  <c r="C15" i="67"/>
  <c r="M11" i="15"/>
  <c r="J10" i="15" s="1"/>
  <c r="J5" i="15" s="1"/>
  <c r="F11" i="67"/>
  <c r="F11" i="15"/>
  <c r="M11" i="67"/>
  <c r="J10" i="67" s="1"/>
  <c r="J5" i="67" s="1"/>
  <c r="Q73" i="67"/>
  <c r="Q60" i="67"/>
  <c r="P28" i="43"/>
  <c r="M28" i="43"/>
  <c r="N28" i="43"/>
  <c r="O28" i="43"/>
  <c r="Q60" i="15"/>
  <c r="Q73" i="15"/>
  <c r="Q74" i="15"/>
  <c r="Q61" i="15"/>
  <c r="Q61" i="67"/>
  <c r="Q74" i="67"/>
  <c r="AE6" i="1"/>
  <c r="C19" i="15" l="1"/>
  <c r="C20" i="15" s="1"/>
  <c r="C26" i="15" s="1"/>
  <c r="AQ7" i="1"/>
  <c r="AR7" i="1"/>
  <c r="T7" i="1"/>
  <c r="T16" i="1" s="1"/>
  <c r="C47" i="11"/>
  <c r="D45" i="11" s="1"/>
  <c r="C29" i="68"/>
  <c r="D27" i="68" s="1"/>
  <c r="C47" i="68"/>
  <c r="D45" i="68" s="1"/>
  <c r="D113" i="43"/>
  <c r="C115" i="43"/>
  <c r="M19" i="9"/>
  <c r="C118" i="9" s="1"/>
  <c r="C14" i="74" s="1"/>
  <c r="B2" i="74" s="1"/>
  <c r="D25" i="6"/>
  <c r="R25" i="6" s="1"/>
  <c r="D15" i="6"/>
  <c r="D22" i="6"/>
  <c r="R22" i="6" s="1"/>
  <c r="D21" i="6"/>
  <c r="R21" i="6" s="1"/>
  <c r="D24" i="6"/>
  <c r="R24" i="6" s="1"/>
  <c r="D20" i="6"/>
  <c r="R20" i="6" s="1"/>
  <c r="R7" i="1" s="1"/>
  <c r="D5" i="6"/>
  <c r="D12" i="6"/>
  <c r="D11" i="6"/>
  <c r="D13" i="6"/>
  <c r="D28" i="6"/>
  <c r="D19" i="6"/>
  <c r="D26" i="6"/>
  <c r="R26" i="6" s="1"/>
  <c r="C18" i="4"/>
  <c r="D8" i="6"/>
  <c r="D23" i="6"/>
  <c r="R23" i="6" s="1"/>
  <c r="D14" i="6"/>
  <c r="D6" i="6"/>
  <c r="D9" i="6"/>
  <c r="D10" i="6"/>
  <c r="L19" i="9"/>
  <c r="E61" i="40"/>
  <c r="D29" i="6"/>
  <c r="D17" i="12"/>
  <c r="C17" i="12" s="1"/>
  <c r="C14" i="12"/>
  <c r="D10" i="68"/>
  <c r="D10" i="11"/>
  <c r="C10" i="11" s="1"/>
  <c r="D20" i="12"/>
  <c r="C20" i="12" s="1"/>
  <c r="C18" i="12" s="1"/>
  <c r="D10" i="69"/>
  <c r="C35" i="11"/>
  <c r="C38" i="11"/>
  <c r="M27" i="6"/>
  <c r="I19" i="6"/>
  <c r="C15" i="12"/>
  <c r="C12" i="12"/>
  <c r="F50" i="11"/>
  <c r="F50" i="68"/>
  <c r="F50" i="69"/>
  <c r="H48" i="35"/>
  <c r="G46" i="36"/>
  <c r="H7" i="21"/>
  <c r="O63" i="40"/>
  <c r="O65" i="40" s="1"/>
  <c r="F7" i="40" s="1"/>
  <c r="N65" i="40"/>
  <c r="H7" i="40" s="1"/>
  <c r="I59" i="34"/>
  <c r="AA7" i="21"/>
  <c r="R48" i="21" s="1"/>
  <c r="S7" i="21"/>
  <c r="F68" i="39"/>
  <c r="E70" i="39"/>
  <c r="I52" i="37"/>
  <c r="AC7" i="21"/>
  <c r="V48" i="21" s="1"/>
  <c r="I48" i="21" s="1"/>
  <c r="W7" i="21"/>
  <c r="D6" i="71"/>
  <c r="M20" i="43" s="1"/>
  <c r="C19" i="43" s="1"/>
  <c r="C19" i="67"/>
  <c r="C20" i="67" s="1"/>
  <c r="C26" i="67" s="1"/>
  <c r="J24" i="67"/>
  <c r="J26" i="67"/>
  <c r="J18" i="67"/>
  <c r="C53" i="67"/>
  <c r="C48" i="67" s="1"/>
  <c r="C10" i="67"/>
  <c r="C5" i="67" s="1"/>
  <c r="J24" i="15"/>
  <c r="J18" i="15"/>
  <c r="J26" i="15"/>
  <c r="C53" i="15"/>
  <c r="C48" i="15" s="1"/>
  <c r="C10" i="15"/>
  <c r="C5" i="15" s="1"/>
  <c r="F24" i="67"/>
  <c r="C24" i="67" s="1"/>
  <c r="F22" i="68"/>
  <c r="F22" i="11"/>
  <c r="F22" i="69"/>
  <c r="F25" i="12"/>
  <c r="F24" i="15"/>
  <c r="C24" i="15" s="1"/>
  <c r="F41" i="67"/>
  <c r="F41" i="15"/>
  <c r="F69" i="67" l="1"/>
  <c r="J29" i="67"/>
  <c r="F69" i="15"/>
  <c r="J29" i="15"/>
  <c r="D16" i="6"/>
  <c r="D30" i="6"/>
  <c r="D27" i="6"/>
  <c r="D31" i="6" s="1"/>
  <c r="C16" i="12"/>
  <c r="C21" i="12" s="1"/>
  <c r="C22" i="12" s="1"/>
  <c r="C30" i="12" s="1"/>
  <c r="C28" i="12" s="1"/>
  <c r="C10" i="69"/>
  <c r="C8" i="69" s="1"/>
  <c r="C5" i="69" s="1"/>
  <c r="C23" i="69" s="1"/>
  <c r="D19" i="69"/>
  <c r="C33" i="11"/>
  <c r="C39" i="11" s="1"/>
  <c r="C10" i="68"/>
  <c r="D19" i="68"/>
  <c r="C4" i="52"/>
  <c r="B45" i="72" s="1"/>
  <c r="A10" i="51"/>
  <c r="B9" i="72" s="1"/>
  <c r="A7" i="51"/>
  <c r="B7" i="72" s="1"/>
  <c r="D7" i="74"/>
  <c r="D8" i="74"/>
  <c r="H19" i="6"/>
  <c r="S19" i="6"/>
  <c r="S27" i="6" s="1"/>
  <c r="I27" i="6"/>
  <c r="S7" i="40"/>
  <c r="AA7" i="40"/>
  <c r="R42" i="40" s="1"/>
  <c r="U7" i="40"/>
  <c r="AB7" i="40"/>
  <c r="T42" i="40" s="1"/>
  <c r="G42" i="40" s="1"/>
  <c r="I52" i="21"/>
  <c r="J52" i="21" s="1"/>
  <c r="I53" i="21"/>
  <c r="J53" i="21" s="1"/>
  <c r="J52" i="37"/>
  <c r="G68" i="39"/>
  <c r="F70" i="39"/>
  <c r="E48" i="21"/>
  <c r="R49" i="21"/>
  <c r="AB7" i="21"/>
  <c r="T48" i="21" s="1"/>
  <c r="G48" i="21" s="1"/>
  <c r="U7" i="21"/>
  <c r="J7" i="40"/>
  <c r="J59" i="34"/>
  <c r="H46" i="36"/>
  <c r="I48" i="35"/>
  <c r="J48" i="35" s="1"/>
  <c r="K48" i="35" s="1"/>
  <c r="L48" i="35" s="1"/>
  <c r="M48" i="35" s="1"/>
  <c r="N48" i="35" s="1"/>
  <c r="O48" i="35" s="1"/>
  <c r="F7" i="35"/>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27" i="12"/>
  <c r="C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I6" i="6"/>
  <c r="I5" i="6"/>
  <c r="C19" i="68"/>
  <c r="D37" i="68"/>
  <c r="C37" i="68" s="1"/>
  <c r="C33" i="68" s="1"/>
  <c r="C19" i="69"/>
  <c r="C24" i="69" s="1"/>
  <c r="D37" i="69"/>
  <c r="C37" i="69" s="1"/>
  <c r="C33" i="69" s="1"/>
  <c r="H27" i="6"/>
  <c r="R19" i="6"/>
  <c r="AA7" i="35"/>
  <c r="R38" i="35" s="1"/>
  <c r="S7" i="35"/>
  <c r="W7" i="40"/>
  <c r="AC7" i="40"/>
  <c r="V42" i="40" s="1"/>
  <c r="I42" i="40" s="1"/>
  <c r="G47" i="40" s="1"/>
  <c r="H47" i="40" s="1"/>
  <c r="G52" i="21"/>
  <c r="H52" i="21" s="1"/>
  <c r="G53" i="21"/>
  <c r="H53" i="21" s="1"/>
  <c r="E52" i="21"/>
  <c r="F52" i="21" s="1"/>
  <c r="E53" i="21"/>
  <c r="F53" i="21" s="1"/>
  <c r="H68" i="39"/>
  <c r="G70" i="39"/>
  <c r="K52" i="37"/>
  <c r="G46" i="40"/>
  <c r="H46" i="40" s="1"/>
  <c r="U7" i="35"/>
  <c r="AB7" i="35"/>
  <c r="T38" i="35" s="1"/>
  <c r="G38" i="35" s="1"/>
  <c r="I46" i="36"/>
  <c r="K59" i="34"/>
  <c r="C48" i="21"/>
  <c r="C49" i="21"/>
  <c r="B2" i="21" s="1"/>
  <c r="B3" i="21" s="1"/>
  <c r="J7" i="35"/>
  <c r="E42" i="40"/>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2" i="12"/>
  <c r="B2" i="12" s="1"/>
  <c r="B3" i="12" s="1"/>
  <c r="J19" i="15"/>
  <c r="Q49" i="15"/>
  <c r="C33" i="15"/>
  <c r="C36" i="15"/>
  <c r="C57" i="15"/>
  <c r="J14" i="15"/>
  <c r="C13" i="15"/>
  <c r="J59" i="15"/>
  <c r="J60" i="15" s="1"/>
  <c r="C22" i="11"/>
  <c r="C31" i="11" s="1"/>
  <c r="C33" i="67"/>
  <c r="J14" i="67"/>
  <c r="C57" i="67"/>
  <c r="C13" i="67"/>
  <c r="J19" i="67"/>
  <c r="Q49" i="67"/>
  <c r="C36" i="67"/>
  <c r="J59" i="67"/>
  <c r="J60" i="67" s="1"/>
  <c r="C41" i="11" l="1"/>
  <c r="C49" i="11" s="1"/>
  <c r="C51" i="11" s="1"/>
  <c r="C52" i="11" s="1"/>
  <c r="B2" i="11" s="1"/>
  <c r="B3" i="11" s="1"/>
  <c r="C20" i="69"/>
  <c r="C28" i="69" s="1"/>
  <c r="C27" i="69" s="1"/>
  <c r="R27" i="6"/>
  <c r="R6" i="1"/>
  <c r="C39" i="69"/>
  <c r="C42" i="69"/>
  <c r="C39" i="68"/>
  <c r="C43" i="68" s="1"/>
  <c r="C42" i="68"/>
  <c r="C20" i="68"/>
  <c r="C24" i="68"/>
  <c r="L68" i="9"/>
  <c r="M68" i="9" s="1"/>
  <c r="L65" i="9"/>
  <c r="M65" i="9" s="1"/>
  <c r="L66" i="9"/>
  <c r="M66" i="9" s="1"/>
  <c r="L64" i="9"/>
  <c r="M64" i="9" s="1"/>
  <c r="L63" i="9"/>
  <c r="M63" i="9" s="1"/>
  <c r="M69" i="9" s="1"/>
  <c r="N69" i="9" s="1"/>
  <c r="L67" i="9"/>
  <c r="M67" i="9" s="1"/>
  <c r="E46" i="40"/>
  <c r="F46" i="40" s="1"/>
  <c r="E47" i="40"/>
  <c r="F47" i="40" s="1"/>
  <c r="C42" i="40"/>
  <c r="C43" i="40"/>
  <c r="W7" i="35"/>
  <c r="AC7" i="35"/>
  <c r="V38" i="35" s="1"/>
  <c r="I38" i="35" s="1"/>
  <c r="L59" i="34"/>
  <c r="J46" i="36"/>
  <c r="L52" i="37"/>
  <c r="I68" i="39"/>
  <c r="H70" i="39"/>
  <c r="E38" i="35"/>
  <c r="R39" i="35"/>
  <c r="G42" i="35"/>
  <c r="H42" i="35" s="1"/>
  <c r="G43" i="35"/>
  <c r="H43" i="35" s="1"/>
  <c r="I46" i="40"/>
  <c r="J46" i="40" s="1"/>
  <c r="I47" i="40"/>
  <c r="J47" i="40" s="1"/>
  <c r="C26" i="43"/>
  <c r="B2" i="43" s="1"/>
  <c r="C27" i="43"/>
  <c r="Q48" i="67"/>
  <c r="C75" i="67"/>
  <c r="C37" i="67"/>
  <c r="Q70" i="67"/>
  <c r="C56" i="67"/>
  <c r="C65" i="67" s="1"/>
  <c r="J13" i="67"/>
  <c r="J23" i="67" s="1"/>
  <c r="J22" i="67"/>
  <c r="Q48" i="15"/>
  <c r="J13" i="15"/>
  <c r="J23" i="15" s="1"/>
  <c r="J22" i="15"/>
  <c r="C61" i="67"/>
  <c r="C64" i="67"/>
  <c r="Q70" i="15"/>
  <c r="C56" i="15"/>
  <c r="C65" i="15" s="1"/>
  <c r="C37" i="15"/>
  <c r="C75" i="15"/>
  <c r="C61" i="15"/>
  <c r="C64" i="15"/>
  <c r="F35" i="15"/>
  <c r="F35" i="67"/>
  <c r="E6" i="76"/>
  <c r="M21" i="67"/>
  <c r="M21" i="15"/>
  <c r="B6" i="76"/>
  <c r="C34" i="67" l="1"/>
  <c r="C31" i="67" s="1"/>
  <c r="C30" i="67" s="1"/>
  <c r="C39" i="67" s="1"/>
  <c r="C40" i="67" s="1"/>
  <c r="F63" i="67"/>
  <c r="C62" i="67" s="1"/>
  <c r="C59" i="67" s="1"/>
  <c r="C58" i="67" s="1"/>
  <c r="C67" i="67" s="1"/>
  <c r="C68" i="67" s="1"/>
  <c r="J20" i="67"/>
  <c r="J17" i="67" s="1"/>
  <c r="J16" i="67" s="1"/>
  <c r="J25" i="67" s="1"/>
  <c r="C25" i="69"/>
  <c r="C22" i="69" s="1"/>
  <c r="C31" i="69" s="1"/>
  <c r="F63" i="15"/>
  <c r="C62" i="15" s="1"/>
  <c r="C59" i="15" s="1"/>
  <c r="C58" i="15" s="1"/>
  <c r="C67" i="15" s="1"/>
  <c r="C68" i="15" s="1"/>
  <c r="C34" i="15"/>
  <c r="C31" i="15" s="1"/>
  <c r="C30" i="15" s="1"/>
  <c r="C39" i="15" s="1"/>
  <c r="J20" i="15"/>
  <c r="J17" i="15" s="1"/>
  <c r="J16" i="15" s="1"/>
  <c r="J25" i="15" s="1"/>
  <c r="R16" i="1"/>
  <c r="C41" i="68"/>
  <c r="C56" i="11"/>
  <c r="C57" i="11" s="1"/>
  <c r="C46" i="68"/>
  <c r="C45" i="68" s="1"/>
  <c r="C28" i="68"/>
  <c r="C27" i="68" s="1"/>
  <c r="C25" i="68"/>
  <c r="C22" i="68" s="1"/>
  <c r="C46" i="69"/>
  <c r="C45" i="69" s="1"/>
  <c r="C43" i="69"/>
  <c r="C41" i="69" s="1"/>
  <c r="E43" i="35"/>
  <c r="F43" i="35" s="1"/>
  <c r="E42" i="35"/>
  <c r="F42" i="35" s="1"/>
  <c r="J68" i="39"/>
  <c r="I70" i="39"/>
  <c r="I42" i="35"/>
  <c r="J42" i="35" s="1"/>
  <c r="I43" i="35"/>
  <c r="J4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M52" i="37"/>
  <c r="K46" i="36"/>
  <c r="M59" i="34"/>
  <c r="E2" i="76"/>
  <c r="B2" i="76"/>
  <c r="B3" i="43"/>
  <c r="L51" i="15"/>
  <c r="L51" i="67"/>
  <c r="C80" i="67" l="1"/>
  <c r="C79" i="67" s="1"/>
  <c r="Q69" i="67"/>
  <c r="Q68" i="67" s="1"/>
  <c r="C40" i="15"/>
  <c r="C43" i="15" s="1"/>
  <c r="Q69" i="15"/>
  <c r="Q68" i="15" s="1"/>
  <c r="C80" i="15"/>
  <c r="C79" i="15" s="1"/>
  <c r="C49" i="69"/>
  <c r="C51" i="69" s="1"/>
  <c r="C52" i="69" s="1"/>
  <c r="B2" i="69" s="1"/>
  <c r="B3" i="69" s="1"/>
  <c r="C49" i="68"/>
  <c r="C51" i="68" s="1"/>
  <c r="C31" i="68"/>
  <c r="N59" i="34"/>
  <c r="L46" i="36"/>
  <c r="N52" i="37"/>
  <c r="K68" i="39"/>
  <c r="J70" i="39"/>
  <c r="B3" i="76"/>
  <c r="Q67" i="67"/>
  <c r="L57" i="67"/>
  <c r="L60" i="67" s="1"/>
  <c r="L46" i="67" s="1"/>
  <c r="D2" i="67" s="1"/>
  <c r="Q67" i="15"/>
  <c r="L57" i="15"/>
  <c r="L60" i="15" s="1"/>
  <c r="L46" i="15" s="1"/>
  <c r="C71" i="67"/>
  <c r="C45" i="67"/>
  <c r="C46" i="67" s="1"/>
  <c r="Q56" i="67"/>
  <c r="Q47" i="67"/>
  <c r="Q53" i="67" s="1"/>
  <c r="Q65" i="67"/>
  <c r="C43" i="67"/>
  <c r="C83" i="67"/>
  <c r="C82" i="67" s="1"/>
  <c r="C71" i="15"/>
  <c r="C46" i="15" l="1"/>
  <c r="C83" i="15"/>
  <c r="C82" i="15" s="1"/>
  <c r="Q65" i="15"/>
  <c r="Q47" i="15"/>
  <c r="Q53" i="15" s="1"/>
  <c r="Q56" i="15"/>
  <c r="B2" i="15"/>
  <c r="C52" i="68"/>
  <c r="B2" i="68" s="1"/>
  <c r="B3" i="68" s="1"/>
  <c r="C57" i="69"/>
  <c r="C56" i="69" s="1"/>
  <c r="L68" i="39"/>
  <c r="K70" i="39"/>
  <c r="O52" i="37"/>
  <c r="F7" i="37" s="1"/>
  <c r="M46" i="36"/>
  <c r="O59" i="34"/>
  <c r="J7" i="34"/>
  <c r="Q57" i="15"/>
  <c r="Q66" i="15"/>
  <c r="Q66" i="67"/>
  <c r="Q75" i="67" s="1"/>
  <c r="Q57" i="67"/>
  <c r="Q62" i="67" s="1"/>
  <c r="B2" i="67"/>
  <c r="B3" i="67"/>
  <c r="D19" i="9"/>
  <c r="AO6" i="1"/>
  <c r="C57" i="68" l="1"/>
  <c r="C56" i="68" s="1"/>
  <c r="Q62" i="15"/>
  <c r="D102" i="9"/>
  <c r="D21" i="9"/>
  <c r="B3" i="15"/>
  <c r="Q75" i="15"/>
  <c r="B6" i="70"/>
  <c r="B2" i="70" s="1"/>
  <c r="B3" i="70" s="1"/>
  <c r="AA7" i="37"/>
  <c r="R42" i="37" s="1"/>
  <c r="S7" i="37"/>
  <c r="W7" i="34"/>
  <c r="AC7" i="34"/>
  <c r="V49" i="34" s="1"/>
  <c r="I49" i="34" s="1"/>
  <c r="M68" i="39"/>
  <c r="L70" i="39"/>
  <c r="H7" i="34"/>
  <c r="F7" i="34"/>
  <c r="N46" i="36"/>
  <c r="O46" i="36" s="1"/>
  <c r="H7" i="36"/>
  <c r="J7" i="37"/>
  <c r="H7" i="37"/>
  <c r="D20" i="9"/>
  <c r="D103" i="9" l="1"/>
  <c r="AB7" i="37"/>
  <c r="T42" i="37" s="1"/>
  <c r="G42" i="37" s="1"/>
  <c r="U7" i="37"/>
  <c r="U7" i="36"/>
  <c r="AB7" i="36"/>
  <c r="T36" i="36" s="1"/>
  <c r="G36" i="36" s="1"/>
  <c r="S7" i="34"/>
  <c r="AA7" i="34"/>
  <c r="R49" i="34" s="1"/>
  <c r="I53" i="34"/>
  <c r="J53" i="34" s="1"/>
  <c r="W7" i="37"/>
  <c r="AC7" i="37"/>
  <c r="V42" i="37" s="1"/>
  <c r="I42" i="37" s="1"/>
  <c r="J7" i="36"/>
  <c r="F7" i="36"/>
  <c r="U7" i="34"/>
  <c r="AB7" i="34"/>
  <c r="T49" i="34" s="1"/>
  <c r="G49" i="34" s="1"/>
  <c r="N68" i="39"/>
  <c r="M70" i="39"/>
  <c r="E42" i="37"/>
  <c r="R43" i="37"/>
  <c r="C42" i="37" l="1"/>
  <c r="C43" i="37"/>
  <c r="B2" i="37" s="1"/>
  <c r="B3" i="37" s="1"/>
  <c r="G53" i="34"/>
  <c r="H53" i="34" s="1"/>
  <c r="G54" i="34"/>
  <c r="H54" i="34" s="1"/>
  <c r="S7" i="36"/>
  <c r="AA7" i="36"/>
  <c r="R36" i="36" s="1"/>
  <c r="I47" i="37"/>
  <c r="J47" i="37" s="1"/>
  <c r="I46" i="37"/>
  <c r="J46" i="37" s="1"/>
  <c r="R50" i="34"/>
  <c r="E49" i="34"/>
  <c r="G40" i="36"/>
  <c r="H40" i="36" s="1"/>
  <c r="E47" i="37"/>
  <c r="F47" i="37" s="1"/>
  <c r="E46" i="37"/>
  <c r="F46" i="37" s="1"/>
  <c r="O68" i="39"/>
  <c r="O70" i="39" s="1"/>
  <c r="N70" i="39"/>
  <c r="AC7" i="36"/>
  <c r="V36" i="36" s="1"/>
  <c r="I36" i="36" s="1"/>
  <c r="G41" i="36" s="1"/>
  <c r="H41" i="36" s="1"/>
  <c r="W7" i="36"/>
  <c r="G46" i="37"/>
  <c r="H46" i="37" s="1"/>
  <c r="G47" i="37"/>
  <c r="H47" i="37" s="1"/>
  <c r="E54" i="34" l="1"/>
  <c r="F54" i="34" s="1"/>
  <c r="E53" i="34"/>
  <c r="F53" i="34" s="1"/>
  <c r="I54" i="34"/>
  <c r="J54" i="34" s="1"/>
  <c r="E36" i="36"/>
  <c r="R37" i="36"/>
  <c r="I41" i="36"/>
  <c r="J41" i="36" s="1"/>
  <c r="I40" i="36"/>
  <c r="J40" i="36" s="1"/>
  <c r="F7" i="39"/>
  <c r="J7" i="39"/>
  <c r="H7" i="39"/>
  <c r="C50" i="34"/>
  <c r="B2" i="34" s="1"/>
  <c r="C49" i="34"/>
  <c r="C19" i="9"/>
  <c r="C102" i="9" l="1"/>
  <c r="C21" i="9"/>
  <c r="D22" i="9"/>
  <c r="G19" i="9"/>
  <c r="B3" i="34"/>
  <c r="AB7" i="39"/>
  <c r="T47" i="39" s="1"/>
  <c r="G47" i="39" s="1"/>
  <c r="U7" i="39"/>
  <c r="S7" i="39"/>
  <c r="AA7" i="39"/>
  <c r="R47" i="39" s="1"/>
  <c r="E40" i="36"/>
  <c r="F40" i="36" s="1"/>
  <c r="E41" i="36"/>
  <c r="F41" i="36" s="1"/>
  <c r="AC7" i="39"/>
  <c r="V47" i="39" s="1"/>
  <c r="I47" i="39" s="1"/>
  <c r="W7" i="39"/>
  <c r="C36" i="36"/>
  <c r="C37" i="36"/>
  <c r="B2" i="36" s="1"/>
  <c r="B3" i="36" s="1"/>
  <c r="C20" i="9"/>
  <c r="C103" i="9" l="1"/>
  <c r="G20" i="9"/>
  <c r="R24" i="31" s="1"/>
  <c r="C32" i="9"/>
  <c r="G21" i="9"/>
  <c r="M49" i="9"/>
  <c r="E47" i="39"/>
  <c r="I52" i="39" s="1"/>
  <c r="J52" i="39" s="1"/>
  <c r="R48" i="39"/>
  <c r="I51" i="39"/>
  <c r="J51" i="39" s="1"/>
  <c r="G52" i="39"/>
  <c r="H52" i="39" s="1"/>
  <c r="G51" i="39"/>
  <c r="H51" i="39" s="1"/>
  <c r="S24" i="31" l="1"/>
  <c r="R31" i="31"/>
  <c r="S31" i="31" s="1"/>
  <c r="R27" i="31"/>
  <c r="S27" i="31" s="1"/>
  <c r="R32" i="31"/>
  <c r="S32" i="31" s="1"/>
  <c r="R28" i="31"/>
  <c r="S28" i="31" s="1"/>
  <c r="R29" i="31"/>
  <c r="S29" i="31" s="1"/>
  <c r="R25" i="31"/>
  <c r="S25" i="31" s="1"/>
  <c r="R30" i="31"/>
  <c r="S30" i="31" s="1"/>
  <c r="R26" i="31"/>
  <c r="S26" i="31" s="1"/>
  <c r="H118" i="9"/>
  <c r="C35" i="9"/>
  <c r="F118" i="9" s="1"/>
  <c r="C48" i="39"/>
  <c r="C47" i="39"/>
  <c r="E52" i="39"/>
  <c r="F52" i="39" s="1"/>
  <c r="E51" i="39"/>
  <c r="F51" i="39" s="1"/>
  <c r="D15" i="74" l="1"/>
  <c r="G15" i="74" s="1"/>
  <c r="S22" i="31"/>
  <c r="AN15" i="1" s="1"/>
  <c r="F119" i="9"/>
  <c r="F5" i="52" s="1"/>
  <c r="B53" i="72" s="1"/>
  <c r="F4" i="52"/>
  <c r="B51" i="72" s="1"/>
  <c r="G118" i="9"/>
  <c r="G4" i="52" s="1"/>
  <c r="B52" i="72" s="1"/>
  <c r="C34" i="9"/>
  <c r="D118" i="9" s="1"/>
  <c r="I118" i="9"/>
  <c r="H4" i="52"/>
  <c r="H119" i="9"/>
  <c r="H5" i="52" s="1"/>
  <c r="C104" i="9"/>
  <c r="H101" i="9"/>
  <c r="D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R22" i="31"/>
  <c r="B21" i="31" s="1"/>
  <c r="B20" i="31"/>
  <c r="E14" i="74"/>
  <c r="B5" i="74"/>
  <c r="F14" i="74"/>
  <c r="D119" i="9"/>
  <c r="D5" i="52" s="1"/>
  <c r="B49" i="72" s="1"/>
  <c r="D4" i="52"/>
  <c r="B47" i="72" s="1"/>
  <c r="D45" i="9"/>
  <c r="H107" i="9"/>
  <c r="D5" i="53"/>
  <c r="M48" i="9"/>
  <c r="I4" i="52"/>
  <c r="H102" i="9"/>
  <c r="D7" i="53" s="1"/>
  <c r="B21" i="72" s="1"/>
  <c r="E118" i="9"/>
  <c r="E4" i="52" s="1"/>
  <c r="B48" i="72" s="1"/>
  <c r="C105" i="9"/>
  <c r="D6" i="53" l="1"/>
  <c r="B22" i="72" s="1"/>
  <c r="B20" i="72"/>
  <c r="C5" i="74"/>
  <c r="D5" i="74"/>
  <c r="C64" i="9"/>
  <c r="C63" i="9" s="1"/>
  <c r="C67" i="9" s="1"/>
  <c r="C68" i="9" s="1"/>
  <c r="D54" i="9" s="1"/>
  <c r="C85" i="9"/>
  <c r="D55" i="9"/>
  <c r="M53" i="9" s="1"/>
  <c r="C78" i="9"/>
  <c r="C73" i="9" s="1"/>
  <c r="D52" i="9"/>
  <c r="C72" i="9"/>
  <c r="D53" i="9"/>
  <c r="C93" i="9"/>
  <c r="C86" i="9" s="1"/>
  <c r="H108" i="9"/>
  <c r="D15" i="53" s="1"/>
  <c r="B31" i="72" s="1"/>
  <c r="D13" i="53"/>
  <c r="D122" i="9"/>
  <c r="C79" i="9" l="1"/>
  <c r="C80" i="9" s="1"/>
  <c r="E80" i="9" s="1"/>
  <c r="E81" i="9" s="1"/>
  <c r="C95" i="9"/>
  <c r="D14" i="53"/>
  <c r="B32" i="72" s="1"/>
  <c r="B30" i="72"/>
  <c r="G14" i="74"/>
  <c r="B6" i="74" s="1"/>
  <c r="D123" i="9"/>
  <c r="D9" i="52" s="1"/>
  <c r="D8" i="52"/>
  <c r="C81" i="9" l="1"/>
  <c r="C6" i="74"/>
  <c r="D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<sst xmlns="http://schemas.openxmlformats.org/spreadsheetml/2006/main" count="7828" uniqueCount="3174">
  <si>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</si>
  <si>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</si>
  <si>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</si>
  <si>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</si>
  <si>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</si>
  <si>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</si>
  <si>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</si>
  <si>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</si>
  <si>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</si>
  <si>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</si>
  <si>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</si>
  <si>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</si>
  <si>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</si>
  <si>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</si>
  <si>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</si>
  <si>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</si>
  <si>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</si>
  <si>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</si>
  <si>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</si>
  <si>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</si>
  <si>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</si>
  <si>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</si>
  <si>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</si>
  <si>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</si>
  <si>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</si>
  <si>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</si>
  <si>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</si>
  <si>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</si>
  <si>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</si>
  <si>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</si>
  <si>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</si>
  <si>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</si>
  <si>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</si>
  <si>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</si>
  <si>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</si>
  <si>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</si>
  <si>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</si>
  <si>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</si>
  <si>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</si>
  <si>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</si>
  <si>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</si>
  <si>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</si>
  <si>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</si>
  <si>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</si>
  <si>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</si>
  <si>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</si>
  <si>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</si>
  <si>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</si>
  <si>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</si>
  <si>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</si>
  <si>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</si>
  <si>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</si>
  <si>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</si>
  <si>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</si>
  <si>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</si>
  <si>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</si>
  <si>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</si>
  <si>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</si>
  <si>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</si>
  <si>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</si>
  <si>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</si>
  <si>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</si>
  <si>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</si>
  <si>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</si>
  <si>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</si>
  <si>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</si>
  <si>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</si>
  <si>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</si>
  <si>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</si>
  <si>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</si>
  <si>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</si>
  <si>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</si>
  <si>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</si>
  <si>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</si>
  <si>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</si>
  <si>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</si>
  <si>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</si>
  <si>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</si>
  <si>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</si>
  <si>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</si>
  <si>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</si>
  <si>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</si>
  <si>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</si>
  <si>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</si>
  <si>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</si>
  <si>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</si>
  <si>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</si>
  <si>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</si>
  <si>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</si>
  <si>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</si>
  <si>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</si>
  <si>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</si>
  <si>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</si>
  <si>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</si>
  <si>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</si>
  <si>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</si>
  <si>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</si>
  <si>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</si>
  <si>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</si>
  <si>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</si>
  <si>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</si>
  <si>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</si>
  <si>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</si>
  <si>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</si>
  <si>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</si>
  <si>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</si>
  <si>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</si>
  <si>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</si>
  <si>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</si>
  <si>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</si>
  <si>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</si>
  <si>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</si>
  <si>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</si>
  <si>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</si>
  <si>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</si>
  <si>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</si>
  <si>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</si>
  <si>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</si>
  <si>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</si>
  <si>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</si>
  <si>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</si>
  <si>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</si>
  <si>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</si>
  <si>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</si>
  <si>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</si>
  <si>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</si>
  <si>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</si>
  <si>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</si>
  <si>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</si>
  <si>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</si>
  <si>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</si>
  <si>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</si>
  <si>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</si>
  <si>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</si>
  <si>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</si>
  <si>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</si>
  <si>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</si>
  <si>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</si>
  <si>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</si>
  <si>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</si>
  <si>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</si>
  <si>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</si>
  <si>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</si>
  <si>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</si>
  <si>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</si>
  <si>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</si>
  <si>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</si>
  <si>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</si>
  <si>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</si>
  <si>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</si>
  <si>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</si>
  <si>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</si>
  <si>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</si>
  <si>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</si>
  <si>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</si>
  <si>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</si>
  <si>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</si>
  <si>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</si>
  <si>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</si>
  <si>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</si>
  <si>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</si>
  <si>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</si>
  <si>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</si>
  <si>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</si>
  <si>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</si>
  <si>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</si>
  <si>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</si>
  <si>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</si>
  <si>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</si>
  <si>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</si>
  <si>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</si>
  <si>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</si>
  <si>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</si>
  <si>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</si>
  <si>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</si>
  <si>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</si>
  <si>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</si>
  <si>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</si>
  <si>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</si>
  <si>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</si>
  <si>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</si>
  <si>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</si>
  <si>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</si>
  <si>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</si>
  <si>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</si>
  <si>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</si>
  <si>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</si>
  <si>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</si>
  <si>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</si>
  <si>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</si>
  <si>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</si>
  <si>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</si>
  <si>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</si>
  <si>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</si>
  <si>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</si>
  <si>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</si>
  <si>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</si>
  <si>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</si>
  <si>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</si>
  <si>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</si>
  <si>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</si>
  <si>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</si>
  <si>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</si>
  <si>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</si>
  <si>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</si>
  <si>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</si>
  <si>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</si>
  <si>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</si>
  <si>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</si>
  <si>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</si>
  <si>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</si>
  <si>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</si>
  <si>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</si>
  <si>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</si>
  <si>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</si>
  <si>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</si>
  <si>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</si>
  <si>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</si>
  <si>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</si>
  <si>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</si>
  <si>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</si>
  <si>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</si>
  <si>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</si>
  <si>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</si>
  <si>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</si>
  <si>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</si>
  <si>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</si>
  <si>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</si>
  <si>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</si>
  <si>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</si>
  <si>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</si>
  <si>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</si>
  <si>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</si>
  <si>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</si>
  <si>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</si>
  <si>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</si>
  <si>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</si>
  <si>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</si>
  <si>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</si>
  <si>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</si>
  <si>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</si>
  <si>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</si>
  <si>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</si>
  <si>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</si>
  <si>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</si>
  <si>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</si>
  <si>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</si>
  <si>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</si>
  <si>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</si>
  <si>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</si>
  <si>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</si>
  <si>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</si>
  <si>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</si>
  <si>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</si>
  <si>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</si>
  <si>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</si>
  <si>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</si>
  <si>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</si>
  <si>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</si>
  <si>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</si>
  <si>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</si>
  <si>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</si>
  <si>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</si>
  <si>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</si>
  <si>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</si>
  <si>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</si>
  <si>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</si>
  <si>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</si>
  <si>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</si>
  <si>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</si>
  <si>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</si>
  <si>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</si>
  <si>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</si>
  <si>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</si>
  <si>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</si>
  <si>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</si>
  <si>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</si>
  <si>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</si>
  <si>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</si>
  <si>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</si>
  <si>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</si>
  <si>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</si>
  <si>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</si>
  <si>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</si>
  <si>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</si>
  <si>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</si>
  <si>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</si>
  <si>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</si>
  <si>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</si>
  <si>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</si>
  <si>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</si>
  <si>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</si>
  <si>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</si>
  <si>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</si>
  <si>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</si>
  <si>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</si>
  <si>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</si>
  <si>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</si>
  <si>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</si>
  <si>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</si>
  <si>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</si>
  <si>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</si>
  <si>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</si>
  <si>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</si>
  <si>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</si>
  <si>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</si>
  <si>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</si>
  <si>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</si>
  <si>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</si>
  <si>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</si>
  <si>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</si>
  <si>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</si>
  <si>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</si>
  <si>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</si>
  <si>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</si>
  <si>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</si>
  <si>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</si>
  <si>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</si>
  <si>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</si>
  <si>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</si>
  <si>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</si>
  <si>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</si>
  <si>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</si>
  <si>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</si>
  <si>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</si>
  <si>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</si>
  <si>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</si>
  <si>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</si>
  <si>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</si>
  <si>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</si>
  <si>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</si>
  <si>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</si>
  <si>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</si>
  <si>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</si>
  <si>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</si>
  <si>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</si>
  <si>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</si>
  <si>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</si>
  <si>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</si>
  <si>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</si>
  <si>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</si>
  <si>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</si>
  <si>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</si>
  <si>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</si>
  <si>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</si>
  <si>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</si>
  <si>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</si>
  <si>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</si>
  <si>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</si>
  <si>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</si>
  <si>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</si>
  <si>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</si>
  <si>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</si>
  <si>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</si>
  <si>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</si>
  <si>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</si>
  <si>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</si>
  <si>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</si>
  <si>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</si>
  <si>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</si>
  <si>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</si>
  <si>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</si>
  <si>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</si>
  <si>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</si>
  <si>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</si>
  <si>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</si>
  <si>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</si>
  <si>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</si>
  <si>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</si>
  <si>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</si>
  <si>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</si>
  <si>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</si>
  <si>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</si>
  <si>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</si>
  <si>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</si>
  <si>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</si>
  <si>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</si>
  <si>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</si>
  <si>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</si>
  <si>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</si>
  <si>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</si>
  <si>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</si>
  <si>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</si>
  <si>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</si>
  <si>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</si>
  <si>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</si>
  <si>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</si>
  <si>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</si>
  <si>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</si>
  <si>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</si>
  <si>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</si>
  <si>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</si>
  <si>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</si>
  <si>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</si>
  <si>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</si>
  <si>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</si>
  <si>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</si>
  <si>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</si>
  <si>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</si>
  <si>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</si>
  <si>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</si>
  <si>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</si>
  <si>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</si>
  <si>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</si>
  <si>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</si>
  <si>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</si>
  <si>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</si>
  <si>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</si>
  <si>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</si>
  <si>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</si>
  <si>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</si>
  <si>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</si>
  <si>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</si>
  <si>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</si>
  <si>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</si>
  <si>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</si>
  <si>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</si>
  <si>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</si>
  <si>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</si>
  <si>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</si>
  <si>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</si>
  <si>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</si>
  <si>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</si>
  <si>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</si>
  <si>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</si>
  <si>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</si>
  <si>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</si>
  <si>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</si>
  <si>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</si>
  <si>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</si>
  <si>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</si>
  <si>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</si>
  <si>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</si>
  <si>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</si>
  <si>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</si>
  <si>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</si>
  <si>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</si>
  <si>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</si>
  <si>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</si>
  <si>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</si>
  <si>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</si>
  <si>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</si>
  <si>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</si>
  <si>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</si>
  <si>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</si>
  <si>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</si>
  <si>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</si>
  <si>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</si>
  <si>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</si>
  <si>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</si>
  <si>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</si>
  <si>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</si>
  <si>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</si>
  <si>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</si>
  <si>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</si>
  <si>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</si>
  <si>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</si>
  <si>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</si>
  <si>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</si>
  <si>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</si>
  <si>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</si>
  <si>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</si>
  <si>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</si>
  <si>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</si>
  <si>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</si>
  <si>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</si>
  <si>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</si>
  <si>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</si>
  <si>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</si>
  <si>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</si>
  <si>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</si>
  <si>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</si>
  <si>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</si>
  <si>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</si>
  <si>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</si>
  <si>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</si>
  <si>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</si>
  <si>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</si>
  <si>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</si>
  <si>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</si>
  <si>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</si>
  <si>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</si>
  <si>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</si>
  <si>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</si>
  <si>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</si>
  <si>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</si>
  <si>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</si>
  <si>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</si>
  <si>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</si>
  <si>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</si>
  <si>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</si>
  <si>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</si>
  <si>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</si>
  <si>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</si>
  <si>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</si>
  <si>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</si>
  <si>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</si>
  <si>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</si>
  <si>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</si>
  <si>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</si>
  <si>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</si>
  <si>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</si>
  <si>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</si>
  <si>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</si>
  <si>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</si>
  <si>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</si>
  <si>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</si>
  <si>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</si>
  <si>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</si>
  <si>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</si>
  <si>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</si>
  <si>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</si>
  <si>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</si>
  <si>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</si>
  <si>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</si>
  <si>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</si>
  <si>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</si>
  <si>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</si>
  <si>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</si>
  <si>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</si>
  <si>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</si>
  <si>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</si>
  <si>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</si>
  <si>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</si>
  <si>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</si>
  <si>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</si>
  <si>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</si>
  <si>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</si>
  <si>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</si>
  <si>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</si>
  <si>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</si>
  <si>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</si>
  <si>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</si>
  <si>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</si>
  <si>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</si>
  <si>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</si>
  <si>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</si>
  <si>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</si>
  <si>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</si>
  <si>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</si>
  <si>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</si>
  <si>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</si>
  <si>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</si>
  <si>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</si>
  <si>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</si>
  <si>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</si>
  <si>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</si>
  <si>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</si>
  <si>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</si>
  <si>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</si>
  <si>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</si>
  <si>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</si>
  <si>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</si>
  <si>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</si>
  <si>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</si>
  <si>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</si>
  <si>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</si>
  <si>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</si>
  <si>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</si>
  <si>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</si>
  <si>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</si>
  <si>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</si>
  <si>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</si>
  <si>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</si>
  <si>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</si>
  <si>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</si>
  <si>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</si>
  <si>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</si>
  <si>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</si>
  <si>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</si>
  <si>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</si>
  <si>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</si>
  <si>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</si>
  <si>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</si>
  <si>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</si>
  <si>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</si>
  <si>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</si>
  <si>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</si>
  <si>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</si>
  <si>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</si>
  <si>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</si>
  <si>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</si>
  <si>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</si>
  <si>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</si>
  <si>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</si>
  <si>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</si>
  <si>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</si>
  <si>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</si>
  <si>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</si>
  <si>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</si>
  <si>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</si>
  <si>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</si>
  <si>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</si>
  <si>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</si>
  <si>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</si>
  <si>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</si>
  <si>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</si>
  <si>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</si>
  <si>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</si>
  <si>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</si>
  <si>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</si>
  <si>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</si>
  <si>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</si>
  <si>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</si>
  <si>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</si>
  <si>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</si>
  <si>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</si>
  <si>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</si>
  <si>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</si>
  <si>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</si>
  <si>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</si>
  <si>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</si>
  <si>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</si>
  <si>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</si>
  <si>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</si>
  <si>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</si>
  <si>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</si>
  <si>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</si>
  <si>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</si>
  <si>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</si>
  <si>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</si>
  <si>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</si>
  <si>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</si>
  <si>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</si>
  <si>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</si>
  <si>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</si>
  <si>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</si>
  <si>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</si>
  <si>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</si>
  <si>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</si>
  <si>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</si>
  <si>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</si>
  <si>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</si>
  <si>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</si>
  <si>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</si>
  <si>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</si>
  <si>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</si>
  <si>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</si>
  <si>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</si>
  <si>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</si>
  <si>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</si>
  <si>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</si>
  <si>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</si>
  <si>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</si>
  <si>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</si>
  <si>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</si>
  <si>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</si>
  <si>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</si>
  <si>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</si>
  <si>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</si>
  <si>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</si>
  <si>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</si>
  <si>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</si>
  <si>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</si>
  <si>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</si>
  <si>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</si>
  <si>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</si>
  <si>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</si>
  <si>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</si>
  <si>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</si>
  <si>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</si>
  <si>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</si>
  <si>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</si>
  <si>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</si>
  <si>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</si>
  <si>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</si>
  <si>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</si>
  <si>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</si>
  <si>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</si>
  <si>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</si>
  <si>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</si>
  <si>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</si>
  <si>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</si>
  <si>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</si>
  <si>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</si>
  <si>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</si>
  <si>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</si>
  <si>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</si>
  <si>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</si>
  <si>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</si>
  <si>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</si>
  <si>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</si>
  <si>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</si>
  <si>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</si>
  <si>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</si>
  <si>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</si>
  <si>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</si>
  <si>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</si>
  <si>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</si>
  <si>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</si>
  <si>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</si>
  <si>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</si>
  <si>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</si>
  <si>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</si>
  <si>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</si>
  <si>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</si>
  <si>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</si>
  <si>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</si>
  <si>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</si>
  <si>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</si>
  <si>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</si>
  <si>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</si>
  <si>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</si>
  <si>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</si>
  <si>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</si>
  <si>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</si>
  <si>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</si>
  <si>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</si>
  <si>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</si>
  <si>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</si>
  <si>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</si>
  <si>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</si>
  <si>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</si>
  <si>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</si>
  <si>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</si>
  <si>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</si>
  <si>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</si>
  <si>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</si>
  <si>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</si>
  <si>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</si>
  <si>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</si>
  <si>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</si>
  <si>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</si>
  <si>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</si>
  <si>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</si>
  <si>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</si>
  <si>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</si>
  <si>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</si>
  <si>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</si>
  <si>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</si>
  <si>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</si>
  <si>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</si>
  <si>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</si>
  <si>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</si>
  <si>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</si>
  <si>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</si>
  <si>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</si>
  <si>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</si>
  <si>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</si>
  <si>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</si>
  <si>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</si>
  <si>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</si>
  <si>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</si>
  <si>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</si>
  <si>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</si>
  <si>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</si>
  <si>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</si>
  <si>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</si>
  <si>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</si>
  <si>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</si>
  <si>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</si>
  <si>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</si>
  <si>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</si>
  <si>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</si>
  <si>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</si>
  <si>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</si>
  <si>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</si>
  <si>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</si>
  <si>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</si>
  <si>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</si>
  <si>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</si>
  <si>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</si>
  <si>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</si>
  <si>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</si>
  <si>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</si>
  <si>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</si>
  <si>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</si>
  <si>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</si>
  <si>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</si>
  <si>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</si>
  <si>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</si>
  <si>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</si>
  <si>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</si>
  <si>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</si>
  <si>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</si>
  <si>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</si>
  <si>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</si>
  <si>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</si>
  <si>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</si>
  <si>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</si>
  <si>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</si>
  <si>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</si>
  <si>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</si>
  <si>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</si>
  <si>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</si>
  <si>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</si>
  <si>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</si>
  <si>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</si>
  <si>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</si>
  <si>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</si>
  <si>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</si>
  <si>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</si>
  <si>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</si>
  <si>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</si>
  <si>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</si>
  <si>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</si>
  <si>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</si>
  <si>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</si>
  <si>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</si>
  <si>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</si>
  <si>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</si>
  <si>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</si>
  <si>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</si>
  <si>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</si>
  <si>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</si>
  <si>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</si>
  <si>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</si>
  <si>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</si>
  <si>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</si>
  <si>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</si>
  <si>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</si>
  <si>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</si>
  <si>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</si>
  <si>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</si>
  <si>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</si>
  <si>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</si>
  <si>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</si>
  <si>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</si>
  <si>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</si>
  <si>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</si>
  <si>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</si>
  <si>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</si>
  <si>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</si>
  <si>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</si>
  <si>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</si>
  <si>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</si>
  <si>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</si>
  <si>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</si>
  <si>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</si>
  <si>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</si>
  <si>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</si>
  <si>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</si>
  <si>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</si>
  <si>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</si>
  <si>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</si>
  <si>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</si>
  <si>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</si>
  <si>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</si>
  <si>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</si>
  <si>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</si>
  <si>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</si>
  <si>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</si>
  <si>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</si>
  <si>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</si>
  <si>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</si>
  <si>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</si>
  <si>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</si>
  <si>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</si>
  <si>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</si>
  <si>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</si>
  <si>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</si>
  <si>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</si>
  <si>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</si>
  <si>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</si>
  <si>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</si>
  <si>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</si>
  <si>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</si>
  <si>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</si>
  <si>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</si>
  <si>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</si>
  <si>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</si>
  <si>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</si>
  <si>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</si>
  <si>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</si>
  <si>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</si>
  <si>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</si>
  <si>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</si>
  <si>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</si>
  <si>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</si>
  <si>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</si>
  <si>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</si>
  <si>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</si>
  <si>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</si>
  <si>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</si>
  <si>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</si>
  <si>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</si>
  <si>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</si>
  <si>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</si>
  <si>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</si>
  <si>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</si>
  <si>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</si>
  <si>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</si>
  <si>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</si>
  <si>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</si>
  <si>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</si>
  <si>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</si>
  <si>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</si>
  <si>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</si>
  <si>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</si>
  <si>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</si>
  <si>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</si>
  <si>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</si>
  <si>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</si>
  <si>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</si>
  <si>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</si>
  <si>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</si>
  <si>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</si>
  <si>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</si>
  <si>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</si>
  <si>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</si>
  <si>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</si>
  <si>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</si>
  <si>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</si>
  <si>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</si>
  <si>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</si>
  <si>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</si>
  <si>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</si>
  <si>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</si>
  <si>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</si>
  <si>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</si>
  <si>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</si>
  <si>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</si>
  <si>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</si>
  <si>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</si>
  <si>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</si>
  <si>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</si>
  <si>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</si>
  <si>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</si>
  <si>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</si>
  <si>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</si>
  <si>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</si>
  <si>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</si>
  <si>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</si>
  <si>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</si>
  <si>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</si>
  <si>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</si>
  <si>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</si>
  <si>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</si>
  <si>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</si>
  <si>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</si>
  <si>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</si>
  <si>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</si>
  <si>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</si>
  <si>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</si>
  <si>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</si>
  <si>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</si>
  <si>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</si>
  <si>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</si>
  <si>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</si>
  <si>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</si>
  <si>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</si>
  <si>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</si>
  <si>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</si>
  <si>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</si>
  <si>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</si>
  <si>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</si>
  <si>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</si>
  <si>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</si>
  <si>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</si>
  <si>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</si>
  <si>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</si>
  <si>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</si>
  <si>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</si>
  <si>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</si>
  <si>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</si>
  <si>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</si>
  <si>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</si>
  <si>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</si>
  <si>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</si>
  <si>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</si>
  <si>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</si>
  <si>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</si>
  <si>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</si>
  <si>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</si>
  <si>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</si>
  <si>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</si>
  <si>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</si>
  <si>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</si>
  <si>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</si>
  <si>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</si>
  <si>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</si>
  <si>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</si>
  <si>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</si>
  <si>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</si>
  <si>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</si>
  <si>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</si>
  <si>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</si>
  <si>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</si>
  <si>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</si>
  <si>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</si>
  <si>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</si>
  <si>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</si>
  <si>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</si>
  <si>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</si>
  <si>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</si>
  <si>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</si>
  <si>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</si>
  <si>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</si>
  <si>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</si>
  <si>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</si>
  <si>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</si>
  <si>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</si>
  <si>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</si>
  <si>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</si>
  <si>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</si>
  <si>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</si>
  <si>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</si>
  <si>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</si>
  <si>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</si>
  <si>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</si>
  <si>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</si>
  <si>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</si>
  <si>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</si>
  <si>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</si>
  <si>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</si>
  <si>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</si>
  <si>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</si>
  <si>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</si>
  <si>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</si>
  <si>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</si>
  <si>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</si>
  <si>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</si>
  <si>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</si>
  <si>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</si>
  <si>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</si>
  <si>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</si>
  <si>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</si>
  <si>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</si>
  <si>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</si>
  <si>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</si>
  <si>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</si>
  <si>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</si>
  <si>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</si>
  <si>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</si>
  <si>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</si>
  <si>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</si>
  <si>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</si>
  <si>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</si>
  <si>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</si>
  <si>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</si>
  <si>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</si>
  <si>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</si>
  <si>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</si>
  <si>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</si>
  <si>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</si>
  <si>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</si>
  <si>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</si>
  <si>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</si>
  <si>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</si>
  <si>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</si>
  <si>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</si>
  <si>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</si>
  <si>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</si>
  <si>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</si>
  <si>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</si>
  <si>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</si>
  <si>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</si>
  <si>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</si>
  <si>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</si>
  <si>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</si>
  <si>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</si>
  <si>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</si>
  <si>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</si>
  <si>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</si>
  <si>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</si>
  <si>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</si>
  <si>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</si>
  <si>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</si>
  <si>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</si>
  <si>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</si>
  <si>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</si>
  <si>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</si>
  <si>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</si>
  <si>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</si>
  <si>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</si>
  <si>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</si>
  <si>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</si>
  <si>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</si>
  <si>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</si>
  <si>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</si>
  <si>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</si>
  <si>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</si>
  <si>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</si>
  <si>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</si>
  <si>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</si>
  <si>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</si>
  <si>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</si>
  <si>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</si>
  <si>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</si>
  <si>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</si>
  <si>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</si>
  <si>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</si>
  <si>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</si>
  <si>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</si>
  <si>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</si>
  <si>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</si>
  <si>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</si>
  <si>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</si>
  <si>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</si>
  <si>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</si>
  <si>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</si>
  <si>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</si>
  <si>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</si>
  <si>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</si>
  <si>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</si>
  <si>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</si>
  <si>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</si>
  <si>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</si>
  <si>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</si>
  <si>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</si>
  <si>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</si>
  <si>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</si>
  <si>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</si>
  <si>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</si>
  <si>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</si>
  <si>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</si>
  <si>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</si>
  <si>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</si>
  <si>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</si>
  <si>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</si>
  <si>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</si>
  <si>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</si>
  <si>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</si>
  <si>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</si>
  <si>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</si>
  <si>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</si>
  <si>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</si>
  <si>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</si>
  <si>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</si>
  <si>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</si>
  <si>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</si>
  <si>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</si>
  <si>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</si>
  <si>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</si>
  <si>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</si>
  <si>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</si>
  <si>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</si>
  <si>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</si>
  <si>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</si>
  <si>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</si>
  <si>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</si>
  <si>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</si>
  <si>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</si>
  <si>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</si>
  <si>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</si>
  <si>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</si>
  <si>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</si>
  <si>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</si>
  <si>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</si>
  <si>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</si>
  <si>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</si>
  <si>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</si>
  <si>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</si>
  <si>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</si>
  <si>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</si>
  <si>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</si>
  <si>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</si>
  <si>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</si>
  <si>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</si>
  <si>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</si>
  <si>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</si>
  <si>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</si>
  <si>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</si>
  <si>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</si>
  <si>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</si>
  <si>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</si>
  <si>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</si>
  <si>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</si>
  <si>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</si>
  <si>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</si>
  <si>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</si>
  <si>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</si>
  <si>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</si>
  <si>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</si>
  <si>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</si>
  <si>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</si>
  <si>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</si>
  <si>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</si>
  <si>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</si>
  <si>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</si>
  <si>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</si>
  <si>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</si>
  <si>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</si>
  <si>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</si>
  <si>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</si>
  <si>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</si>
  <si>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</si>
  <si>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</si>
  <si>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</si>
  <si>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</si>
  <si>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</si>
  <si>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</si>
  <si>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</si>
  <si>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</si>
  <si>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</si>
  <si>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</si>
  <si>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</si>
  <si>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</si>
  <si>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</si>
  <si>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</si>
  <si>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</si>
  <si>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</si>
  <si>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</si>
  <si>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</si>
  <si>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</si>
  <si>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</si>
  <si>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</si>
  <si>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</si>
  <si>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</si>
  <si>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</si>
  <si>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</si>
  <si>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</si>
  <si>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</si>
  <si>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</si>
  <si>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</si>
  <si>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</si>
  <si>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</si>
  <si>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</si>
  <si>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</si>
  <si>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</si>
  <si>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</si>
  <si>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</si>
  <si>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</si>
  <si>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</si>
  <si>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</si>
  <si>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</si>
  <si>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</si>
  <si>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</si>
  <si>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</si>
  <si>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</si>
  <si>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</si>
  <si>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</si>
  <si>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</si>
  <si>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</si>
  <si>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</si>
  <si>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</si>
  <si>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</si>
  <si>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</si>
  <si>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</si>
  <si>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</si>
  <si>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</si>
  <si>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</si>
  <si>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</si>
  <si>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</si>
  <si>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</si>
  <si>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</si>
  <si>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</si>
  <si>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</si>
  <si>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</si>
  <si>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</si>
  <si>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</si>
  <si>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</si>
  <si>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</si>
  <si>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</si>
  <si>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</si>
  <si>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</si>
  <si>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</si>
  <si>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</si>
  <si>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</si>
  <si>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</si>
  <si>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</si>
  <si>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</si>
  <si>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</si>
  <si>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</si>
  <si>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</si>
  <si>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</si>
  <si>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</si>
  <si>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</si>
  <si>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</si>
  <si>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</si>
  <si>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</si>
  <si>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</si>
  <si>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</si>
  <si>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</si>
  <si>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</si>
  <si>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</si>
  <si>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</si>
  <si>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</si>
  <si>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</si>
  <si>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</si>
  <si>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</si>
  <si>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</si>
  <si>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</si>
  <si>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</si>
  <si>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</si>
  <si>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</si>
  <si>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</si>
  <si>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</si>
  <si>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</si>
  <si>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</si>
  <si>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</si>
  <si>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</si>
  <si>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</si>
  <si>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</si>
  <si>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</si>
  <si>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</si>
  <si>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</si>
  <si>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</si>
  <si>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</si>
  <si>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</si>
  <si>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</si>
  <si>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</si>
  <si>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</si>
  <si>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</si>
  <si>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</si>
  <si>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</si>
  <si>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</si>
  <si>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</si>
  <si>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</si>
  <si>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</si>
  <si>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</si>
  <si>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</si>
  <si>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</si>
  <si>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</si>
  <si>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</si>
  <si>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</si>
  <si>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</si>
  <si>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</si>
  <si>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</si>
  <si>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</si>
  <si>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</si>
  <si>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</si>
  <si>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</si>
  <si>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</si>
  <si>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</si>
  <si>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</si>
  <si>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</si>
  <si>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</si>
  <si>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</si>
  <si>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</si>
  <si>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</si>
  <si>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</si>
  <si>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</si>
  <si>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</si>
  <si>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</si>
  <si>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</si>
  <si>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</si>
  <si>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</si>
  <si>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</si>
  <si>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</si>
  <si>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</si>
  <si>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</si>
  <si>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</si>
  <si>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</si>
  <si>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</si>
  <si>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</si>
  <si>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</si>
  <si>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</si>
  <si>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</si>
  <si>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</si>
  <si>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</si>
  <si>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</si>
  <si>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</si>
  <si>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</si>
  <si>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</si>
  <si>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</si>
  <si>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</si>
  <si>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</si>
  <si>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</si>
  <si>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</si>
  <si>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</si>
  <si>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</si>
  <si>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</si>
  <si>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</si>
  <si>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</si>
  <si>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</si>
  <si>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</si>
  <si>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</si>
  <si>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</si>
  <si>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</si>
  <si>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</si>
  <si>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</si>
  <si>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</si>
  <si>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</si>
  <si>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</si>
  <si>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</si>
  <si>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</si>
  <si>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</si>
  <si>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</si>
  <si>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</si>
  <si>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</si>
  <si>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</si>
  <si>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</si>
  <si>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</si>
  <si>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</si>
  <si>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</si>
  <si>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</si>
  <si>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</si>
  <si>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</si>
  <si>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</si>
  <si>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</si>
  <si>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</si>
  <si>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</si>
  <si>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</si>
  <si>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</si>
  <si>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</si>
  <si>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</si>
  <si>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</si>
  <si>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</si>
  <si>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</si>
  <si>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</si>
  <si>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</si>
  <si>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</si>
  <si>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</si>
  <si>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</si>
  <si>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</si>
  <si>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</si>
  <si>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</si>
  <si>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</si>
  <si>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</si>
  <si>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</si>
  <si>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</si>
  <si>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</si>
  <si>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</si>
  <si>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</si>
  <si>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</si>
  <si>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</si>
  <si>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</si>
  <si>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</si>
  <si>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</si>
  <si>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</si>
  <si>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</si>
  <si>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</si>
  <si>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</si>
  <si>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</si>
  <si>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</si>
  <si>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</si>
  <si>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</si>
  <si>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</si>
  <si>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</si>
  <si>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</si>
  <si>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</si>
  <si>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</si>
  <si>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</si>
  <si>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</si>
  <si>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</si>
  <si>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</si>
  <si>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</si>
  <si>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</si>
  <si>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</si>
  <si>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</si>
  <si>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</si>
  <si>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</si>
  <si>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</si>
  <si>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</si>
  <si>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</si>
  <si>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</si>
  <si>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</si>
  <si>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</si>
  <si>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</si>
  <si>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</si>
  <si>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</si>
  <si>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</si>
  <si>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</si>
  <si>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</si>
  <si>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</si>
  <si>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</si>
  <si>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</si>
  <si>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</si>
  <si>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</si>
  <si>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</si>
  <si>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</si>
  <si>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</si>
  <si>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</si>
  <si>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</si>
  <si>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</si>
  <si>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</si>
  <si>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</si>
  <si>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</si>
  <si>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</si>
  <si>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</si>
  <si>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</si>
  <si>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</si>
  <si>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</si>
  <si>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</si>
  <si>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</si>
  <si>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</si>
  <si>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</si>
  <si>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</si>
  <si>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</si>
  <si>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</si>
  <si>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</si>
  <si>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</si>
  <si>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</si>
  <si>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</si>
  <si>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</si>
  <si>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</si>
  <si>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</si>
  <si>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</si>
  <si>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</si>
  <si>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</si>
  <si>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</si>
  <si>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</si>
  <si>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</si>
  <si>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</si>
  <si>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</si>
  <si>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</si>
  <si>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</si>
  <si>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</si>
  <si>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</si>
  <si>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</si>
  <si>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</si>
  <si>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</si>
  <si>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</si>
  <si>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</si>
  <si>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</si>
  <si>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</si>
  <si>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</si>
  <si>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</si>
  <si>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</si>
  <si>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</si>
  <si>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</si>
  <si>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</si>
  <si>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</si>
  <si>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</si>
  <si>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</si>
  <si>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</si>
  <si>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</si>
  <si>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</si>
  <si>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</si>
  <si>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</si>
  <si>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</si>
  <si>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</si>
  <si>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</si>
  <si>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</si>
  <si>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</si>
  <si>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</si>
  <si>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</si>
  <si>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</si>
  <si>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</si>
  <si>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</si>
  <si>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</si>
  <si>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</si>
  <si>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</si>
  <si>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</si>
  <si>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</si>
  <si>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</si>
  <si>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</si>
  <si>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</si>
  <si>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</si>
  <si>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</si>
  <si>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</si>
  <si>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</si>
  <si>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</si>
  <si>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</si>
  <si>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</si>
  <si>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</si>
  <si>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</si>
  <si>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</si>
  <si>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</si>
  <si>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</si>
  <si>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</si>
  <si>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</si>
  <si>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</si>
  <si>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</si>
  <si>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</si>
  <si>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</si>
  <si>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</si>
  <si>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</si>
  <si>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</si>
  <si>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</si>
  <si>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</si>
  <si>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</si>
  <si>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</si>
  <si>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</si>
  <si>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</si>
  <si>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</si>
  <si>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</si>
  <si>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</si>
  <si>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</si>
  <si>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</si>
  <si>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</si>
  <si>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</si>
  <si>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</si>
  <si>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</si>
  <si>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</si>
  <si>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</si>
  <si>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</si>
  <si>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</si>
  <si>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</si>
  <si>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</si>
  <si>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</si>
  <si>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</si>
  <si>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</si>
  <si>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</si>
  <si>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</si>
  <si>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</si>
  <si>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</si>
  <si>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</si>
  <si>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</si>
  <si>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</si>
  <si>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</si>
  <si>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</si>
  <si>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</si>
  <si>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</si>
  <si>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</si>
  <si>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</si>
  <si>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</si>
  <si>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</si>
  <si>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</si>
  <si>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</si>
  <si>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</si>
  <si>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</si>
  <si>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</si>
  <si>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</si>
  <si>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</si>
  <si>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</si>
  <si>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</si>
  <si>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</si>
  <si>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</si>
  <si>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</si>
  <si>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</si>
  <si>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</si>
  <si>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</si>
  <si>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</si>
  <si>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</si>
  <si>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</si>
  <si>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</si>
  <si>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</si>
  <si>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</si>
  <si>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</si>
  <si>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</si>
  <si>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</si>
  <si>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</si>
  <si>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</si>
  <si>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</si>
  <si>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</si>
  <si>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</si>
  <si>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</si>
  <si>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</si>
  <si>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</si>
  <si>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</si>
  <si>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</si>
  <si>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</si>
  <si>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</si>
  <si>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</si>
  <si>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</si>
  <si>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</si>
  <si>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</si>
  <si>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</si>
  <si>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</si>
  <si>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</si>
  <si>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</si>
  <si>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</si>
  <si>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</si>
  <si>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</si>
  <si>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</si>
  <si>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</si>
  <si>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</si>
  <si>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</si>
  <si>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</si>
  <si>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</si>
  <si>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</si>
  <si>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</si>
  <si>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</si>
  <si>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</si>
  <si>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</si>
  <si>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</si>
  <si>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</si>
  <si>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</si>
  <si>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</si>
  <si>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</si>
  <si>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</si>
  <si>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</si>
  <si>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</si>
  <si>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</si>
  <si>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</si>
  <si>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</si>
  <si>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</si>
  <si>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</si>
  <si>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</si>
  <si>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</si>
  <si>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</si>
  <si>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</si>
  <si>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</si>
  <si>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</si>
  <si>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</si>
  <si>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</si>
  <si>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</si>
  <si>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</si>
  <si>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</si>
  <si>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</si>
  <si>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</si>
  <si>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</si>
  <si>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</si>
  <si>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</si>
  <si>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</si>
  <si>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</si>
  <si>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</si>
  <si>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</si>
  <si>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</si>
  <si>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</si>
  <si>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</si>
  <si>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</si>
  <si>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</si>
  <si>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</si>
  <si>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</si>
  <si>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</si>
  <si>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</si>
  <si>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</si>
  <si>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</si>
  <si>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</si>
  <si>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</si>
  <si>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</si>
  <si>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</si>
  <si>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</si>
  <si>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</si>
  <si>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</si>
  <si>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</si>
  <si>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</si>
  <si>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</si>
  <si>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</si>
  <si>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</si>
  <si>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</si>
  <si>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</si>
  <si>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</si>
  <si>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</si>
  <si>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</si>
  <si>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</si>
  <si>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</si>
  <si>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</si>
  <si>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</si>
  <si>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</si>
  <si>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</si>
  <si>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</si>
  <si>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</si>
  <si>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</si>
  <si>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</si>
  <si>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</si>
  <si>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</si>
  <si>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</si>
  <si>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</si>
  <si>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</si>
  <si>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</si>
  <si>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</si>
  <si>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</si>
  <si>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</si>
  <si>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</si>
  <si>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</si>
  <si>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</si>
  <si>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</si>
  <si>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</si>
  <si>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</si>
  <si>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</si>
  <si>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</si>
  <si>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</si>
  <si>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</si>
  <si>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</si>
  <si>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</si>
  <si>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</si>
  <si>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</si>
  <si>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</si>
  <si>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</si>
  <si>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</si>
  <si>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</si>
  <si>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</si>
  <si>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</si>
  <si>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</si>
  <si>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</si>
  <si>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</si>
  <si>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</si>
  <si>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</si>
  <si>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</si>
  <si>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</si>
  <si>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</si>
  <si>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</si>
  <si>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</si>
  <si>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</si>
  <si>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</si>
  <si>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</si>
  <si>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</si>
  <si>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</si>
  <si>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</si>
  <si>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</si>
  <si>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</si>
  <si>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</si>
  <si>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</si>
  <si>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</si>
  <si>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</si>
  <si>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</si>
  <si>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</si>
  <si>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</si>
  <si>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</si>
  <si>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</si>
  <si>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</si>
  <si>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</si>
  <si>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</si>
  <si>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</si>
  <si>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</si>
  <si>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</si>
  <si>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</si>
  <si>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</si>
  <si>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</si>
  <si>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</si>
  <si>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</si>
  <si>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</si>
  <si>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</si>
  <si>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</si>
  <si>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</si>
  <si>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</si>
  <si>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</si>
  <si>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</si>
  <si>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</si>
  <si>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</si>
  <si>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</si>
  <si>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</si>
  <si>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</si>
  <si>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</si>
  <si>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</si>
  <si>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</si>
  <si>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</si>
  <si>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</si>
  <si>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</si>
  <si>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</si>
  <si>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</si>
  <si>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</si>
  <si>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</si>
  <si>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</si>
  <si>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</si>
  <si>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</si>
  <si>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</si>
  <si>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</si>
  <si>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</si>
  <si>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</si>
  <si>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</si>
  <si>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</si>
  <si>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</si>
  <si>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</si>
  <si>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</si>
  <si>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</si>
  <si>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</si>
  <si>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</si>
  <si>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</si>
  <si>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</si>
  <si>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</si>
  <si>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</si>
  <si>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</si>
  <si>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</si>
  <si>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</si>
  <si>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</si>
  <si>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</si>
  <si>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</si>
  <si>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</si>
  <si>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</si>
  <si>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</si>
  <si>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</si>
  <si>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</si>
  <si>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</si>
  <si>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</si>
  <si>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</si>
  <si>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</si>
  <si>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</si>
  <si>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</si>
  <si>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</si>
  <si>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</si>
  <si>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</si>
  <si>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</si>
  <si>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</si>
  <si>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</si>
  <si>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</si>
  <si>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</si>
  <si>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</si>
  <si>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</si>
  <si>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</si>
  <si>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</si>
  <si>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</si>
  <si>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</si>
  <si>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</si>
  <si>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</si>
  <si>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</si>
  <si>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</si>
  <si>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</si>
  <si>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</si>
  <si>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</si>
  <si>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</si>
  <si>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</si>
  <si>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</si>
  <si>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</si>
  <si>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</si>
  <si>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</si>
  <si>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</si>
  <si>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</si>
  <si>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</si>
  <si>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</si>
  <si>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</si>
  <si>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</si>
  <si>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</si>
  <si>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</si>
  <si>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</si>
  <si>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</si>
  <si>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</si>
  <si>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</si>
  <si>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</si>
  <si>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</si>
  <si>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</si>
  <si>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</si>
  <si>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</si>
  <si>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</si>
  <si>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</si>
  <si>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</si>
  <si>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</si>
  <si>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</si>
  <si>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</si>
  <si>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</si>
  <si>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</si>
  <si>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</si>
  <si>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</si>
  <si>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</si>
  <si>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</si>
  <si>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</si>
  <si>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</si>
  <si>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</si>
  <si>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</si>
  <si>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</si>
  <si>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</si>
  <si>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</si>
  <si>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</si>
  <si>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</si>
  <si>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</si>
  <si>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</si>
  <si>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</si>
  <si>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</si>
  <si>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</si>
  <si>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</si>
  <si>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</si>
  <si>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</si>
  <si>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</si>
  <si>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</si>
  <si>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</si>
  <si>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</si>
  <si>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</si>
  <si>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</si>
  <si>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</si>
  <si>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</si>
  <si>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</si>
  <si>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</si>
  <si>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</si>
  <si>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</si>
  <si>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</si>
  <si>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</si>
  <si>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</si>
  <si>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</si>
  <si>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</si>
  <si>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</si>
  <si>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</si>
  <si>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</si>
  <si>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</si>
  <si>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</si>
  <si>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</si>
  <si>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</si>
  <si>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</si>
  <si>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</si>
  <si>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</si>
  <si>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</si>
  <si>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</si>
  <si>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</si>
  <si>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</si>
  <si>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</si>
  <si>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</si>
  <si>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</si>
  <si>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</si>
  <si>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</si>
  <si>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</si>
  <si>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</si>
  <si>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</si>
  <si>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</si>
  <si>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</si>
  <si>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</si>
  <si>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</si>
  <si>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</si>
  <si>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</si>
  <si>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</si>
  <si>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</si>
  <si>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</si>
  <si>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</si>
  <si>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</si>
  <si>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</si>
  <si>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</si>
  <si>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</si>
  <si>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</si>
  <si>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</si>
  <si>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</si>
  <si>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</si>
  <si>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</si>
  <si>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</si>
  <si>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</si>
  <si>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</si>
  <si>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</si>
  <si>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</si>
  <si>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</si>
  <si>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</si>
  <si>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</si>
  <si>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</si>
  <si>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</si>
  <si>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</si>
  <si>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</si>
  <si>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</si>
  <si>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</si>
  <si>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</si>
  <si>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</si>
  <si>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</si>
  <si>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</si>
  <si>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</si>
  <si>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</si>
  <si>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</si>
  <si>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</si>
  <si>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</si>
  <si>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</si>
  <si>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</si>
  <si>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</si>
  <si>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</si>
  <si>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</si>
  <si>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</si>
  <si>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</si>
  <si>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</si>
  <si>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</si>
  <si>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</si>
  <si>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</si>
  <si>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</si>
  <si>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</si>
  <si>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</si>
  <si>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</si>
  <si>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</si>
  <si>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</si>
  <si>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</si>
  <si>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</si>
  <si>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</si>
  <si>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</si>
  <si>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</si>
  <si>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</si>
  <si>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</si>
  <si>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</si>
  <si>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</si>
  <si>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</si>
  <si>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</si>
  <si>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</si>
  <si>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</si>
  <si>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</si>
  <si>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</si>
  <si>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</si>
  <si>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</si>
  <si>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</si>
  <si>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</si>
  <si>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</si>
  <si>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</si>
  <si>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</si>
  <si>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</si>
  <si>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</si>
  <si>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</si>
  <si>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</si>
  <si>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</si>
  <si>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</si>
  <si>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</si>
  <si>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</si>
  <si>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</si>
  <si>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</si>
  <si>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</si>
  <si>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</si>
  <si>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</si>
  <si>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</si>
  <si>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</si>
  <si>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</si>
  <si>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</si>
  <si>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</si>
  <si>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</si>
  <si>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</si>
  <si>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</si>
  <si>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</si>
  <si>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</si>
  <si>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</si>
  <si>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</si>
  <si>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</si>
  <si>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</si>
  <si>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</si>
  <si>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</si>
  <si>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</si>
  <si>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</si>
  <si>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</si>
  <si>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</si>
  <si>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</si>
  <si>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</si>
  <si>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</si>
  <si>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</si>
  <si>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</si>
  <si>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</si>
  <si>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</si>
  <si>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</si>
  <si>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</si>
  <si>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</si>
  <si>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</si>
  <si>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</si>
  <si>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</si>
  <si>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</si>
  <si>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</si>
  <si>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</si>
  <si>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</si>
  <si>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</si>
  <si>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</si>
  <si>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</si>
  <si>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</si>
  <si>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</si>
  <si>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</si>
  <si>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</si>
  <si>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</si>
  <si>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</si>
  <si>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</si>
  <si>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</si>
  <si>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</si>
  <si>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</si>
  <si>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</si>
  <si>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</si>
  <si>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</si>
  <si>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</si>
  <si>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</si>
  <si>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</si>
  <si>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</si>
  <si>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</si>
  <si>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</si>
  <si>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</si>
  <si>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</si>
  <si>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</si>
  <si>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</si>
  <si>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</si>
  <si>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</si>
  <si>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</si>
  <si>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</si>
  <si>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</si>
  <si>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</si>
  <si>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</si>
  <si>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</si>
  <si>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</si>
  <si>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</si>
  <si>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</si>
  <si>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</si>
  <si>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</si>
  <si>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</si>
  <si>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</si>
  <si>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</si>
  <si>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</si>
  <si>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</si>
  <si>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</si>
  <si>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</si>
  <si>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</si>
  <si>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</si>
  <si>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</si>
  <si>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</si>
  <si>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</si>
  <si>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</si>
  <si>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</si>
  <si>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</si>
  <si>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</si>
  <si>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</si>
  <si>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</si>
  <si>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</si>
  <si>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</si>
  <si>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</si>
  <si>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</si>
  <si>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</si>
  <si>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</si>
  <si>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</si>
  <si>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</si>
  <si>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</si>
  <si>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</si>
  <si>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</si>
  <si>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</si>
  <si>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</si>
  <si>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</si>
  <si>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</si>
  <si>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</si>
  <si>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</si>
  <si>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</si>
  <si>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</si>
  <si>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</si>
  <si>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</si>
  <si>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</si>
  <si>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</si>
  <si>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</si>
  <si>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</si>
  <si>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</si>
  <si>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</si>
  <si>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</si>
  <si>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</si>
  <si>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</si>
  <si>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</si>
  <si>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</si>
  <si>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</si>
  <si>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</si>
  <si>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</si>
  <si>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</si>
  <si>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</si>
  <si>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</si>
  <si>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</si>
  <si>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</si>
  <si>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</si>
  <si>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</si>
  <si>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</si>
  <si>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</si>
  <si>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</si>
  <si>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</si>
  <si>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</si>
  <si>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</si>
  <si>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</si>
  <si>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</si>
  <si>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</si>
  <si>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</si>
  <si>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</si>
  <si>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</si>
  <si>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</si>
  <si>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</si>
  <si>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</si>
  <si>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</si>
  <si>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</si>
  <si>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</si>
  <si>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</si>
  <si>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</si>
  <si>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</si>
  <si>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</si>
  <si>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</si>
  <si>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</si>
  <si>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</si>
  <si>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</si>
  <si>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</si>
  <si>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</si>
  <si>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</si>
  <si>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</si>
  <si>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</si>
  <si>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</si>
  <si>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</si>
  <si>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</si>
  <si>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</si>
  <si>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</si>
  <si>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</si>
  <si>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</si>
  <si>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</si>
  <si>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</si>
  <si>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</si>
  <si>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</si>
  <si>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</si>
  <si>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</si>
  <si>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</si>
  <si>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</si>
  <si>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</si>
  <si>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</si>
  <si>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</si>
  <si>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</si>
  <si>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</si>
  <si>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</si>
  <si>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</si>
  <si>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</si>
  <si>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</si>
  <si>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</si>
  <si>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</si>
  <si>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</si>
  <si>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</si>
  <si>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</si>
  <si>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</si>
  <si>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</si>
  <si>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</si>
  <si>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</si>
  <si>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</si>
  <si>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</si>
  <si>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</si>
  <si>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</si>
  <si>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</si>
  <si>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</si>
  <si>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</si>
  <si>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</si>
  <si>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</si>
  <si>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</si>
  <si>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</si>
  <si>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</si>
  <si>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</si>
  <si>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</si>
  <si>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</si>
  <si>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</si>
  <si>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</si>
  <si>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</si>
  <si>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</si>
  <si>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</si>
  <si>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</si>
  <si>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</si>
  <si>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</si>
  <si>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</si>
  <si>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</si>
  <si>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</si>
  <si>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</si>
  <si>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</si>
  <si>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</si>
  <si>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</si>
  <si>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</si>
  <si>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</si>
  <si>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</si>
  <si>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</si>
  <si>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</si>
  <si>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</si>
  <si>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</si>
  <si>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</si>
  <si>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</si>
  <si>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</si>
  <si>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</si>
  <si>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</si>
  <si>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</si>
  <si>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</si>
  <si>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</si>
  <si>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</si>
  <si>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</si>
  <si>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</si>
  <si>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</si>
  <si>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</si>
  <si>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</si>
  <si>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</si>
  <si>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</si>
  <si>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</si>
  <si>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</si>
  <si>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</si>
  <si>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</si>
  <si>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</si>
  <si>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</si>
  <si>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</si>
  <si>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</si>
  <si>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</si>
  <si>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</si>
  <si>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</si>
  <si>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</si>
  <si>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</si>
  <si>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</si>
  <si>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</si>
  <si>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</si>
  <si>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</si>
  <si>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</si>
  <si>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</si>
  <si>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</si>
  <si>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</si>
  <si>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</si>
  <si>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</si>
  <si>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</si>
  <si>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</si>
  <si>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</si>
  <si>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</si>
  <si>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</si>
  <si>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</si>
  <si>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</si>
  <si>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</si>
  <si>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</si>
  <si>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</si>
  <si>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</si>
  <si>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</si>
  <si>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</si>
  <si>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</si>
  <si>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</si>
  <si>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</si>
  <si>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</si>
  <si>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</si>
  <si>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</si>
  <si>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</si>
  <si>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</si>
  <si>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</si>
  <si>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</si>
  <si>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</si>
  <si>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</si>
  <si>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</si>
  <si>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</si>
  <si>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</si>
  <si>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</si>
  <si>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</si>
  <si>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</si>
  <si>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</si>
  <si>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</si>
  <si>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</si>
  <si>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</si>
  <si>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</si>
  <si>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</si>
  <si>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</si>
  <si>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</si>
  <si>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</si>
  <si>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</si>
  <si>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</si>
  <si>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</si>
  <si>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</si>
  <si>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</si>
  <si>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</si>
  <si>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</si>
  <si>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</si>
  <si>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</si>
  <si>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</si>
  <si>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</si>
  <si>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</si>
  <si>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</si>
  <si>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</si>
  <si>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</si>
  <si>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</si>
  <si>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</si>
  <si>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</si>
  <si>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</si>
  <si>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</si>
  <si>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</si>
  <si>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</si>
  <si>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</si>
  <si>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</si>
  <si>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</si>
  <si>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</si>
  <si>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</si>
  <si>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</si>
  <si>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</si>
  <si>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</si>
  <si>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</si>
  <si>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</si>
  <si>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</si>
  <si>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</si>
  <si>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</si>
  <si>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</si>
  <si>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</si>
  <si>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</si>
  <si>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</si>
  <si>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</si>
  <si>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</si>
  <si>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</si>
  <si>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</si>
  <si>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</si>
  <si>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</si>
  <si>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</si>
  <si>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</si>
  <si>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</si>
  <si>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</si>
  <si>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</si>
  <si>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</si>
  <si>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</si>
  <si>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</si>
  <si>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</si>
  <si>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</si>
  <si>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</si>
  <si>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</si>
  <si>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</si>
  <si>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</si>
  <si>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</si>
  <si>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</si>
  <si>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</si>
  <si>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</si>
  <si>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</si>
  <si>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</si>
  <si>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</si>
  <si>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</si>
  <si>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</si>
  <si>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</si>
  <si>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</si>
  <si>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</si>
  <si>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</si>
  <si>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</si>
  <si>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</si>
  <si>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</si>
  <si>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</si>
  <si>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</si>
  <si>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</si>
  <si>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</si>
  <si>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</si>
  <si>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</si>
  <si>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</si>
  <si>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</si>
  <si>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</si>
  <si>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</si>
  <si>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</si>
  <si>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</si>
  <si>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</si>
  <si>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</si>
  <si>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</si>
  <si>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</si>
  <si>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</si>
  <si>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</si>
  <si>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</si>
  <si>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</si>
  <si>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</si>
  <si>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</si>
  <si>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</si>
  <si>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</si>
  <si>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</si>
  <si>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</si>
  <si>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</si>
  <si>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</si>
  <si>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</si>
  <si>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</si>
  <si>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</si>
  <si>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</si>
  <si>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</si>
  <si>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</si>
  <si>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</si>
  <si>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</si>
  <si>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</si>
  <si>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</si>
  <si>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</si>
  <si>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</si>
  <si>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</si>
  <si>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</si>
  <si>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</si>
  <si>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</si>
  <si>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</si>
  <si>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</si>
  <si>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</si>
  <si>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</si>
  <si>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</si>
  <si>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</si>
  <si>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</si>
  <si>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</si>
  <si>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</si>
  <si>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</si>
  <si>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</si>
  <si>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</si>
  <si>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</si>
  <si>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</si>
  <si>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</si>
  <si>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</si>
  <si>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</si>
  <si>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</si>
  <si>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</si>
  <si>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</si>
  <si>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</si>
  <si>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</si>
  <si>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</si>
  <si>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</si>
  <si>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</si>
  <si>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</si>
  <si>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</si>
  <si>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</si>
  <si>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</si>
  <si>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</si>
  <si>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</si>
  <si>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</si>
  <si>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</si>
  <si>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</si>
  <si>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</si>
  <si>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</si>
  <si>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</si>
  <si>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</si>
  <si>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</si>
  <si>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</si>
  <si>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</si>
  <si>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</si>
  <si>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</si>
  <si>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</si>
  <si>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</si>
  <si>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</si>
  <si>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</si>
  <si>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</si>
  <si>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</si>
  <si>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</si>
  <si>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</si>
  <si>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</si>
  <si>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</si>
  <si>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</si>
  <si>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</si>
  <si>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</si>
  <si>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</si>
  <si>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</si>
  <si>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</si>
  <si>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</si>
  <si>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</si>
  <si>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</si>
  <si>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</si>
  <si>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</si>
  <si>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</si>
  <si>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</si>
  <si>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</si>
  <si>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</si>
  <si>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</si>
  <si>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</si>
  <si>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</si>
  <si>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</si>
  <si>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</si>
  <si>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</si>
  <si>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</si>
  <si>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</si>
  <si>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</si>
  <si>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</si>
  <si>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</si>
  <si>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</si>
  <si>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</si>
  <si>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</si>
  <si>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</si>
  <si>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</si>
  <si>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</si>
  <si>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</si>
  <si>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</si>
  <si>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</si>
  <si>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</si>
  <si>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</si>
  <si>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</si>
  <si>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</si>
  <si>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</si>
  <si>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</si>
  <si>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</si>
  <si>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</si>
  <si>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</si>
  <si>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</si>
  <si>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</si>
  <si>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</si>
  <si>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</si>
  <si>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</si>
  <si>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</si>
  <si>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</si>
  <si>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</si>
  <si>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</si>
  <si>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</si>
  <si>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</si>
  <si>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</si>
  <si>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</si>
  <si>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</si>
  <si>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</si>
  <si>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</si>
  <si>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</si>
  <si>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</si>
  <si>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</si>
  <si>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</si>
  <si>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</si>
  <si>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</si>
  <si>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</si>
  <si>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</si>
  <si>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</si>
  <si>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</si>
  <si>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</si>
  <si>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</si>
  <si>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</si>
  <si>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</si>
  <si>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</si>
  <si>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</si>
  <si>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</si>
  <si>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</si>
  <si>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</si>
  <si>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</si>
  <si>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</si>
  <si>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</si>
  <si>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</si>
  <si>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</si>
  <si>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</si>
  <si>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</si>
  <si>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</si>
  <si>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</si>
  <si>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</si>
  <si>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</si>
  <si>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</si>
  <si>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</si>
  <si>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</si>
  <si>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</si>
  <si>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</si>
  <si>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</si>
  <si>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</si>
  <si>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</si>
  <si>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</si>
  <si>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</si>
  <si>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</si>
  <si>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</si>
  <si>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</si>
  <si>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</si>
  <si>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</si>
  <si>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</si>
  <si>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</si>
  <si>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</si>
  <si>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</si>
  <si>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</si>
  <si>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</si>
  <si>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</si>
  <si>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</si>
  <si>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</si>
  <si>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</si>
  <si>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</si>
  <si>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</si>
  <si>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</si>
  <si>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</si>
  <si>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</si>
  <si>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</si>
  <si>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</si>
  <si>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</si>
  <si>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</si>
  <si>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</si>
  <si>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</si>
  <si>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</si>
  <si>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</si>
  <si>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</si>
  <si>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</si>
  <si>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</si>
  <si>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</si>
  <si>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</si>
  <si>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</si>
  <si>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</si>
  <si>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</si>
  <si>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</si>
  <si>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</si>
  <si>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</si>
  <si>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</si>
  <si>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</si>
  <si>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</si>
  <si>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</si>
  <si>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</si>
  <si>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</si>
  <si>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</si>
  <si>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</si>
  <si>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</si>
  <si>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</si>
  <si>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</si>
  <si>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</si>
  <si>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</si>
  <si>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</si>
  <si>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</si>
  <si>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</si>
  <si>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</si>
  <si>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</si>
  <si>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</si>
  <si>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</si>
  <si>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</si>
  <si>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</si>
  <si>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</si>
  <si>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</si>
  <si>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</si>
  <si>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</si>
  <si>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</si>
  <si>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</si>
  <si>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</si>
  <si>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</si>
  <si>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</si>
  <si>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</si>
  <si>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</si>
  <si>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</si>
  <si>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</si>
  <si>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</si>
  <si>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</si>
  <si>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</si>
  <si>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</si>
  <si>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</si>
  <si>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</si>
  <si>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</si>
  <si>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</si>
  <si>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</si>
  <si>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</si>
  <si>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</si>
  <si>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</si>
  <si>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</si>
  <si>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</si>
  <si>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</si>
  <si>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</si>
  <si>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</si>
  <si>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</si>
  <si>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</si>
  <si>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</si>
  <si>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</si>
  <si>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</si>
  <si>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</si>
  <si>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</si>
  <si>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</si>
  <si>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</si>
  <si>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</si>
  <si>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</si>
  <si>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</si>
  <si>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</si>
  <si>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</si>
  <si>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</si>
  <si>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</si>
  <si>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</si>
  <si>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</si>
  <si>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</si>
  <si>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</si>
  <si>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</si>
  <si>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</si>
  <si>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</si>
  <si>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</si>
  <si>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</si>
  <si>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</si>
  <si>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</si>
  <si>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</si>
  <si>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</si>
  <si>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</si>
  <si>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</si>
  <si>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</si>
  <si>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</si>
  <si>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</si>
  <si>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</si>
  <si>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</si>
  <si>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</si>
  <si>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</si>
  <si>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</si>
  <si>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</si>
  <si>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</si>
  <si>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</si>
  <si>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</si>
  <si>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</si>
  <si>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</si>
  <si>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</si>
  <si>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</si>
  <si>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</si>
  <si>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</si>
  <si>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</si>
  <si>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</si>
  <si>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</si>
  <si>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</si>
  <si>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</si>
  <si>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</si>
  <si>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</si>
  <si>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</si>
  <si>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</si>
  <si>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</si>
  <si>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</si>
  <si>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</si>
  <si>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</si>
  <si>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</si>
  <si>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</si>
  <si>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</si>
  <si>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</si>
  <si>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</si>
  <si>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</si>
  <si>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</si>
  <si>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</si>
  <si>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</si>
  <si>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</si>
  <si>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</si>
  <si>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</si>
  <si>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</si>
  <si>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</si>
  <si>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</si>
  <si>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</si>
  <si>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</si>
  <si>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</si>
  <si>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</si>
  <si>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</si>
  <si>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</si>
  <si>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</si>
  <si>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</si>
  <si>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</si>
  <si>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</si>
  <si>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</si>
  <si>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</si>
  <si>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</si>
  <si>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</si>
  <si>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</si>
  <si>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</si>
  <si>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</si>
  <si>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</si>
  <si>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</si>
  <si>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</si>
  <si>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</si>
  <si>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</si>
  <si>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</si>
  <si>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</si>
  <si>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</si>
  <si>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</si>
  <si>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</si>
  <si>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</si>
  <si>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</si>
  <si>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</si>
  <si>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</si>
  <si>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</si>
  <si>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</si>
  <si>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</si>
  <si>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</si>
  <si>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</si>
  <si>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</si>
  <si>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</si>
  <si>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</si>
  <si>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</si>
  <si>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</si>
  <si>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</si>
  <si>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</si>
  <si>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</si>
  <si>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</si>
  <si>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</si>
  <si>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</si>
  <si>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</si>
  <si>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</si>
  <si>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</si>
  <si>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</si>
  <si>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</si>
  <si>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</si>
  <si>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</si>
  <si>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</si>
  <si>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</si>
  <si>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</si>
  <si>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</si>
  <si>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</si>
  <si>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</si>
  <si>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</si>
  <si>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</si>
  <si>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</si>
  <si>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</si>
  <si>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</si>
  <si>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</si>
  <si>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</si>
  <si>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</si>
  <si>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</si>
  <si>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</si>
  <si>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</si>
  <si>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</si>
  <si>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</si>
  <si>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</si>
  <si>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</si>
  <si>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</si>
  <si>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</si>
  <si>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</si>
  <si>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</si>
  <si>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</si>
  <si>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</si>
  <si>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</si>
  <si>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</si>
  <si>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</si>
  <si>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</si>
  <si>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</si>
  <si>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</si>
  <si>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</si>
  <si>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</si>
  <si>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</si>
  <si>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</si>
  <si>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</si>
  <si>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</si>
  <si>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</si>
  <si>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</si>
  <si>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</si>
  <si>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</si>
  <si>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</si>
  <si>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</si>
  <si>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</si>
  <si>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</si>
  <si>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</si>
  <si>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</si>
  <si>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</si>
  <si>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</si>
  <si>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</si>
  <si>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</si>
  <si>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</si>
  <si>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</si>
  <si>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</si>
  <si>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</si>
  <si>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</si>
  <si>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</si>
  <si>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</si>
  <si>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</si>
  <si>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</si>
  <si>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</si>
  <si>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</si>
  <si>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</si>
  <si>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</si>
  <si>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</si>
  <si>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</si>
  <si>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</si>
  <si>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</si>
  <si>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</si>
  <si>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</si>
  <si>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</si>
  <si>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</si>
  <si>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</si>
  <si>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</si>
  <si>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</si>
  <si>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</si>
  <si>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</si>
  <si>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</si>
  <si>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</si>
  <si>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</si>
  <si>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</si>
  <si>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</si>
  <si>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</si>
  <si>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</si>
  <si>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</si>
  <si>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</si>
  <si>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</si>
  <si>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</si>
  <si>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</si>
  <si>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</si>
  <si>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</si>
  <si>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</si>
  <si>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</si>
  <si>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</si>
  <si>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</si>
  <si>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</si>
  <si>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</si>
  <si>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</si>
  <si>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</si>
  <si>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</si>
  <si>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</si>
  <si>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</si>
  <si>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</si>
  <si>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</si>
  <si>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</si>
  <si>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</si>
  <si>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</si>
  <si>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</si>
  <si>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</si>
  <si>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</si>
  <si>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</si>
  <si>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</si>
  <si>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</si>
  <si>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</si>
  <si>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</si>
  <si>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</si>
  <si>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</si>
  <si>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</si>
  <si>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</si>
  <si>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</si>
  <si>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</si>
  <si>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</si>
  <si>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</si>
  <si>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</si>
  <si>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</si>
  <si>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</si>
  <si>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</si>
  <si>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</si>
  <si>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</si>
  <si>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</si>
  <si>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</si>
  <si>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</si>
  <si>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</si>
  <si>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</si>
  <si>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</si>
  <si>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</si>
  <si>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</si>
  <si>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</si>
  <si>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</si>
  <si>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</si>
  <si>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</si>
  <si>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</si>
  <si>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</si>
  <si>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</si>
  <si>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</si>
  <si>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</si>
  <si>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</si>
  <si>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</si>
  <si>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</si>
  <si>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</si>
  <si>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</si>
  <si>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</si>
  <si>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</si>
  <si>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</si>
  <si>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</si>
  <si>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</si>
  <si>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</si>
  <si>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</si>
  <si>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</si>
  <si>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</si>
  <si>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</si>
  <si>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</si>
  <si>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</si>
  <si>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</si>
  <si>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</si>
  <si>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</si>
  <si>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</si>
  <si>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</si>
  <si>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</si>
  <si>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</si>
  <si>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</si>
  <si>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</si>
  <si>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</si>
  <si>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</si>
  <si>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</si>
  <si>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</si>
  <si>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</si>
  <si>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</si>
  <si>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</si>
  <si>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</si>
  <si>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</si>
  <si>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</si>
  <si>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</si>
  <si>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</si>
  <si>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</si>
  <si>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</si>
  <si>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</si>
  <si>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</si>
  <si>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</si>
  <si>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</si>
  <si>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</si>
  <si>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</si>
  <si>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</si>
  <si>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准信智慧消防股份有限公司</t>
    <phoneticPr fontId="3" type="noConversion"/>
  </si>
  <si>
    <t>中国银行</t>
    <phoneticPr fontId="3" type="noConversion"/>
  </si>
  <si>
    <t>抵押</t>
  </si>
  <si>
    <t>房地产抵押价值</t>
  </si>
  <si>
    <t>北京市</t>
  </si>
  <si>
    <t>西城区西直门外大街1号院2号楼17层19C5-19C13</t>
  </si>
  <si>
    <t>企业</t>
  </si>
  <si>
    <t>准信智慧消防股份有限公司</t>
  </si>
  <si>
    <t>出让</t>
  </si>
  <si>
    <t>办公</t>
    <phoneticPr fontId="6" type="noConversion"/>
  </si>
  <si>
    <t>《不动产权证书》</t>
  </si>
  <si>
    <t>复印件</t>
  </si>
  <si>
    <t>办公项目</t>
  </si>
  <si>
    <t>无</t>
  </si>
  <si>
    <t>否</t>
  </si>
  <si>
    <t>现房</t>
  </si>
  <si>
    <t>通路</t>
  </si>
  <si>
    <t>通电</t>
  </si>
  <si>
    <t>通讯</t>
  </si>
  <si>
    <t>通上水</t>
  </si>
  <si>
    <t>通下水</t>
  </si>
  <si>
    <t>京（2017）西不动产权第0026866号</t>
  </si>
  <si>
    <t>京（2017）西不动产权第0026867号</t>
  </si>
  <si>
    <t>京（2017）西不动产权第0026868号</t>
  </si>
  <si>
    <t>京（2017）西不动产权第0026869号</t>
  </si>
  <si>
    <t>京（2017）西不动产权第0026870号</t>
  </si>
  <si>
    <t>京（2017）西不动产权第0026871号</t>
  </si>
  <si>
    <t>京（2017）西不动产权第0026872号</t>
  </si>
  <si>
    <t>京（2017）西不动产权第0026873号</t>
  </si>
  <si>
    <t>京（2017）西不动产权第0026874号</t>
  </si>
  <si>
    <t>不动产权证书</t>
  </si>
  <si>
    <t>17层19C5</t>
  </si>
  <si>
    <t>17层19C6</t>
  </si>
  <si>
    <t>17层19C7</t>
  </si>
  <si>
    <t>17层19C8</t>
  </si>
  <si>
    <t>17层19C9</t>
  </si>
  <si>
    <t>17层19C10</t>
  </si>
  <si>
    <t>17层19C11</t>
  </si>
  <si>
    <t>17层19C12</t>
  </si>
  <si>
    <t>17层19C13</t>
  </si>
  <si>
    <t>是</t>
  </si>
  <si>
    <t>地上</t>
  </si>
  <si>
    <t>办公楼</t>
  </si>
  <si>
    <t>17层19C5</t>
    <phoneticPr fontId="7" type="noConversion"/>
  </si>
  <si>
    <t>其他办公</t>
    <phoneticPr fontId="7" type="noConversion"/>
  </si>
  <si>
    <t>成新度</t>
  </si>
  <si>
    <t>收益法</t>
  </si>
  <si>
    <t>押二</t>
  </si>
  <si>
    <t>钢混</t>
  </si>
  <si>
    <t>非生产用房</t>
  </si>
  <si>
    <t>西直门</t>
    <phoneticPr fontId="3" type="noConversion"/>
  </si>
  <si>
    <t>办公</t>
    <phoneticPr fontId="32" type="noConversion"/>
  </si>
  <si>
    <t>高速路</t>
  </si>
  <si>
    <t>快速路</t>
  </si>
  <si>
    <t>主干道</t>
  </si>
  <si>
    <t>次干道</t>
  </si>
  <si>
    <t>支路</t>
  </si>
  <si>
    <t>高区</t>
  </si>
  <si>
    <t>中区</t>
  </si>
  <si>
    <t>低区</t>
  </si>
  <si>
    <t>售价</t>
  </si>
  <si>
    <t>正常</t>
  </si>
  <si>
    <t>30-40（含）</t>
  </si>
  <si>
    <t>较好</t>
  </si>
  <si>
    <t>好</t>
  </si>
  <si>
    <t>五通</t>
  </si>
  <si>
    <t>高层</t>
    <phoneticPr fontId="32" type="noConversion"/>
  </si>
  <si>
    <t>100-150</t>
  </si>
  <si>
    <t>200-250</t>
    <phoneticPr fontId="32" type="noConversion"/>
  </si>
  <si>
    <t>钢混</t>
    <phoneticPr fontId="32" type="noConversion"/>
  </si>
  <si>
    <t>砖混</t>
    <phoneticPr fontId="32" type="noConversion"/>
  </si>
  <si>
    <t>精装</t>
  </si>
  <si>
    <t>精装</t>
    <phoneticPr fontId="32" type="noConversion"/>
  </si>
  <si>
    <t>普通</t>
  </si>
  <si>
    <t>普通</t>
    <phoneticPr fontId="32" type="noConversion"/>
  </si>
  <si>
    <t>简装</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</si>
  <si>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</si>
  <si>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</si>
  <si>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</si>
  <si>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</si>
  <si>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</si>
  <si>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</si>
  <si>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</si>
  <si>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非专业</t>
    <phoneticPr fontId="32" type="noConversion"/>
  </si>
  <si>
    <t>七通</t>
    <phoneticPr fontId="32" type="noConversion"/>
  </si>
  <si>
    <t>六通</t>
    <phoneticPr fontId="32" type="noConversion"/>
  </si>
  <si>
    <t>五通</t>
    <phoneticPr fontId="32" type="noConversion"/>
  </si>
  <si>
    <t>四通</t>
    <phoneticPr fontId="32" type="noConversion"/>
  </si>
  <si>
    <t>标准</t>
  </si>
  <si>
    <t>标准</t>
    <phoneticPr fontId="32" type="noConversion"/>
  </si>
  <si>
    <t>非标准</t>
    <phoneticPr fontId="32" type="noConversion"/>
  </si>
  <si>
    <t>简装</t>
    <phoneticPr fontId="32" type="noConversion"/>
  </si>
  <si>
    <t>西直门</t>
    <phoneticPr fontId="3" type="noConversion"/>
  </si>
  <si>
    <t>西环广场T2</t>
    <phoneticPr fontId="3" type="noConversion"/>
  </si>
  <si>
    <t>西直门</t>
    <phoneticPr fontId="3" type="noConversion"/>
  </si>
  <si>
    <t>比较法-办公</t>
  </si>
  <si>
    <t xml:space="preserve"> </t>
    <phoneticPr fontId="25" type="noConversion"/>
  </si>
  <si>
    <t>100-150</t>
    <phoneticPr fontId="32" type="noConversion"/>
  </si>
  <si>
    <t>西环广场</t>
    <phoneticPr fontId="3" type="noConversion"/>
  </si>
  <si>
    <t>金贸中心</t>
    <phoneticPr fontId="3" type="noConversion"/>
  </si>
  <si>
    <t>100-150</t>
    <phoneticPr fontId="32" type="noConversion"/>
  </si>
  <si>
    <t>租金</t>
  </si>
  <si>
    <t xml:space="preserve"> </t>
    <phoneticPr fontId="32" type="noConversion"/>
  </si>
  <si>
    <t>元</t>
    <phoneticPr fontId="18" type="noConversion"/>
  </si>
  <si>
    <t>房天下联系人：邓峰</t>
    <phoneticPr fontId="143" type="noConversion"/>
  </si>
  <si>
    <r>
      <t>电话：1</t>
    </r>
    <r>
      <rPr>
        <sz val="11"/>
        <color theme="1"/>
        <rFont val="宋体"/>
        <family val="3"/>
        <charset val="134"/>
        <scheme val="minor"/>
      </rPr>
      <t>3521627789</t>
    </r>
    <phoneticPr fontId="143" type="noConversion"/>
  </si>
  <si>
    <r>
      <t>租金：7</t>
    </r>
    <r>
      <rPr>
        <sz val="11"/>
        <color theme="1"/>
        <rFont val="宋体"/>
        <family val="3"/>
        <charset val="134"/>
        <scheme val="minor"/>
      </rPr>
      <t>-9块</t>
    </r>
    <phoneticPr fontId="143" type="noConversion"/>
  </si>
  <si>
    <t>https://office.fang.com/shou/3_430180770.html?channel=1,32</t>
    <phoneticPr fontId="143" type="noConversion"/>
  </si>
  <si>
    <t>250-300</t>
  </si>
  <si>
    <t>150-200</t>
    <phoneticPr fontId="32" type="noConversion"/>
  </si>
  <si>
    <t>100-150</t>
    <phoneticPr fontId="32" type="noConversion"/>
  </si>
  <si>
    <r>
      <t>1000</t>
    </r>
    <r>
      <rPr>
        <sz val="11"/>
        <rFont val="宋体"/>
        <family val="3"/>
        <charset val="134"/>
      </rPr>
      <t>以上</t>
    </r>
    <phoneticPr fontId="32" type="noConversion"/>
  </si>
  <si>
    <t>250-300</t>
    <phoneticPr fontId="32" type="noConversion"/>
  </si>
  <si>
    <t>300-500</t>
  </si>
  <si>
    <t>300-500</t>
    <phoneticPr fontId="32" type="noConversion"/>
  </si>
  <si>
    <t>500-750</t>
    <phoneticPr fontId="32" type="noConversion"/>
  </si>
  <si>
    <t>750-1000</t>
    <phoneticPr fontId="32" type="noConversion"/>
  </si>
  <si>
    <r>
      <t>1000</t>
    </r>
    <r>
      <rPr>
        <sz val="11"/>
        <rFont val="宋体"/>
        <family val="3"/>
        <charset val="134"/>
      </rPr>
      <t>以上</t>
    </r>
    <phoneticPr fontId="32" type="noConversion"/>
  </si>
  <si>
    <t>按租金收入计税</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</si>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</sst>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4" fillId="6" borderId="7" xfId="1" applyFont="1" applyFill="1" applyBorder="1" applyAlignment="1" applyProtection="1">
      <alignment vertical="center"/>
      <protection locked="0"/>
    </xf>
    <xf numFmtId="0" fontId="99" fillId="0" borderId="0" xfId="0" applyFont="1">
      <alignment vertical="center"/>
    </xf>
    <xf numFmtId="0" fontId="47" fillId="17" borderId="23" xfId="0" applyFont="1" applyFill="1" applyBorder="1" applyAlignment="1" applyProtection="1">
      <alignment vertical="center"/>
      <protection locked="0"/>
    </xf>
    <xf numFmtId="0" fontId="254" fillId="0" borderId="0" xfId="17">
      <alignment vertical="center"/>
    </xf>
    <xf numFmtId="0" fontId="54" fillId="17" borderId="37"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596597</xdr:colOff>
      <xdr:row>6</xdr:row>
      <xdr:rowOff>66675</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4025597" cy="1095374"/>
        </a:xfrm>
        <a:prstGeom prst="rect">
          <a:avLst/>
        </a:prstGeom>
      </xdr:spPr>
    </xdr:pic>
    <xdr:clientData/>
  </xdr:twoCellAnchor>
  <xdr:twoCellAnchor editAs="oneCell">
    <xdr:from>
      <xdr:col>0</xdr:col>
      <xdr:colOff>0</xdr:colOff>
      <xdr:row>7</xdr:row>
      <xdr:rowOff>0</xdr:rowOff>
    </xdr:from>
    <xdr:to>
      <xdr:col>6</xdr:col>
      <xdr:colOff>68113</xdr:colOff>
      <xdr:row>12</xdr:row>
      <xdr:rowOff>47625</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00150"/>
          <a:ext cx="4182913" cy="904875"/>
        </a:xfrm>
        <a:prstGeom prst="rect">
          <a:avLst/>
        </a:prstGeom>
      </xdr:spPr>
    </xdr:pic>
    <xdr:clientData/>
  </xdr:twoCellAnchor>
  <xdr:twoCellAnchor editAs="oneCell">
    <xdr:from>
      <xdr:col>6</xdr:col>
      <xdr:colOff>66676</xdr:colOff>
      <xdr:row>0</xdr:row>
      <xdr:rowOff>1</xdr:rowOff>
    </xdr:from>
    <xdr:to>
      <xdr:col>11</xdr:col>
      <xdr:colOff>482308</xdr:colOff>
      <xdr:row>7</xdr:row>
      <xdr:rowOff>85725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1476" y="1"/>
          <a:ext cx="3844632" cy="1285874"/>
        </a:xfrm>
        <a:prstGeom prst="rect">
          <a:avLst/>
        </a:prstGeom>
      </xdr:spPr>
    </xdr:pic>
    <xdr:clientData/>
  </xdr:twoCellAnchor>
  <xdr:twoCellAnchor editAs="oneCell">
    <xdr:from>
      <xdr:col>6</xdr:col>
      <xdr:colOff>123825</xdr:colOff>
      <xdr:row>8</xdr:row>
      <xdr:rowOff>9525</xdr:rowOff>
    </xdr:from>
    <xdr:to>
      <xdr:col>11</xdr:col>
      <xdr:colOff>504825</xdr:colOff>
      <xdr:row>13</xdr:row>
      <xdr:rowOff>70757</xdr:rowOff>
    </xdr:to>
    <xdr:pic>
      <xdr:nvPicPr>
        <xdr:cNvPr id="4"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8625" y="1381125"/>
          <a:ext cx="3810000" cy="918482"/>
        </a:xfrm>
        <a:prstGeom prst="rect">
          <a:avLst/>
        </a:prstGeom>
      </xdr:spPr>
    </xdr:pic>
    <xdr:clientData/>
  </xdr:twoCellAnchor>
  <xdr:twoCellAnchor editAs="oneCell">
    <xdr:from>
      <xdr:col>5</xdr:col>
      <xdr:colOff>581026</xdr:colOff>
      <xdr:row>14</xdr:row>
      <xdr:rowOff>47625</xdr:rowOff>
    </xdr:from>
    <xdr:to>
      <xdr:col>12</xdr:col>
      <xdr:colOff>188872</xdr:colOff>
      <xdr:row>20</xdr:row>
      <xdr:rowOff>19050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10026" y="2447925"/>
          <a:ext cx="4408446" cy="1000125"/>
        </a:xfrm>
        <a:prstGeom prst="rect">
          <a:avLst/>
        </a:prstGeom>
      </xdr:spPr>
    </xdr:pic>
    <xdr:clientData/>
  </xdr:twoCellAnchor>
  <xdr:twoCellAnchor editAs="oneCell">
    <xdr:from>
      <xdr:col>0</xdr:col>
      <xdr:colOff>65484</xdr:colOff>
      <xdr:row>13</xdr:row>
      <xdr:rowOff>47626</xdr:rowOff>
    </xdr:from>
    <xdr:to>
      <xdr:col>5</xdr:col>
      <xdr:colOff>506015</xdr:colOff>
      <xdr:row>19</xdr:row>
      <xdr:rowOff>53578</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484" y="2291954"/>
          <a:ext cx="3863578" cy="1041796"/>
        </a:xfrm>
        <a:prstGeom prst="rect">
          <a:avLst/>
        </a:prstGeom>
      </xdr:spPr>
    </xdr:pic>
    <xdr:clientData/>
  </xdr:twoCellAnchor>
  <xdr:twoCellAnchor editAs="oneCell">
    <xdr:from>
      <xdr:col>0</xdr:col>
      <xdr:colOff>0</xdr:colOff>
      <xdr:row>23</xdr:row>
      <xdr:rowOff>77870</xdr:rowOff>
    </xdr:from>
    <xdr:to>
      <xdr:col>6</xdr:col>
      <xdr:colOff>160735</xdr:colOff>
      <xdr:row>38</xdr:row>
      <xdr:rowOff>8857</xdr:rowOff>
    </xdr:to>
    <xdr:pic>
      <xdr:nvPicPr>
        <xdr:cNvPr id="2" name="图片 1"/>
        <xdr:cNvPicPr>
          <a:picLocks noChangeAspect="1"/>
        </xdr:cNvPicPr>
      </xdr:nvPicPr>
      <xdr:blipFill>
        <a:blip xmlns:r="http://schemas.openxmlformats.org/officeDocument/2006/relationships" r:embed="rId7"/>
        <a:stretch>
          <a:fillRect/>
        </a:stretch>
      </xdr:blipFill>
      <xdr:spPr>
        <a:xfrm>
          <a:off x="0" y="4048604"/>
          <a:ext cx="4268391" cy="252059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s://office.fang.com/shou/3_430180770.html?channel=1,32"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北京市西城区西直门外大街1号院2号楼17层19C5-19C13房地产抵押价值预评估</v>
      </c>
    </row>
    <row r="3" spans="1:2" s="1593" customFormat="1">
      <c r="A3" s="1591" t="s">
        <v>1217</v>
      </c>
      <c r="B3" s="1592" t="str">
        <f>'预评函-封皮'!B40</f>
        <v>准信智慧消防股份有限公司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受贵公司委托，我公司对北京市西城区西直门外大街1号院2号楼17层19C5-19C13房地产抵押价值进行了预评估。</v>
      </c>
    </row>
    <row r="7" spans="1:2" s="1593" customFormat="1">
      <c r="A7" s="1591" t="s">
        <v>1260</v>
      </c>
      <c r="B7" s="1592" t="str">
        <f>'预评函-1'!A7</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为估价委托人在向中国银行办理贷款手续过程中，确定房地产抵押贷款额度提供参考依据而评估房地产抵押价值。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483</v>
      </c>
    </row>
    <row r="21" spans="1:2" s="1593" customFormat="1">
      <c r="A21" s="1591" t="s">
        <v>1231</v>
      </c>
      <c r="B21" s="1592">
        <f ca="1">'预评函-2'!D7</f>
        <v>4230</v>
      </c>
    </row>
    <row r="22" spans="1:2" s="1593" customFormat="1">
      <c r="A22" s="1591" t="s">
        <v>1232</v>
      </c>
      <c r="B22" s="1592" t="str">
        <f ca="1">'预评函-2'!D6</f>
        <v>肆佰捌拾叁万元整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483</v>
      </c>
    </row>
    <row r="31" spans="1:2" s="1593" customFormat="1">
      <c r="A31" s="1591" t="s">
        <v>1270</v>
      </c>
      <c r="B31" s="1592">
        <f ca="1">'预评函-2'!D15</f>
        <v>4230</v>
      </c>
    </row>
    <row r="32" spans="1:2" s="1593" customFormat="1">
      <c r="A32" s="1591" t="s">
        <v>1237</v>
      </c>
      <c r="B32" s="1592" t="str">
        <f ca="1">'预评函-2'!D14</f>
        <v>肆佰捌拾叁万元整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北京市西城区西直门外大街1号院2号楼17层19C5-19C13房地产</v>
      </c>
    </row>
    <row r="42" spans="1:2" s="1593" customFormat="1">
      <c r="A42" s="1591" t="s">
        <v>1284</v>
      </c>
      <c r="B42" s="1592" t="str">
        <f>'预评函-3'!B2</f>
        <v>建筑面积</v>
      </c>
    </row>
    <row r="43" spans="1:2" s="1593" customFormat="1">
      <c r="A43" s="1591" t="s">
        <v>1285</v>
      </c>
      <c r="B43" s="1592">
        <f>'预评函-3'!B4</f>
        <v>1141.77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（1）根据估价对象《不动产权证书》复印件、《国有土地使用权》，截至价值时点，估价对象已设定抵押。上述抵押权设定日期为，权利人为，权利范围为，权利价值为。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757</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9"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9"/>
      <c r="B54" s="2017" t="s">
        <v>861</v>
      </c>
      <c r="C54" s="2014" t="s">
        <v>1277</v>
      </c>
    </row>
    <row r="55" spans="1:4">
      <c r="A55" s="3019"/>
      <c r="B55" s="2017" t="s">
        <v>862</v>
      </c>
      <c r="C55" s="2014" t="s">
        <v>1278</v>
      </c>
    </row>
    <row r="56" spans="1:4">
      <c r="A56" s="3019"/>
      <c r="B56" s="2017" t="s">
        <v>863</v>
      </c>
      <c r="C56" s="2014" t="s">
        <v>1282</v>
      </c>
    </row>
    <row r="57" spans="1:4">
      <c r="A57" s="3019"/>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1772</v>
      </c>
      <c r="B1" s="3020" t="str">
        <f>IF(B10="北京市","北京市",C10)&amp;F10&amp;IF(结果表!G1="在建","出让国有建设用地使用权及在建建筑物",IF(结果表!G1="土地","出让国有建设用地使用权",))&amp;B9&amp;"预评估"</f>
        <v>北京市西城区西直门外大街1号院2号楼17层19C5-19C13房地产抵押价值预评估</v>
      </c>
      <c r="C1" s="3021"/>
      <c r="D1" s="3021"/>
      <c r="E1" s="3021"/>
      <c r="F1" s="3021"/>
      <c r="G1" s="3021"/>
      <c r="H1" s="3021"/>
      <c r="I1" s="302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北京市西城区西直门外大街1号院2号楼17层19C5-19C13房地产抵押价值</v>
      </c>
    </row>
    <row r="2" spans="1:19" ht="18" customHeight="1">
      <c r="A2" s="2021" t="s">
        <v>1773</v>
      </c>
      <c r="B2" s="1039"/>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北京市西城区西直门外大街1号院2号楼17层19C5-19C13房地产</v>
      </c>
    </row>
    <row r="3" spans="1:19" ht="18" customHeight="1">
      <c r="A3" s="2030" t="s">
        <v>1774</v>
      </c>
      <c r="B3" s="2031">
        <v>43592</v>
      </c>
      <c r="C3" s="2032" t="s">
        <v>1775</v>
      </c>
      <c r="D3" s="2031">
        <v>43592</v>
      </c>
      <c r="E3" s="2021"/>
      <c r="F3" s="2021"/>
      <c r="G3" s="2021"/>
      <c r="H3" s="2021"/>
      <c r="I3" s="2021"/>
      <c r="J3" s="2021"/>
      <c r="K3" s="2022"/>
      <c r="L3" s="2023"/>
      <c r="M3" s="2023"/>
      <c r="N3" s="2024"/>
      <c r="O3" s="2025"/>
      <c r="P3" s="2024"/>
      <c r="Q3" s="2024"/>
      <c r="R3" s="2024"/>
      <c r="S3" s="2026"/>
    </row>
    <row r="4" spans="1:19" ht="18" customHeight="1" thickBot="1">
      <c r="A4" s="2033" t="s">
        <v>1776</v>
      </c>
      <c r="B4" s="2034" t="s">
        <v>3052</v>
      </c>
      <c r="C4" s="1037">
        <f ca="1">SUMIF(注册房地产估价师,B4,估价师及机构信息!B3:B24)</f>
        <v>1120050019</v>
      </c>
      <c r="D4" s="2034" t="s">
        <v>3053</v>
      </c>
      <c r="E4" s="1038">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1777</v>
      </c>
      <c r="B5" s="2947" t="s">
        <v>3054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1778</v>
      </c>
      <c r="B6" s="2948" t="s">
        <v>3055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1779</v>
      </c>
      <c r="B7" s="2046"/>
      <c r="C7" s="2043"/>
      <c r="D7" s="2044"/>
      <c r="E7" s="2029"/>
      <c r="F7" s="2037"/>
      <c r="G7" s="2037"/>
      <c r="H7" s="2037"/>
      <c r="I7" s="2037"/>
      <c r="J7" s="2037"/>
      <c r="K7" s="2047"/>
      <c r="L7" s="2023"/>
      <c r="M7" s="2023"/>
      <c r="N7" s="2024"/>
      <c r="O7" s="2025"/>
      <c r="P7" s="2024"/>
      <c r="Q7" s="2024"/>
      <c r="R7" s="2024"/>
    </row>
    <row r="8" spans="1:19" ht="18" customHeight="1">
      <c r="A8" s="2042" t="s">
        <v>1780</v>
      </c>
      <c r="B8" s="2048" t="s">
        <v>3056</v>
      </c>
      <c r="C8" s="2049"/>
      <c r="D8" s="3023" t="s">
        <v>1781</v>
      </c>
      <c r="E8" s="2050"/>
      <c r="F8" s="2051"/>
      <c r="G8" s="2021"/>
      <c r="H8" s="2021"/>
      <c r="I8" s="2021"/>
      <c r="J8" s="2037"/>
      <c r="K8" s="2038"/>
      <c r="L8" s="2023"/>
      <c r="M8" s="2023"/>
      <c r="N8" s="2024"/>
      <c r="O8" s="2025"/>
      <c r="P8" s="2024"/>
      <c r="Q8" s="2024"/>
      <c r="R8" s="2024"/>
    </row>
    <row r="9" spans="1:19" ht="18" customHeight="1" thickBot="1">
      <c r="A9" s="2035" t="s">
        <v>1782</v>
      </c>
      <c r="B9" s="2052" t="s">
        <v>3057</v>
      </c>
      <c r="C9" s="2053"/>
      <c r="D9" s="3024"/>
      <c r="E9" s="2052"/>
      <c r="F9" s="2054"/>
      <c r="G9" s="2055"/>
      <c r="H9" s="2055"/>
      <c r="I9" s="2055"/>
      <c r="J9" s="2037"/>
      <c r="K9" s="2047"/>
      <c r="L9" s="2023"/>
      <c r="M9" s="2023"/>
      <c r="N9" s="2024"/>
      <c r="O9" s="2025"/>
      <c r="P9" s="2024"/>
      <c r="Q9" s="2024"/>
      <c r="R9" s="2024"/>
    </row>
    <row r="10" spans="1:19" ht="18" customHeight="1" thickTop="1">
      <c r="A10" s="2056" t="s">
        <v>1783</v>
      </c>
      <c r="B10" s="2057" t="s">
        <v>3058</v>
      </c>
      <c r="C10" s="2058"/>
      <c r="D10" s="2041"/>
      <c r="E10" s="2059" t="s">
        <v>1784</v>
      </c>
      <c r="F10" s="2060" t="s">
        <v>3059</v>
      </c>
      <c r="G10" s="2061"/>
      <c r="H10" s="2062"/>
      <c r="I10" s="2041"/>
      <c r="J10" s="2037"/>
      <c r="K10" s="2047"/>
      <c r="L10" s="2023"/>
      <c r="M10" s="2023"/>
      <c r="N10" s="2024"/>
      <c r="O10" s="2025"/>
      <c r="P10" s="2024"/>
      <c r="Q10" s="2024"/>
      <c r="R10" s="2024"/>
    </row>
    <row r="11" spans="1:19" ht="18" customHeight="1">
      <c r="A11" s="2063" t="s">
        <v>1785</v>
      </c>
      <c r="B11" s="2064" t="s">
        <v>3060</v>
      </c>
      <c r="C11" s="2065" t="s">
        <v>3061</v>
      </c>
      <c r="D11" s="2066"/>
      <c r="E11" s="2037"/>
      <c r="F11" s="2037"/>
      <c r="G11" s="2037"/>
      <c r="H11" s="2037"/>
      <c r="I11" s="2037"/>
      <c r="J11" s="2037"/>
      <c r="K11" s="2047"/>
      <c r="L11" s="2023"/>
      <c r="M11" s="2023"/>
      <c r="N11" s="2024"/>
      <c r="O11" s="2025"/>
      <c r="P11" s="2024"/>
      <c r="Q11" s="2024"/>
      <c r="R11" s="2024"/>
    </row>
    <row r="12" spans="1:19" ht="18" customHeight="1">
      <c r="A12" s="2067" t="s">
        <v>1786</v>
      </c>
      <c r="B12" s="2064" t="s">
        <v>3062</v>
      </c>
      <c r="C12" s="2068" t="s">
        <v>1787</v>
      </c>
      <c r="D12" s="2069" t="s">
        <v>1788</v>
      </c>
      <c r="E12" s="2069" t="s">
        <v>1789</v>
      </c>
      <c r="F12" s="2069" t="s">
        <v>1790</v>
      </c>
      <c r="G12" s="2069" t="s">
        <v>1791</v>
      </c>
      <c r="H12" s="2069" t="s">
        <v>1792</v>
      </c>
      <c r="I12" s="2069" t="s">
        <v>1793</v>
      </c>
      <c r="J12" s="2037"/>
      <c r="K12" s="2047"/>
      <c r="L12" s="2023"/>
      <c r="M12" s="2023"/>
      <c r="N12" s="2024"/>
      <c r="O12" s="2025"/>
      <c r="P12" s="2024"/>
      <c r="Q12" s="2024"/>
      <c r="R12" s="2024"/>
    </row>
    <row r="13" spans="1:19" ht="18" customHeight="1">
      <c r="A13" s="2070"/>
      <c r="B13" s="2071"/>
      <c r="C13" s="2072" t="s">
        <v>1794</v>
      </c>
      <c r="D13" s="2073"/>
      <c r="E13" s="2073"/>
      <c r="F13" s="2073">
        <v>56484</v>
      </c>
      <c r="G13" s="2073"/>
      <c r="H13" s="2073"/>
      <c r="I13" s="1047"/>
      <c r="J13" s="2037"/>
      <c r="K13" s="2047"/>
      <c r="L13" s="2023"/>
      <c r="M13" s="2023"/>
      <c r="N13" s="2024"/>
      <c r="O13" s="2025"/>
      <c r="P13" s="2024"/>
      <c r="Q13" s="2024"/>
      <c r="R13" s="2024"/>
    </row>
    <row r="14" spans="1:19" ht="18" customHeight="1">
      <c r="A14" s="2070"/>
      <c r="B14" s="2071"/>
      <c r="C14" s="2072" t="s">
        <v>1795</v>
      </c>
      <c r="D14" s="1050"/>
      <c r="E14" s="1050"/>
      <c r="F14" s="1050">
        <v>50</v>
      </c>
      <c r="G14" s="1050"/>
      <c r="H14" s="1050"/>
      <c r="I14" s="1050"/>
      <c r="J14" s="2037"/>
      <c r="K14" s="2074"/>
      <c r="L14" s="2023"/>
      <c r="M14" s="2023"/>
      <c r="N14" s="2024"/>
      <c r="O14" s="2025"/>
      <c r="P14" s="2024"/>
      <c r="Q14" s="2024"/>
      <c r="R14" s="2024"/>
    </row>
    <row r="15" spans="1:19" ht="18" customHeight="1">
      <c r="A15" s="2056"/>
      <c r="B15" s="2075"/>
      <c r="C15" s="2072" t="s">
        <v>1796</v>
      </c>
      <c r="D15" s="1049" t="str">
        <f>IF(B12="出让",IF(D13="","",ROUNDDOWN(MIN((D13-$D$3)/365,D14),2)),D14)</f>
        <v/>
      </c>
      <c r="E15" s="1049" t="str">
        <f>IF(B12="出让",IF(E13="","",ROUNDDOWN(MIN((E13-$D$3)/365,E14),2)),E14)</f>
        <v/>
      </c>
      <c r="F15" s="1049">
        <f>IF(B12="出让",IF(F13="","",ROUNDDOWN(MIN((F13-$D$3)/365,F14),2)),F14)</f>
        <v>35.32</v>
      </c>
      <c r="G15" s="1049" t="str">
        <f>IF(B12="出让",IF(G13="","",ROUNDDOWN(MIN((G13-$D$3)/365,G14),2)),G14)</f>
        <v/>
      </c>
      <c r="H15" s="1049" t="str">
        <f>IF(B12="出让",IF(H13="","",ROUNDDOWN(MIN((H13-$D$3)/365,H14),2)),H14)</f>
        <v/>
      </c>
      <c r="I15" s="1049" t="str">
        <f>IF(B12="出让",IF(I13="","",ROUNDDOWN(MIN((I13-$D$3)/365,I14),2)),I14)</f>
        <v/>
      </c>
      <c r="J15" s="2037"/>
      <c r="K15" s="2076"/>
      <c r="L15" s="2077"/>
      <c r="M15" s="2077"/>
      <c r="N15" s="2078"/>
      <c r="O15" s="2077"/>
      <c r="P15" s="2078"/>
      <c r="Q15" s="2024"/>
      <c r="R15" s="2024"/>
    </row>
    <row r="16" spans="1:19" ht="30.75" customHeight="1">
      <c r="A16" s="2059" t="s">
        <v>1797</v>
      </c>
      <c r="B16" s="3030" t="s">
        <v>3063</v>
      </c>
      <c r="C16" s="3031"/>
      <c r="D16" s="3032"/>
      <c r="E16" s="2079" t="s">
        <v>1798</v>
      </c>
      <c r="F16" s="3033"/>
      <c r="G16" s="3034"/>
      <c r="H16" s="3034"/>
      <c r="I16" s="3035"/>
      <c r="J16" s="2024"/>
      <c r="K16" s="2076"/>
      <c r="L16" s="2077"/>
      <c r="M16" s="2077"/>
      <c r="N16" s="2078"/>
      <c r="O16" s="2077"/>
      <c r="P16" s="2078"/>
      <c r="Q16" s="2024"/>
      <c r="R16" s="2024"/>
    </row>
    <row r="17" spans="1:22" ht="18" customHeight="1">
      <c r="A17" s="2080" t="s">
        <v>1799</v>
      </c>
      <c r="B17" s="2030" t="s">
        <v>1800</v>
      </c>
      <c r="C17" s="1054">
        <f>'数据-汇总表'!E3</f>
        <v>1141.77</v>
      </c>
      <c r="D17" s="2081" t="s">
        <v>1801</v>
      </c>
      <c r="E17" s="3036" t="s">
        <v>1802</v>
      </c>
      <c r="F17" s="3037"/>
      <c r="G17" s="3037"/>
      <c r="H17" s="3037"/>
      <c r="I17" s="3038"/>
      <c r="J17" s="2024"/>
      <c r="K17" s="2082"/>
      <c r="L17" s="2077"/>
      <c r="M17" s="2077"/>
      <c r="N17" s="2078"/>
      <c r="O17" s="2077"/>
      <c r="P17" s="2078"/>
      <c r="Q17" s="2024"/>
      <c r="R17" s="2024"/>
      <c r="S17" s="2024"/>
      <c r="T17" s="2024"/>
      <c r="U17" s="2024"/>
      <c r="V17" s="2024"/>
    </row>
    <row r="18" spans="1:22" ht="36" customHeight="1" thickBot="1">
      <c r="A18" s="2083" t="s">
        <v>1803</v>
      </c>
      <c r="B18" s="2033" t="s">
        <v>1804</v>
      </c>
      <c r="C18" s="1444">
        <f>'数据-汇总表'!D3</f>
        <v>0</v>
      </c>
      <c r="D18" s="2084" t="s">
        <v>1801</v>
      </c>
      <c r="E18" s="3039" t="s">
        <v>1805</v>
      </c>
      <c r="F18" s="3040"/>
      <c r="G18" s="3040"/>
      <c r="H18" s="3040"/>
      <c r="I18" s="3041"/>
      <c r="J18" s="2024"/>
      <c r="K18" s="2082"/>
      <c r="L18" s="2077"/>
      <c r="M18" s="2077"/>
      <c r="N18" s="2078"/>
      <c r="O18" s="2077"/>
      <c r="P18" s="2078"/>
      <c r="Q18" s="2024"/>
      <c r="R18" s="2024"/>
      <c r="S18" s="2024"/>
      <c r="T18" s="2024"/>
      <c r="U18" s="2024"/>
      <c r="V18" s="2024"/>
    </row>
    <row r="19" spans="1:22" ht="37.5" customHeight="1" thickTop="1" thickBot="1">
      <c r="A19" s="373" t="s">
        <v>1806</v>
      </c>
      <c r="B19" s="352" t="s">
        <v>1807</v>
      </c>
      <c r="C19" s="2085" t="s">
        <v>3094</v>
      </c>
      <c r="D19" s="2086" t="s">
        <v>1808</v>
      </c>
      <c r="E19" s="2087" t="s">
        <v>3094</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1809</v>
      </c>
      <c r="B20" s="3026" t="s">
        <v>1810</v>
      </c>
      <c r="C20" s="3027"/>
      <c r="D20" s="3028" t="s">
        <v>1811</v>
      </c>
      <c r="E20" s="3029"/>
      <c r="F20" s="2091" t="s">
        <v>1812</v>
      </c>
      <c r="G20" s="2037"/>
      <c r="H20" s="2037"/>
      <c r="I20" s="2037"/>
      <c r="J20" s="2037"/>
      <c r="K20" s="3025" t="s">
        <v>1813</v>
      </c>
      <c r="L20" s="748" t="str">
        <f>"根据估价对象"&amp;IF(B22="——",B21&amp;C21,B21&amp;C21&amp;"、"&amp;B22&amp;C22)&amp;"，"&amp;IF(C19="是","截至价值时点，估价对象已设定抵押。","截至价值时点，估价对象抵押权未见登记。")</f>
        <v>根据估价对象《不动产权证书》复印件、《国有土地使用权》，截至价值时点，估价对象已设定抵押。</v>
      </c>
      <c r="M20" s="2023"/>
      <c r="N20" s="2078"/>
      <c r="O20" s="2077"/>
      <c r="P20" s="2078"/>
      <c r="Q20" s="2024"/>
      <c r="R20" s="2024"/>
      <c r="S20" s="2024"/>
      <c r="T20" s="2024"/>
      <c r="U20" s="2024"/>
      <c r="V20" s="2024"/>
    </row>
    <row r="21" spans="1:22" ht="24.75" customHeight="1">
      <c r="A21" s="2090"/>
      <c r="B21" s="2092" t="s">
        <v>3064</v>
      </c>
      <c r="C21" s="2093" t="s">
        <v>3065</v>
      </c>
      <c r="D21" s="2094" t="s">
        <v>1814</v>
      </c>
      <c r="E21" s="2095"/>
      <c r="F21" s="2096"/>
      <c r="G21" s="2037"/>
      <c r="H21" s="2037"/>
      <c r="I21" s="2037"/>
      <c r="J21" s="2037"/>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1815</v>
      </c>
      <c r="C22" s="2093"/>
      <c r="D22" s="2021"/>
      <c r="E22" s="2021"/>
      <c r="F22" s="2098"/>
      <c r="G22" s="2037"/>
      <c r="H22" s="2037"/>
      <c r="I22" s="2037"/>
      <c r="J22" s="2037"/>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3" t="s">
        <v>1817</v>
      </c>
      <c r="C23" s="2100"/>
      <c r="D23" s="2101" t="s">
        <v>1817</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1818</v>
      </c>
      <c r="C24" s="2105"/>
      <c r="D24" s="2099" t="s">
        <v>1818</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43" t="s">
        <v>1822</v>
      </c>
      <c r="B27" s="2056" t="s">
        <v>1823</v>
      </c>
      <c r="C27" s="2113" t="s">
        <v>3066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43"/>
      <c r="B28" s="2030" t="s">
        <v>1824</v>
      </c>
      <c r="C28" s="2115" t="s">
        <v>3067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43"/>
      <c r="B29" s="2030" t="s">
        <v>1825</v>
      </c>
      <c r="C29" s="2118" t="s">
        <v>3068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44"/>
      <c r="B30" s="2030" t="s">
        <v>1826</v>
      </c>
      <c r="C30" s="3045"/>
      <c r="D30" s="3046"/>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47" t="s">
        <v>1827</v>
      </c>
      <c r="B31" s="2120" t="s">
        <v>3069</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48"/>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48"/>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t="s">
        <v>3070</v>
      </c>
      <c r="C34" s="2127" t="s">
        <v>3071</v>
      </c>
      <c r="D34" s="2127" t="s">
        <v>3072</v>
      </c>
      <c r="E34" s="2127" t="s">
        <v>3073</v>
      </c>
      <c r="F34" s="2127" t="s">
        <v>3074</v>
      </c>
      <c r="G34" s="2127" t="s">
        <v>70</v>
      </c>
      <c r="H34" s="2127" t="s">
        <v>70</v>
      </c>
      <c r="I34" s="2037"/>
      <c r="J34" s="2037"/>
      <c r="K34" s="1790">
        <f>COUNTIF(B34:H34,"——")</f>
        <v>2</v>
      </c>
      <c r="L34" s="2068" t="s">
        <v>1829</v>
      </c>
      <c r="M34" s="2068" t="s">
        <v>1830</v>
      </c>
      <c r="N34" s="2068" t="s">
        <v>1831</v>
      </c>
      <c r="O34" s="2068" t="s">
        <v>1832</v>
      </c>
      <c r="P34" s="2068" t="s">
        <v>1833</v>
      </c>
      <c r="Q34" s="2068" t="s">
        <v>1834</v>
      </c>
      <c r="R34" s="2068" t="s">
        <v>1835</v>
      </c>
      <c r="S34" s="3042" t="s">
        <v>1836</v>
      </c>
      <c r="T34" s="2128" t="str">
        <f>NUMBERSTRING(7-K34,1)&amp;"通"</f>
        <v>五通</v>
      </c>
      <c r="U34" s="2024"/>
      <c r="V34" s="2024"/>
    </row>
    <row r="35" spans="1:22" ht="18" customHeight="1">
      <c r="A35" s="2129"/>
      <c r="B35" s="3049" t="s">
        <v>1837</v>
      </c>
      <c r="C35" s="3049"/>
      <c r="D35" s="3049"/>
      <c r="E35" s="3049"/>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2"/>
      <c r="T35" s="48" t="str">
        <f>IF(T34="一通",L35,IF(T34="二通",M35,IF(T34="三通",N35,IF(T34="四通",O35,IF(T34="五通",P35,IF(T34="六通",Q35,R35))))))</f>
        <v>通路、通电、通讯、通上水、通下水</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F16:L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1869</v>
      </c>
      <c r="AZ2" s="1270"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1141.77</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81" t="s">
        <v>1888</v>
      </c>
      <c r="AD8" s="2182"/>
      <c r="AE8" s="2174"/>
      <c r="AF8" s="1813"/>
      <c r="AG8" s="1813"/>
      <c r="AH8" s="1813"/>
      <c r="AI8" s="1813"/>
      <c r="AJ8" s="1813"/>
      <c r="AK8" s="1813"/>
      <c r="AL8" s="1813"/>
      <c r="AM8" s="1813"/>
      <c r="AN8" s="1813"/>
      <c r="AO8" s="1813"/>
      <c r="AP8" s="1813"/>
      <c r="AQ8" s="1813"/>
      <c r="AR8" s="1813"/>
      <c r="AS8" s="1813"/>
      <c r="AT8" s="1292" t="s">
        <v>1889</v>
      </c>
      <c r="AU8" s="2176" t="s">
        <v>1890</v>
      </c>
      <c r="AV8" s="1292"/>
      <c r="AW8" s="2159"/>
      <c r="AX8" s="1292"/>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92"/>
      <c r="H9" s="2184" t="s">
        <v>1893</v>
      </c>
      <c r="I9" s="2185" t="s">
        <v>3095</v>
      </c>
      <c r="J9" s="981"/>
      <c r="K9" s="2185"/>
      <c r="L9" s="981"/>
      <c r="M9" s="2185"/>
      <c r="N9" s="981"/>
      <c r="O9" s="2185"/>
      <c r="P9" s="981"/>
      <c r="Q9" s="2185"/>
      <c r="R9" s="981"/>
      <c r="S9" s="2185"/>
      <c r="T9" s="981"/>
      <c r="U9" s="2185"/>
      <c r="V9" s="981"/>
      <c r="W9" s="2185"/>
      <c r="X9" s="2186"/>
      <c r="Y9" s="2185"/>
      <c r="Z9" s="981"/>
      <c r="AA9" s="2185"/>
      <c r="AB9" s="981"/>
      <c r="AC9" s="2177"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7"/>
      <c r="AT9" s="2176"/>
      <c r="AU9" s="2176" t="s">
        <v>1896</v>
      </c>
      <c r="AV9" s="1292"/>
      <c r="AW9" s="2159"/>
      <c r="AX9" s="1292"/>
      <c r="AY9" s="28"/>
      <c r="AZ9" s="28" t="s">
        <v>1886</v>
      </c>
      <c r="BA9" s="2188" t="s">
        <v>1897</v>
      </c>
      <c r="BB9" s="2189"/>
      <c r="BC9" s="1338"/>
      <c r="BD9" s="1338"/>
      <c r="BE9" s="1338"/>
      <c r="BF9" s="1338"/>
      <c r="BG9" s="1338"/>
      <c r="BH9" s="1338"/>
      <c r="BI9" s="1338"/>
      <c r="BJ9" s="1338"/>
      <c r="BK9" s="2190"/>
      <c r="BL9" s="15" t="s">
        <v>1898</v>
      </c>
      <c r="BM9" s="1813"/>
      <c r="BN9" s="2179"/>
      <c r="BO9" s="1813"/>
      <c r="BP9" s="1813"/>
      <c r="BQ9" s="1813"/>
      <c r="BR9" s="1813"/>
      <c r="BS9" s="1813"/>
      <c r="BT9" s="26"/>
    </row>
    <row r="10" spans="1:72" s="2183" customFormat="1" ht="12.75">
      <c r="A10" s="2176"/>
      <c r="B10" s="2176"/>
      <c r="C10" s="2176"/>
      <c r="D10" s="2176"/>
      <c r="E10" s="2176"/>
      <c r="F10" s="2176"/>
      <c r="G10" s="1292"/>
      <c r="H10" s="28"/>
      <c r="I10" s="2185" t="s">
        <v>27</v>
      </c>
      <c r="J10" s="981"/>
      <c r="K10" s="2191"/>
      <c r="L10" s="981"/>
      <c r="M10" s="2191"/>
      <c r="N10" s="981"/>
      <c r="O10" s="2191"/>
      <c r="P10" s="981"/>
      <c r="Q10" s="2191"/>
      <c r="R10" s="981"/>
      <c r="S10" s="2191"/>
      <c r="T10" s="981"/>
      <c r="U10" s="2191"/>
      <c r="V10" s="981"/>
      <c r="W10" s="2191"/>
      <c r="X10" s="981"/>
      <c r="Y10" s="2191"/>
      <c r="Z10" s="981"/>
      <c r="AA10" s="2191"/>
      <c r="AB10" s="981"/>
      <c r="AC10" s="1292"/>
      <c r="AD10" s="15" t="s">
        <v>1899</v>
      </c>
      <c r="AE10" s="2192"/>
      <c r="AF10" s="15" t="s">
        <v>1899</v>
      </c>
      <c r="AG10" s="2192"/>
      <c r="AH10" s="15" t="s">
        <v>1900</v>
      </c>
      <c r="AI10" s="2192"/>
      <c r="AJ10" s="15" t="s">
        <v>1900</v>
      </c>
      <c r="AK10" s="2192"/>
      <c r="AL10" s="15" t="s">
        <v>1901</v>
      </c>
      <c r="AM10" s="1298"/>
      <c r="AN10" s="15" t="s">
        <v>1901</v>
      </c>
      <c r="AO10" s="1298"/>
      <c r="AP10" s="15" t="s">
        <v>1902</v>
      </c>
      <c r="AQ10" s="1298"/>
      <c r="AR10" s="15" t="s">
        <v>1902</v>
      </c>
      <c r="AS10" s="1298"/>
      <c r="AT10" s="2176"/>
      <c r="AU10" s="2176"/>
      <c r="AV10" s="1292"/>
      <c r="AW10" s="2159"/>
      <c r="AX10" s="1292"/>
      <c r="AY10" s="28"/>
      <c r="AZ10" s="28"/>
      <c r="BA10" s="2193" t="s">
        <v>1893</v>
      </c>
      <c r="BB10" s="2194" t="str">
        <f>I9</f>
        <v>地上</v>
      </c>
      <c r="BC10" s="29">
        <f>K9</f>
        <v>0</v>
      </c>
      <c r="BD10" s="29">
        <f>M9</f>
        <v>0</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92"/>
      <c r="H11" s="2193"/>
      <c r="I11" s="2196" t="s">
        <v>3096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92"/>
      <c r="AW11" s="2159"/>
      <c r="AX11" s="1292"/>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2"/>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51">
      <c r="A13" s="1272" t="s">
        <v>3075</v>
      </c>
      <c r="B13" s="1272" t="s">
        <v>3084</v>
      </c>
      <c r="C13" s="1272" t="s">
        <v>3085</v>
      </c>
      <c r="D13" s="2207" t="s">
        <v>3094</v>
      </c>
      <c r="E13" s="16">
        <f>IF($C$3="是",ROUND($A$3*G13/$B$3,2),ROUND($A$3*(G13-AT13)/$B$3,2))</f>
        <v>0</v>
      </c>
      <c r="F13" s="32"/>
      <c r="G13" s="33">
        <f>H13+AC13+AT13</f>
        <v>103.53</v>
      </c>
      <c r="H13" s="20">
        <f>SUMIF(I$12:AB$12,"总值",I13:AB13)</f>
        <v>103.53</v>
      </c>
      <c r="I13" s="2208">
        <v>103.53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京（2017）西不动产权第0026866号</v>
      </c>
      <c r="AW13" s="11" t="str">
        <f t="shared" si="6"/>
        <v>不动产权证书</v>
      </c>
      <c r="AX13" s="11" t="str">
        <f t="shared" si="6"/>
        <v>17层19C5</v>
      </c>
      <c r="AY13" s="1801">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1">
      <c r="A14" s="1272" t="s">
        <v>3076</v>
      </c>
      <c r="B14" s="1272" t="s">
        <v>3084</v>
      </c>
      <c r="C14" s="2147" t="s">
        <v>3086</v>
      </c>
      <c r="D14" s="2207" t="s">
        <v>3094</v>
      </c>
      <c r="E14" s="16">
        <f>IF($C$3="是",ROUND($A$3*G14/$B$3,2),ROUND($A$3*(G14-AT14)/$B$3,2))</f>
        <v>0</v>
      </c>
      <c r="F14" s="32"/>
      <c r="G14" s="33">
        <f>H14+AC14+AT14</f>
        <v>152.62</v>
      </c>
      <c r="H14" s="20">
        <f>SUMIF(I$12:AB$12,"总值",I14:AB14)</f>
        <v>152.62</v>
      </c>
      <c r="I14" s="2208">
        <v>152.62</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京（2017）西不动产权第0026867号</v>
      </c>
      <c r="AW14" s="11" t="str">
        <f t="shared" si="6"/>
        <v>不动产权证书</v>
      </c>
      <c r="AX14" s="11" t="str">
        <f t="shared" si="6"/>
        <v>17层19C6</v>
      </c>
      <c r="AY14" s="1801">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1">
      <c r="A15" s="1272" t="s">
        <v>3077</v>
      </c>
      <c r="B15" s="1272" t="s">
        <v>3084</v>
      </c>
      <c r="C15" s="2147" t="s">
        <v>3087</v>
      </c>
      <c r="D15" s="2207" t="s">
        <v>3094</v>
      </c>
      <c r="E15" s="16">
        <f>IF($C$3="是",ROUND($A$3*G15/$B$3,2),ROUND($A$3*(G15-AT15)/$B$3,2))</f>
        <v>0</v>
      </c>
      <c r="F15" s="32"/>
      <c r="G15" s="33">
        <f>H15+AC15+AT15</f>
        <v>180.72</v>
      </c>
      <c r="H15" s="20">
        <f>SUMIF(I$12:AB$12,"总值",I15:AB15)</f>
        <v>180.72</v>
      </c>
      <c r="I15" s="2208">
        <v>180.72</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t="str">
        <f t="shared" si="6"/>
        <v>京（2017）西不动产权第0026868号</v>
      </c>
      <c r="AW15" s="11" t="str">
        <f t="shared" si="6"/>
        <v>不动产权证书</v>
      </c>
      <c r="AX15" s="11" t="str">
        <f t="shared" si="6"/>
        <v>17层19C7</v>
      </c>
      <c r="AY15" s="1801">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51">
      <c r="A16" s="1272" t="s">
        <v>3078</v>
      </c>
      <c r="B16" s="1272" t="s">
        <v>3084</v>
      </c>
      <c r="C16" s="2147" t="s">
        <v>3088</v>
      </c>
      <c r="D16" s="2207" t="s">
        <v>3094</v>
      </c>
      <c r="E16" s="16">
        <f>IF($C$3="是",ROUND($A$3*G16/$B$3,2),ROUND($A$3*(G16-AT16)/$B$3,2))</f>
        <v>0</v>
      </c>
      <c r="F16" s="32"/>
      <c r="G16" s="33">
        <f>H16+AC16+AT16</f>
        <v>121.95</v>
      </c>
      <c r="H16" s="20">
        <f>SUMIF(I$12:AB$12,"总值",I16:AB16)</f>
        <v>121.95</v>
      </c>
      <c r="I16" s="2208">
        <v>121.95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京（2017）西不动产权第0026869号</v>
      </c>
      <c r="AW16" s="11" t="str">
        <f t="shared" si="6"/>
        <v>不动产权证书</v>
      </c>
      <c r="AX16" s="11" t="str">
        <f t="shared" si="6"/>
        <v>17层19C8</v>
      </c>
      <c r="AY16" s="1801">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1">
      <c r="A17" s="1272" t="s">
        <v>3079</v>
      </c>
      <c r="B17" s="1272" t="s">
        <v>3084</v>
      </c>
      <c r="C17" s="2147" t="s">
        <v>3089</v>
      </c>
      <c r="D17" s="2207" t="s">
        <v>3094</v>
      </c>
      <c r="E17" s="16">
        <f>IF($C$3="是",ROUND($A$3*G17/$B$3,2),ROUND($A$3*(G17-AT17)/$B$3,2))</f>
        <v>0</v>
      </c>
      <c r="F17" s="32"/>
      <c r="G17" s="33">
        <f>H17+AC17+AT17</f>
        <v>124.27</v>
      </c>
      <c r="H17" s="20">
        <f>SUMIF(I$12:AB$12,"总值",I17:AB17)</f>
        <v>124.27</v>
      </c>
      <c r="I17" s="2208">
        <v>124.27</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t="str">
        <f t="shared" si="6"/>
        <v>京（2017）西不动产权第0026870号</v>
      </c>
      <c r="AW17" s="11" t="str">
        <f t="shared" si="6"/>
        <v>不动产权证书</v>
      </c>
      <c r="AX17" s="11" t="str">
        <f t="shared" si="6"/>
        <v>17层19C9</v>
      </c>
      <c r="AY17" s="1801">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3080</v>
      </c>
      <c r="B18" s="34" t="s">
        <v>3084</v>
      </c>
      <c r="C18" s="34" t="s">
        <v>3090</v>
      </c>
      <c r="D18" s="2212" t="s">
        <v>3094</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t="str">
        <f t="shared" ref="AV18:AV112" si="11">A18</f>
        <v>京（2017）西不动产权第0026871号</v>
      </c>
      <c r="AW18" s="1790" t="str">
        <f t="shared" ref="AW18:AW112" si="12">B18</f>
        <v>不动产权证书</v>
      </c>
      <c r="AX18" s="1790"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3084</v>
      </c>
      <c r="C19" s="34" t="s">
        <v>3091</v>
      </c>
      <c r="D19" s="2212" t="s">
        <v>3094</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t="str">
        <f t="shared" si="11"/>
        <v>京（2017）西不动产权第0026872号</v>
      </c>
      <c r="AW19" s="1790" t="str">
        <f t="shared" si="12"/>
        <v>不动产权证书</v>
      </c>
      <c r="AX19" s="1790"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3082</v>
      </c>
      <c r="B20" s="34" t="s">
        <v>3084</v>
      </c>
      <c r="C20" s="34" t="s">
        <v>3092</v>
      </c>
      <c r="D20" s="2212" t="s">
        <v>3094</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t="str">
        <f t="shared" si="11"/>
        <v>京（2017）西不动产权第0026873号</v>
      </c>
      <c r="AW20" s="1790" t="str">
        <f t="shared" si="12"/>
        <v>不动产权证书</v>
      </c>
      <c r="AX20" s="1790"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3083</v>
      </c>
      <c r="B21" s="34" t="s">
        <v>3084</v>
      </c>
      <c r="C21" s="34" t="s">
        <v>3093</v>
      </c>
      <c r="D21" s="2212" t="s">
        <v>3094</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t="str">
        <f t="shared" si="11"/>
        <v>京（2017）西不动产权第0026874号</v>
      </c>
      <c r="AW21" s="1790" t="str">
        <f t="shared" si="12"/>
        <v>不动产权证书</v>
      </c>
      <c r="AX21" s="1790"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2"/>
      <c r="C1" s="1392"/>
      <c r="D1" s="1392"/>
      <c r="E1" s="1392"/>
      <c r="F1" s="1392"/>
      <c r="G1" s="1392"/>
      <c r="H1" s="1392"/>
      <c r="I1" s="1392"/>
      <c r="J1" s="1392"/>
      <c r="K1" s="1392"/>
      <c r="L1" s="1392"/>
      <c r="M1" s="1392"/>
      <c r="N1" s="1392"/>
      <c r="O1" s="1392"/>
      <c r="P1" s="1392"/>
    </row>
    <row r="2" spans="1:16" ht="15">
      <c r="A2" s="3061" t="s">
        <v>1933</v>
      </c>
      <c r="B2" s="3061"/>
      <c r="C2" s="3061"/>
      <c r="D2" s="967" t="s">
        <v>1909</v>
      </c>
      <c r="E2" s="2221" t="s">
        <v>1910</v>
      </c>
      <c r="F2" s="1392"/>
      <c r="G2" s="2222"/>
      <c r="H2" s="2223"/>
      <c r="I2" s="2224" t="s">
        <v>1934</v>
      </c>
      <c r="J2" s="1392"/>
      <c r="K2" s="1392"/>
      <c r="L2" s="1392"/>
      <c r="M2" s="1392"/>
      <c r="N2" s="1427"/>
      <c r="O2" s="1392"/>
      <c r="P2" s="1392"/>
    </row>
    <row r="3" spans="1:16" ht="15.75" thickBot="1">
      <c r="A3" s="3062" t="s">
        <v>1907</v>
      </c>
      <c r="B3" s="3062"/>
      <c r="C3" s="3062"/>
      <c r="D3" s="46">
        <f>'数据-基础表'!AY6</f>
        <v>0</v>
      </c>
      <c r="E3" s="46">
        <f>'数据-基础表'!AZ5</f>
        <v>1141.77</v>
      </c>
      <c r="F3" s="1392"/>
      <c r="G3" s="1399"/>
      <c r="H3" s="1247" t="s">
        <v>1908</v>
      </c>
      <c r="I3" s="55" t="e">
        <f>ROUND('数据-基础表'!B3/'数据-基础表'!A3,2)</f>
        <v>#DIV/0!</v>
      </c>
      <c r="J3" s="1392"/>
      <c r="K3" s="1392"/>
      <c r="L3" s="1392"/>
      <c r="M3" s="1392"/>
      <c r="N3" s="1427"/>
      <c r="O3" s="1392"/>
      <c r="P3" s="1392"/>
    </row>
    <row r="4" spans="1:16" ht="15">
      <c r="A4" s="3063"/>
      <c r="B4" s="3064"/>
      <c r="C4" s="3065"/>
      <c r="D4" s="2225" t="s">
        <v>1909</v>
      </c>
      <c r="E4" s="2226" t="s">
        <v>1910</v>
      </c>
      <c r="F4" s="1392"/>
      <c r="G4" s="2227" t="s">
        <v>1935</v>
      </c>
      <c r="H4" s="1247" t="s">
        <v>1915</v>
      </c>
      <c r="I4" s="55" t="e">
        <f>ROUND(SUMIF('数据-基础表'!I9:AS9,"地上",'数据-基础表'!I5:AS5)/'数据-基础表'!A3,2)</f>
        <v>#DIV/0!</v>
      </c>
      <c r="J4" s="1392"/>
      <c r="K4" s="1392"/>
      <c r="L4" s="1392"/>
      <c r="M4" s="1392"/>
      <c r="N4" s="1427"/>
      <c r="O4" s="1392"/>
      <c r="P4" s="1392"/>
    </row>
    <row r="5" spans="1:16">
      <c r="A5" s="47" t="s">
        <v>1911</v>
      </c>
      <c r="B5" s="3066" t="s">
        <v>1912</v>
      </c>
      <c r="C5" s="3066"/>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28"/>
      <c r="B6" s="3066" t="s">
        <v>1913</v>
      </c>
      <c r="C6" s="3066"/>
      <c r="D6" s="48">
        <f>ROUND($D$3*E6/$E$3,2)</f>
        <v>0</v>
      </c>
      <c r="E6" s="49">
        <f>E3-E5</f>
        <v>1141.77</v>
      </c>
      <c r="F6" s="1392"/>
      <c r="G6" s="2229" t="s">
        <v>1914</v>
      </c>
      <c r="H6" s="1399" t="s">
        <v>1915</v>
      </c>
      <c r="I6" s="939" t="e">
        <f>ROUND(F31/D31,2)</f>
        <v>#DIV/0!</v>
      </c>
      <c r="J6" s="1392"/>
      <c r="K6" s="1392"/>
      <c r="L6" s="1392"/>
      <c r="M6" s="1392"/>
      <c r="N6" s="1392"/>
      <c r="O6" s="1392"/>
      <c r="P6" s="1392"/>
    </row>
    <row r="7" spans="1:16" ht="15">
      <c r="A7" s="3058"/>
      <c r="B7" s="3059"/>
      <c r="C7" s="3060"/>
      <c r="D7" s="2225" t="s">
        <v>1909</v>
      </c>
      <c r="E7" s="2230" t="s">
        <v>1916</v>
      </c>
      <c r="F7" s="1392"/>
      <c r="G7" s="2222" t="s">
        <v>1917</v>
      </c>
      <c r="H7" s="64"/>
      <c r="I7" s="420">
        <v>2.4</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1141.77</v>
      </c>
      <c r="F8" s="1392"/>
      <c r="G8" s="2231"/>
      <c r="H8" s="2231"/>
      <c r="I8" s="1392"/>
      <c r="J8" s="1392"/>
      <c r="K8" s="1392"/>
      <c r="L8" s="1392"/>
      <c r="M8" s="1392"/>
      <c r="N8" s="1392"/>
      <c r="O8" s="1392"/>
      <c r="P8" s="1392"/>
    </row>
    <row r="9" spans="1:16">
      <c r="A9" s="2232"/>
      <c r="B9" s="2233"/>
      <c r="C9" s="48" t="s">
        <v>1921</v>
      </c>
      <c r="D9" s="48">
        <f t="shared" si="0"/>
        <v>0</v>
      </c>
      <c r="E9" s="52">
        <v>0</v>
      </c>
      <c r="F9" s="1392"/>
      <c r="G9" s="2231"/>
      <c r="H9" s="2231"/>
      <c r="I9" s="1392"/>
      <c r="J9" s="1392"/>
      <c r="K9" s="1392"/>
      <c r="L9" s="1392"/>
      <c r="M9" s="1392"/>
      <c r="N9" s="1392"/>
      <c r="O9" s="1392"/>
      <c r="P9" s="1392"/>
    </row>
    <row r="10" spans="1:16">
      <c r="A10" s="2232"/>
      <c r="B10" s="2233"/>
      <c r="C10" s="48" t="s">
        <v>1930</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1922</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1923</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1924</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1936</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1931</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1925</v>
      </c>
      <c r="D16" s="50">
        <f>SUM(D8:D15)</f>
        <v>0</v>
      </c>
      <c r="E16" s="53">
        <f>SUM(E8:E15)</f>
        <v>1141.77</v>
      </c>
      <c r="F16" s="1392"/>
      <c r="G16" s="2231"/>
      <c r="H16" s="2234" t="s">
        <v>1937</v>
      </c>
      <c r="I16" s="2235"/>
      <c r="J16" s="1392"/>
      <c r="K16" s="3055" t="s">
        <v>1937</v>
      </c>
      <c r="L16" s="3056"/>
      <c r="M16" s="3056"/>
      <c r="N16" s="3056"/>
      <c r="O16" s="3056"/>
      <c r="P16" s="3057"/>
    </row>
    <row r="17" spans="1:19" ht="15">
      <c r="A17" s="2236" t="s">
        <v>1938</v>
      </c>
      <c r="B17" s="2237" t="s">
        <v>1939</v>
      </c>
      <c r="C17" s="2238" t="s">
        <v>1940</v>
      </c>
      <c r="D17" s="2239" t="s">
        <v>1928</v>
      </c>
      <c r="E17" s="2240" t="s">
        <v>1929</v>
      </c>
      <c r="F17" s="2241"/>
      <c r="G17" s="2242"/>
      <c r="H17" s="2243" t="s">
        <v>1941</v>
      </c>
      <c r="I17" s="2244" t="s">
        <v>1926</v>
      </c>
      <c r="J17" s="1392"/>
      <c r="K17" s="3052" t="s">
        <v>1942</v>
      </c>
      <c r="L17" s="3053"/>
      <c r="M17" s="3054"/>
      <c r="N17" s="3052" t="s">
        <v>1943</v>
      </c>
      <c r="O17" s="3053"/>
      <c r="P17" s="3054"/>
      <c r="R17" s="2222" t="s">
        <v>1944</v>
      </c>
      <c r="S17" s="64"/>
    </row>
    <row r="18" spans="1:19" ht="15">
      <c r="A18" s="2232"/>
      <c r="B18" s="2245"/>
      <c r="C18" s="2246"/>
      <c r="D18" s="2247"/>
      <c r="E18" s="2248" t="s">
        <v>1945</v>
      </c>
      <c r="F18" s="2249" t="s">
        <v>1946</v>
      </c>
      <c r="G18" s="2250" t="s">
        <v>1947</v>
      </c>
      <c r="H18" s="1262" t="s">
        <v>1948</v>
      </c>
      <c r="I18" s="2251" t="s">
        <v>1949</v>
      </c>
      <c r="J18" s="1392"/>
      <c r="K18" s="1262" t="s">
        <v>1950</v>
      </c>
      <c r="L18" s="2252" t="s">
        <v>1951</v>
      </c>
      <c r="M18" s="1046" t="s">
        <v>1952</v>
      </c>
      <c r="N18" s="1262" t="s">
        <v>1950</v>
      </c>
      <c r="O18" s="2252" t="s">
        <v>1951</v>
      </c>
      <c r="P18" s="1046" t="s">
        <v>1952</v>
      </c>
      <c r="R18" s="1247" t="s">
        <v>1953</v>
      </c>
      <c r="S18" s="1247" t="s">
        <v>1954</v>
      </c>
    </row>
    <row r="19" spans="1:19">
      <c r="A19" s="2253"/>
      <c r="B19" s="50" t="s">
        <v>1927</v>
      </c>
      <c r="C19" s="2949" t="s">
        <v>3097</v>
      </c>
      <c r="D19" s="48">
        <f>ROUND($D$3*E19/$E$3,2)</f>
        <v>0</v>
      </c>
      <c r="E19" s="56">
        <f t="shared" ref="E19:E26" si="1">SUM(F19:G19)</f>
        <v>103.53</v>
      </c>
      <c r="F19" s="57">
        <f>'数据-基础表'!I13</f>
        <v>103.53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103.53</v>
      </c>
    </row>
    <row r="20" spans="1:19">
      <c r="A20" s="2257"/>
      <c r="B20" s="50" t="s">
        <v>1955</v>
      </c>
      <c r="C20" s="2949" t="s">
        <v>3098</v>
      </c>
      <c r="D20" s="48">
        <f t="shared" ref="D20:D26" si="6">ROUND($D$3*E20/$E$3,2)</f>
        <v>0</v>
      </c>
      <c r="E20" s="56">
        <f t="shared" si="1"/>
        <v>1038.24</v>
      </c>
      <c r="F20" s="57">
        <f>'数据-基础表'!I14+'数据-基础表'!I15+'数据-基础表'!I16+'数据-基础表'!I17+'数据-基础表'!I18+'数据-基础表'!I20+'数据-基础表'!I19+'数据-基础表'!I21</f>
        <v>1038.24</v>
      </c>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1038.24</v>
      </c>
    </row>
    <row r="21" spans="1:19">
      <c r="A21" s="2257"/>
      <c r="B21" s="50" t="s">
        <v>1955</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1956</v>
      </c>
      <c r="D27" s="1393">
        <f>SUM(D19:D26)</f>
        <v>0</v>
      </c>
      <c r="E27" s="1394">
        <f>IF(SUM(E19:E26)='数据-基础表'!BA5,SUM(E19:E26),IF(F27="地上面积有误","面积有误","地下面积有误"))</f>
        <v>1141.77</v>
      </c>
      <c r="F27" s="1393">
        <f>IF(SUM(F19:F26)=E8,SUM(F19:F26),"地上面积有误")</f>
        <v>1141.77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1141.77</v>
      </c>
    </row>
    <row r="28" spans="1:19">
      <c r="A28" s="2257"/>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1957</v>
      </c>
      <c r="C29" s="2261"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1960</v>
      </c>
      <c r="D31" s="729">
        <f>D27+D30</f>
        <v>0</v>
      </c>
      <c r="E31" s="729">
        <f>E27+E30</f>
        <v>1141.77</v>
      </c>
      <c r="F31" s="730">
        <f>F27+F30</f>
        <v>1141.77</v>
      </c>
      <c r="G31" s="731">
        <f>G27+G30</f>
        <v>0</v>
      </c>
      <c r="H31" s="1392"/>
      <c r="I31" s="1392"/>
      <c r="J31" s="1392"/>
      <c r="K31" s="1392"/>
      <c r="L31" s="1392"/>
      <c r="M31" s="1392"/>
      <c r="N31" s="1392"/>
      <c r="O31" s="1392"/>
      <c r="P31" s="1392"/>
    </row>
    <row r="32" spans="1:19">
      <c r="A32" s="2227"/>
      <c r="B32" s="2227" t="s">
        <v>1961</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M24" sqref="AM24"/>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6" customFormat="1" ht="15.75" thickBot="1">
      <c r="A2" s="2270" t="s">
        <v>1963</v>
      </c>
      <c r="B2" s="1266">
        <f>项目基本情况!D3</f>
        <v>43592</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1970</v>
      </c>
      <c r="B5" s="2284" t="s">
        <v>1971</v>
      </c>
      <c r="C5" s="2285" t="s">
        <v>1972</v>
      </c>
      <c r="D5" s="2286" t="s">
        <v>1973</v>
      </c>
      <c r="E5" s="1268" t="s">
        <v>1974</v>
      </c>
      <c r="F5" s="2287" t="s">
        <v>1975</v>
      </c>
      <c r="G5" s="1268" t="s">
        <v>1976</v>
      </c>
      <c r="H5" s="1268" t="s">
        <v>1977</v>
      </c>
      <c r="I5" s="1268" t="s">
        <v>1978</v>
      </c>
      <c r="J5" s="2288" t="s">
        <v>1979</v>
      </c>
      <c r="K5" s="2289" t="s">
        <v>1980</v>
      </c>
      <c r="L5" s="2290" t="s">
        <v>1981</v>
      </c>
      <c r="M5" s="2291" t="s">
        <v>1982</v>
      </c>
      <c r="N5" s="2292" t="s">
        <v>3099</v>
      </c>
      <c r="O5" s="2290" t="s">
        <v>1983</v>
      </c>
      <c r="P5" s="2293" t="s">
        <v>1984</v>
      </c>
      <c r="Q5" s="69" t="s">
        <v>1985</v>
      </c>
      <c r="R5" s="2294" t="s">
        <v>1986</v>
      </c>
      <c r="S5" s="2295" t="s">
        <v>1987</v>
      </c>
      <c r="T5" s="2296" t="s">
        <v>1988</v>
      </c>
      <c r="U5" s="1267" t="s">
        <v>1989</v>
      </c>
      <c r="V5" s="1268" t="s">
        <v>1990</v>
      </c>
      <c r="W5" s="1268" t="s">
        <v>1991</v>
      </c>
      <c r="X5" s="71"/>
      <c r="Y5" s="70" t="s">
        <v>1992</v>
      </c>
      <c r="Z5" s="2297" t="s">
        <v>1989</v>
      </c>
      <c r="AA5" s="1268" t="s">
        <v>1990</v>
      </c>
      <c r="AB5" s="1268" t="s">
        <v>1991</v>
      </c>
      <c r="AC5" s="71"/>
      <c r="AD5" s="71" t="s">
        <v>1992</v>
      </c>
      <c r="AE5" s="1267" t="s">
        <v>1993</v>
      </c>
      <c r="AF5" s="1268" t="s">
        <v>1994</v>
      </c>
      <c r="AG5" s="70" t="s">
        <v>1995</v>
      </c>
      <c r="AH5" s="1267" t="s">
        <v>1996</v>
      </c>
      <c r="AI5" s="2297" t="s">
        <v>1997</v>
      </c>
      <c r="AJ5" s="2297" t="s">
        <v>1998</v>
      </c>
      <c r="AK5" s="1268" t="s">
        <v>1999</v>
      </c>
      <c r="AL5" s="1268" t="s">
        <v>2000</v>
      </c>
      <c r="AM5" s="70" t="s">
        <v>2001</v>
      </c>
      <c r="AN5" s="2298" t="s">
        <v>2002</v>
      </c>
      <c r="AO5" s="2068" t="s">
        <v>2003</v>
      </c>
      <c r="AP5" s="1249"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17层19C5</v>
      </c>
      <c r="B6" s="2301" t="str">
        <f>IF(A6=0,"","经营性")</f>
        <v>经营性</v>
      </c>
      <c r="C6" s="2302" t="s">
        <v>27</v>
      </c>
      <c r="D6" s="1051">
        <f>SUMIF(项目基本情况!D$12:I$12,C6,项目基本情况!D$14:I$14)</f>
        <v>50</v>
      </c>
      <c r="E6" s="1048">
        <f>IF(B6="","",SUMIF(项目基本情况!D$12:I$12,C6,项目基本情况!D$13:I$13))</f>
        <v>56484</v>
      </c>
      <c r="F6" s="72">
        <f>SUMIF(项目基本情况!D$12:I$12,C6,项目基本情况!D$15:I$15)</f>
        <v>35.32</v>
      </c>
      <c r="G6" s="73">
        <f>IF(ISERROR(ROUND(POWER(1+H6,D6-F6)*(POWER(1+H6,F6)-1)/(POWER(1+H6,D6)-1),3)),0,ROUND(POWER(1+H6,D6-F6)*(POWER(1+H6,F6)-1)/(POWER(1+H6,D6)-1),3))</f>
        <v>0.88700000000000001</v>
      </c>
      <c r="H6" s="802">
        <v>4.4999999999999998E-2</v>
      </c>
      <c r="I6" s="802">
        <v>5.5E-2</v>
      </c>
      <c r="J6" s="74">
        <v>8.5000000000000006E-2</v>
      </c>
      <c r="K6" s="1251">
        <f>SUMIF('数据-汇总表'!C$19:C$33,A6,'数据-汇总表'!E$19:E$33)</f>
        <v>103.53</v>
      </c>
      <c r="L6" s="803">
        <v>3500</v>
      </c>
      <c r="M6" s="75">
        <f t="shared" ref="M6:M14" si="0">ROUND(K6*L6/10000,0)</f>
        <v>36</v>
      </c>
      <c r="N6" s="801">
        <v>0.76</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3">
        <f>ROUND($L$14*S6/10000,0)</f>
        <v>0</v>
      </c>
      <c r="U6" s="2966">
        <f>'比较法-办公租金'!C50</f>
        <v>8.3000000000000007</v>
      </c>
      <c r="V6" s="2975">
        <v>0.03</v>
      </c>
      <c r="W6" s="79">
        <v>0.1</v>
      </c>
      <c r="X6" s="1261"/>
      <c r="Y6" s="80">
        <v>0.76</v>
      </c>
      <c r="Z6" s="81"/>
      <c r="AA6" s="74"/>
      <c r="AB6" s="74"/>
      <c r="AC6" s="1261"/>
      <c r="AD6" s="82"/>
      <c r="AE6" s="1262">
        <f ca="1">IF(AN6="",0,SUMIF(INDIRECT("'"&amp;AN6&amp;"'"&amp;"!E:E"),$AE$5,INDIRECT("'"&amp;AN6&amp;"'"&amp;"!F:F")))</f>
        <v>35.32</v>
      </c>
      <c r="AF6" s="1799"/>
      <c r="AG6" s="147">
        <f>IF(AF6="",0,AE6-AF6)</f>
        <v>0</v>
      </c>
      <c r="AH6" s="83"/>
      <c r="AI6" s="85">
        <v>365</v>
      </c>
      <c r="AJ6" s="86"/>
      <c r="AK6" s="2972">
        <v>2.5000000000000001E-2</v>
      </c>
      <c r="AL6" s="2973">
        <v>3.0000000000000001E-3</v>
      </c>
      <c r="AM6" s="2974">
        <v>0.03</v>
      </c>
      <c r="AN6" s="2303" t="s">
        <v>3100</v>
      </c>
      <c r="AO6" s="55">
        <f ca="1">SUMIF(INDIRECT("'"&amp;AN6&amp;"'"&amp;"!A:A"),"总价",INDIRECT("'"&amp;AN6&amp;"'"&amp;"!B:B"))</f>
        <v>480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t="str">
        <f>'数据-汇总表'!C20</f>
        <v>其他办公</v>
      </c>
      <c r="B7" s="2301" t="str">
        <f t="shared" ref="B7:B13" si="1">IF(A7=0,"","经营性")</f>
        <v>经营性</v>
      </c>
      <c r="C7" s="2302" t="s">
        <v>27</v>
      </c>
      <c r="D7" s="1051">
        <f>SUMIF(项目基本情况!D$12:I$12,C7,项目基本情况!D$14:I$14)</f>
        <v>50</v>
      </c>
      <c r="E7" s="1048">
        <f>IF(B7="","",SUMIF(项目基本情况!D$12:I$12,C7,项目基本情况!D$13:I$13))</f>
        <v>56484</v>
      </c>
      <c r="F7" s="72">
        <f>SUMIF(项目基本情况!D$12:I$12,C7,项目基本情况!D$15:I$15)</f>
        <v>35.32</v>
      </c>
      <c r="G7" s="73">
        <f t="shared" ref="G7:G11" si="2">IF(ISERROR(ROUND(POWER(1+H7,D7-F7)*(POWER(1+H7,F7)-1)/(POWER(1+H7,D7)-1),3)),0,ROUND(POWER(1+H7,D7-F7)*(POWER(1+H7,F7)-1)/(POWER(1+H7,D7)-1),3))</f>
        <v>0.88700000000000001</v>
      </c>
      <c r="H7" s="802">
        <v>4.4999999999999998E-2</v>
      </c>
      <c r="I7" s="802">
        <v>5.5E-2</v>
      </c>
      <c r="J7" s="74">
        <v>8.5000000000000006E-2</v>
      </c>
      <c r="K7" s="1251">
        <f>SUMIF('数据-汇总表'!C$19:C$33,A7,'数据-汇总表'!E$19:E$33)</f>
        <v>1038.24</v>
      </c>
      <c r="L7" s="803">
        <v>3500</v>
      </c>
      <c r="M7" s="75">
        <f t="shared" si="0"/>
        <v>363</v>
      </c>
      <c r="N7" s="801">
        <v>0.76</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9"/>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9"/>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2007</v>
      </c>
      <c r="B14" s="2301" t="s">
        <v>2008</v>
      </c>
      <c r="C14" s="2306"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0"/>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2009</v>
      </c>
      <c r="B15" s="2301" t="s">
        <v>2008</v>
      </c>
      <c r="C15" s="2306"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0"/>
      <c r="AJ15" s="773"/>
      <c r="AK15" s="1263"/>
      <c r="AL15" s="1264"/>
      <c r="AM15" s="1265"/>
      <c r="AN15" s="2268">
        <f ca="1">典型户型修正!S22</f>
        <v>5366</v>
      </c>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2011</v>
      </c>
      <c r="B16" s="97"/>
      <c r="C16" s="1005"/>
      <c r="D16" s="2308"/>
      <c r="E16" s="97"/>
      <c r="F16" s="97"/>
      <c r="G16" s="98">
        <f>ROUND(SUMPRODUCT(G6:G13,K6:K13)/SUMPRODUCT((G6:G13&gt;0)*(K6:K13)),3)</f>
        <v>0.88700000000000001</v>
      </c>
      <c r="H16" s="99">
        <f>ROUND(SUMPRODUCT(H6:H13,K6:K13)/SUMPRODUCT((H6:H13&gt;0)*(K6:K13)),3)</f>
        <v>4.4999999999999998E-2</v>
      </c>
      <c r="I16" s="100"/>
      <c r="J16" s="100"/>
      <c r="K16" s="101">
        <f>SUM(K6:K15)</f>
        <v>1141.77</v>
      </c>
      <c r="L16" s="102">
        <f>ROUND(M16*10000/SUM(K6:K14),0)</f>
        <v>3495</v>
      </c>
      <c r="M16" s="102">
        <f>SUM(M6:M14)</f>
        <v>399</v>
      </c>
      <c r="N16" s="103">
        <f>ROUND(SUMPRODUCT(M6:M14,N6:N14)/M16,3)</f>
        <v>0.76</v>
      </c>
      <c r="O16" s="102">
        <f>SUM(O6:O14)</f>
        <v>0</v>
      </c>
      <c r="P16" s="102">
        <f>SUM(P6:P14)</f>
        <v>0</v>
      </c>
      <c r="Q16" s="104">
        <f>ROUND(SUMPRODUCT(Q6:Q13,K6:K13)/SUMPRODUCT((Q6:Q13&gt;0)*(K6:K13)),2)</f>
        <v>0.25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2013</v>
      </c>
      <c r="B19" s="112">
        <v>0</v>
      </c>
      <c r="C19" s="2271" t="s">
        <v>2014</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2015</v>
      </c>
      <c r="B20" s="113">
        <v>2</v>
      </c>
      <c r="C20" s="2271" t="s">
        <v>2016</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2017</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2018</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2019</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2020</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4"/>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2021</v>
      </c>
      <c r="B26" s="2314" t="s">
        <v>2022</v>
      </c>
      <c r="C26" s="2315" t="s">
        <v>2023</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2024</v>
      </c>
      <c r="B27" s="116"/>
      <c r="C27" s="1759" t="s">
        <v>2025</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2026</v>
      </c>
      <c r="B28" s="119"/>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2027</v>
      </c>
      <c r="B29" s="121"/>
      <c r="C29" s="1759" t="s">
        <v>2028</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2029</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2030</v>
      </c>
      <c r="B31" s="120">
        <f>B30-B32</f>
        <v>200</v>
      </c>
      <c r="C31" s="1759"/>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2031</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2032</v>
      </c>
      <c r="B33" s="726">
        <v>0.05</v>
      </c>
      <c r="C33" s="1758" t="s">
        <v>2033</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2034</v>
      </c>
      <c r="B34" s="122">
        <v>0</v>
      </c>
      <c r="C34" s="1758" t="s">
        <v>2035</v>
      </c>
      <c r="D34" s="2272" t="s">
        <v>2036</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2037</v>
      </c>
      <c r="B35" s="119">
        <v>200</v>
      </c>
      <c r="C35" s="1758" t="s">
        <v>2038</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2039</v>
      </c>
      <c r="B36" s="123">
        <v>1.4999999999999999E-2</v>
      </c>
      <c r="C36" s="1758" t="s">
        <v>2040</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2041</v>
      </c>
      <c r="B37" s="124">
        <v>2.5000000000000001E-2</v>
      </c>
      <c r="C37" s="1758" t="s">
        <v>2042</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2043</v>
      </c>
      <c r="B38" s="122">
        <v>2.5000000000000001E-2</v>
      </c>
      <c r="C38" s="1758" t="s">
        <v>2042</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2044</v>
      </c>
      <c r="B39" s="362">
        <f ca="1">存贷款利率!I1</f>
        <v>1.4999999999999999E-2</v>
      </c>
      <c r="C39" s="1758"/>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2045</v>
      </c>
      <c r="B40" s="1300">
        <f ca="1">存贷款利率!G1</f>
        <v>4.7500000000000001E-2</v>
      </c>
      <c r="C40" s="1758" t="s">
        <v>2046</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2047</v>
      </c>
      <c r="B41" s="125">
        <f>B42+B43</f>
        <v>5.6000000000000001E-2</v>
      </c>
      <c r="C41" s="1759"/>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2048</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2049</v>
      </c>
      <c r="B43" s="127">
        <f>B42*(B44+B45+B46)+B47</f>
        <v>6.000000000000001E-3</v>
      </c>
      <c r="C43" s="1759"/>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2050</v>
      </c>
      <c r="B44" s="128">
        <v>7.0000000000000007E-2</v>
      </c>
      <c r="C44" s="1758" t="s">
        <v>2051</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2052</v>
      </c>
      <c r="B45" s="126">
        <v>0.03</v>
      </c>
      <c r="C45" s="1759" t="s">
        <v>2053</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2054</v>
      </c>
      <c r="B46" s="126">
        <v>0.02</v>
      </c>
      <c r="C46" s="1759" t="s">
        <v>2055</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2056</v>
      </c>
      <c r="B47" s="129"/>
      <c r="C47" s="1759" t="s">
        <v>2057</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2058</v>
      </c>
      <c r="B48" s="130">
        <v>0.03</v>
      </c>
      <c r="C48" s="1766" t="s">
        <v>2059</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2060</v>
      </c>
      <c r="B49" s="126">
        <v>5.0000000000000001E-4</v>
      </c>
      <c r="C49" s="1766" t="s">
        <v>2061</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2062</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2063</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2064</v>
      </c>
      <c r="B52" s="133">
        <f>SUMIF(A54:A63,B53,B54:B63)</f>
        <v>24</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2065</v>
      </c>
      <c r="B53" s="2330" t="s">
        <v>269</v>
      </c>
      <c r="C53" s="1427" t="s">
        <v>2066</v>
      </c>
      <c r="D53" s="2331" t="s">
        <v>2067</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2068</v>
      </c>
      <c r="B54" s="84">
        <v>30</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2069</v>
      </c>
      <c r="B55" s="84">
        <v>24</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2070</v>
      </c>
      <c r="B56" s="84">
        <v>18</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2071</v>
      </c>
      <c r="B57" s="84">
        <v>12</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2072</v>
      </c>
      <c r="B58" s="84">
        <v>3</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2073</v>
      </c>
      <c r="B59" s="84">
        <v>1.5</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2074</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2075</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2076</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2077</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7" t="s">
        <v>2078</v>
      </c>
      <c r="B1" s="3068"/>
      <c r="C1" s="3068"/>
      <c r="D1" s="3068"/>
      <c r="E1" s="3068"/>
      <c r="F1" s="3068"/>
      <c r="G1" s="306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54">
      <c r="A3" s="415" t="s">
        <v>2081</v>
      </c>
      <c r="B3" s="1268" t="s">
        <v>2082</v>
      </c>
      <c r="C3" s="2364" t="s">
        <v>2083</v>
      </c>
      <c r="D3" s="2365"/>
      <c r="E3" s="431" t="s">
        <v>2081</v>
      </c>
      <c r="F3" s="2366" t="s">
        <v>2084</v>
      </c>
      <c r="G3" s="2367" t="s">
        <v>2085</v>
      </c>
      <c r="H3" s="2362"/>
      <c r="I3" s="2362"/>
      <c r="J3" s="2362"/>
      <c r="K3" s="2362"/>
      <c r="L3" s="2362"/>
      <c r="M3" s="2362"/>
      <c r="N3" s="2362"/>
      <c r="O3" s="2362"/>
      <c r="P3" s="2362"/>
      <c r="Q3" s="2362"/>
      <c r="R3" s="2362"/>
    </row>
    <row r="4" spans="1:29" ht="41.25">
      <c r="A4" s="431"/>
      <c r="B4" s="1790" t="s">
        <v>2086</v>
      </c>
      <c r="C4" s="2368" t="s">
        <v>2087</v>
      </c>
      <c r="D4" s="2365"/>
      <c r="E4" s="2369"/>
      <c r="F4" s="42" t="s">
        <v>2088</v>
      </c>
      <c r="G4" s="2370" t="s">
        <v>2089</v>
      </c>
      <c r="H4" s="2362"/>
      <c r="I4" s="2362"/>
      <c r="J4" s="2362"/>
      <c r="K4" s="2362"/>
      <c r="L4" s="2362"/>
      <c r="M4" s="2362"/>
      <c r="N4" s="2362"/>
      <c r="O4" s="2362"/>
      <c r="P4" s="2362"/>
      <c r="Q4" s="2362"/>
      <c r="R4" s="2362"/>
    </row>
    <row r="5" spans="1:29" ht="41.25">
      <c r="A5" s="431"/>
      <c r="B5" s="1790" t="s">
        <v>2090</v>
      </c>
      <c r="C5" s="2368" t="s">
        <v>2091</v>
      </c>
      <c r="D5" s="2365"/>
      <c r="E5" s="2369"/>
      <c r="F5" s="1790" t="s">
        <v>2092</v>
      </c>
      <c r="G5" s="2370" t="s">
        <v>2093</v>
      </c>
      <c r="H5" s="2362"/>
      <c r="I5" s="2362"/>
      <c r="J5" s="2362"/>
      <c r="K5" s="2362"/>
      <c r="L5" s="2362"/>
      <c r="M5" s="2362"/>
      <c r="N5" s="2362"/>
      <c r="O5" s="2362"/>
      <c r="P5" s="2362"/>
      <c r="Q5" s="2362"/>
      <c r="R5" s="2362"/>
    </row>
    <row r="6" spans="1:29" ht="54">
      <c r="A6" s="431"/>
      <c r="B6" s="1790" t="s">
        <v>2094</v>
      </c>
      <c r="C6" s="2370" t="s">
        <v>2089</v>
      </c>
      <c r="D6" s="2365"/>
      <c r="E6" s="2369"/>
      <c r="F6" s="1790" t="s">
        <v>2095</v>
      </c>
      <c r="G6" s="2370" t="s">
        <v>2096</v>
      </c>
      <c r="H6" s="2362"/>
      <c r="I6" s="2362"/>
      <c r="J6" s="2362"/>
      <c r="K6" s="2362"/>
      <c r="L6" s="2362"/>
      <c r="M6" s="2362"/>
      <c r="N6" s="2362"/>
      <c r="O6" s="2362"/>
      <c r="P6" s="2362"/>
      <c r="Q6" s="2362"/>
      <c r="R6" s="2362"/>
    </row>
    <row r="7" spans="1:29" ht="41.25" thickBot="1">
      <c r="A7" s="431"/>
      <c r="B7" s="1790" t="s">
        <v>2092</v>
      </c>
      <c r="C7" s="2370" t="s">
        <v>2093</v>
      </c>
      <c r="D7" s="2371"/>
      <c r="E7" s="2372"/>
      <c r="F7" s="2373" t="s">
        <v>2097</v>
      </c>
      <c r="G7" s="2374" t="s">
        <v>2098</v>
      </c>
      <c r="H7" s="2362"/>
      <c r="I7" s="2362"/>
      <c r="J7" s="2362"/>
      <c r="K7" s="2362"/>
      <c r="L7" s="2362"/>
      <c r="M7" s="2362"/>
      <c r="N7" s="2362"/>
      <c r="O7" s="2362"/>
      <c r="P7" s="2362"/>
      <c r="Q7" s="2362"/>
      <c r="R7" s="2362"/>
    </row>
    <row r="8" spans="1:29" ht="27">
      <c r="A8" s="431"/>
      <c r="B8" s="1790" t="s">
        <v>2095</v>
      </c>
      <c r="C8" s="2370" t="s">
        <v>2096</v>
      </c>
      <c r="D8" s="2371"/>
      <c r="E8" s="2371"/>
      <c r="F8" s="1133"/>
      <c r="G8" s="1133"/>
      <c r="H8" s="2362"/>
      <c r="I8" s="2362"/>
      <c r="J8" s="2362"/>
      <c r="K8" s="2362"/>
      <c r="L8" s="2362"/>
      <c r="M8" s="2362"/>
      <c r="N8" s="2362"/>
      <c r="O8" s="2362"/>
      <c r="P8" s="2362"/>
      <c r="Q8" s="2362"/>
      <c r="R8" s="2362"/>
    </row>
    <row r="9" spans="1:29" ht="27">
      <c r="A9" s="431"/>
      <c r="B9" s="1790" t="s">
        <v>2099</v>
      </c>
      <c r="C9" s="2368" t="s">
        <v>2100</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2102</v>
      </c>
      <c r="B13" s="2382"/>
      <c r="C13" s="2382"/>
      <c r="D13" s="2389"/>
      <c r="E13" s="2382"/>
      <c r="F13" s="2382"/>
      <c r="G13" s="2382"/>
    </row>
    <row r="14" spans="1:29" ht="15.75" thickBot="1">
      <c r="A14" s="2393"/>
      <c r="B14" s="2394"/>
      <c r="C14" s="2395" t="s">
        <v>2103</v>
      </c>
      <c r="D14" s="2365"/>
      <c r="E14" s="2396"/>
      <c r="F14" s="2396"/>
      <c r="G14" s="2359" t="s">
        <v>2104</v>
      </c>
    </row>
    <row r="15" spans="1:29" ht="57">
      <c r="A15" s="68" t="s">
        <v>2105</v>
      </c>
      <c r="B15" s="1267" t="s">
        <v>2082</v>
      </c>
      <c r="C15" s="2397" t="str">
        <f>C3</f>
        <v>估价对象周边居住用地比例、居住小区规模和社区发展完善程度，综合评价居住社区成熟度一般</v>
      </c>
      <c r="D15" s="2365"/>
      <c r="E15" s="2398" t="s">
        <v>2106</v>
      </c>
      <c r="F15" s="1267" t="s">
        <v>2107</v>
      </c>
      <c r="G15" s="135" t="str">
        <f>G3</f>
        <v>估价对象位于XX开发区，园区建设成熟度XX，产业集聚程度XX</v>
      </c>
    </row>
    <row r="16" spans="1:29" ht="42.75">
      <c r="A16" s="645"/>
      <c r="B16" s="2399" t="s">
        <v>2086</v>
      </c>
      <c r="C16" s="2400" t="str">
        <f>C4</f>
        <v>估价对象位于XX商圈，周边商业氛围成熟，人流量大，商业繁华度好</v>
      </c>
      <c r="D16" s="2365"/>
      <c r="E16" s="2401"/>
      <c r="F16" s="2402" t="s">
        <v>2088</v>
      </c>
      <c r="G16" s="136" t="str">
        <f>G4</f>
        <v>估价对象周边道路状况、公共交通通达情况、停车便捷程度，综合评价交通便捷度较好</v>
      </c>
    </row>
    <row r="17" spans="1:18" ht="42.75">
      <c r="A17" s="645"/>
      <c r="B17" s="2399" t="s">
        <v>2090</v>
      </c>
      <c r="C17" s="2400" t="str">
        <f>C5</f>
        <v>估价对象位于XX商圈，周边办公楼项目较多，入驻率高，办公集聚程度较好</v>
      </c>
      <c r="D17" s="2371"/>
      <c r="E17" s="2401"/>
      <c r="F17" s="2402" t="s">
        <v>2108</v>
      </c>
      <c r="G17" s="1569"/>
    </row>
    <row r="18" spans="1:18" ht="57">
      <c r="A18" s="645"/>
      <c r="B18" s="2402" t="s">
        <v>2094</v>
      </c>
      <c r="C18" s="136" t="str">
        <f>C6</f>
        <v>估价对象周边道路状况、公共交通通达情况、停车便捷程度，综合评价交通便捷度较好</v>
      </c>
      <c r="D18" s="2371"/>
      <c r="E18" s="2401"/>
      <c r="F18" s="2402" t="s">
        <v>2097</v>
      </c>
      <c r="G18" s="136" t="str">
        <f>G7</f>
        <v>该园区内是否有污染型企业，绿化情况，卫生条件，整体环境状况判断</v>
      </c>
    </row>
    <row r="19" spans="1:18" ht="28.5">
      <c r="A19" s="645"/>
      <c r="B19" s="2402" t="s">
        <v>2109</v>
      </c>
      <c r="C19" s="1569"/>
      <c r="D19" s="2365"/>
      <c r="E19" s="2401"/>
      <c r="F19" s="1790" t="s">
        <v>2092</v>
      </c>
      <c r="G19" s="136" t="str">
        <f>G5</f>
        <v>估价对象所在区域公共配套设施齐备情况</v>
      </c>
    </row>
    <row r="20" spans="1:18" ht="28.5">
      <c r="A20" s="645"/>
      <c r="B20" s="2402" t="s">
        <v>2110</v>
      </c>
      <c r="C20" s="2400" t="str">
        <f>C9</f>
        <v>区域自然环境：；人文环境；综合评价环境状况一般</v>
      </c>
      <c r="D20" s="2371"/>
      <c r="E20" s="2401"/>
      <c r="F20" s="1790" t="s">
        <v>2111</v>
      </c>
      <c r="G20" s="136" t="str">
        <f>G6</f>
        <v>估价对象所在区域基础设施水平</v>
      </c>
    </row>
    <row r="21" spans="1:18" ht="28.5">
      <c r="A21" s="645"/>
      <c r="B21" s="1790" t="s">
        <v>2092</v>
      </c>
      <c r="C21" s="136" t="str">
        <f>C7</f>
        <v>估价对象所在区域公共配套设施齐备情况</v>
      </c>
      <c r="D21" s="2365"/>
      <c r="E21" s="2401"/>
      <c r="F21" s="2402" t="s">
        <v>2112</v>
      </c>
      <c r="G21" s="2403"/>
    </row>
    <row r="22" spans="1:18" ht="13.5" customHeight="1">
      <c r="A22" s="645"/>
      <c r="B22" s="1790" t="s">
        <v>2095</v>
      </c>
      <c r="C22" s="136" t="str">
        <f>C8</f>
        <v>估价对象所在区域基础设施水平</v>
      </c>
      <c r="D22" s="2365"/>
      <c r="E22" s="2401"/>
      <c r="F22" s="2402" t="s">
        <v>2101</v>
      </c>
      <c r="G22" s="1569"/>
    </row>
    <row r="23" spans="1:18" s="2362" customFormat="1" ht="15.75" thickBot="1">
      <c r="A23" s="645"/>
      <c r="B23" s="2402" t="s">
        <v>2112</v>
      </c>
      <c r="C23" s="2403"/>
      <c r="D23" s="2390"/>
      <c r="E23" s="2404"/>
      <c r="F23" s="2405" t="s">
        <v>2113</v>
      </c>
      <c r="G23" s="2406"/>
      <c r="H23" s="2390"/>
      <c r="I23" s="2391"/>
      <c r="J23" s="2390"/>
      <c r="K23" s="2390"/>
      <c r="L23" s="2391"/>
      <c r="M23" s="2390"/>
      <c r="N23" s="2390"/>
      <c r="O23" s="2391"/>
      <c r="P23" s="2390"/>
      <c r="Q23" s="2390"/>
      <c r="R23" s="2392"/>
    </row>
    <row r="24" spans="1:18" s="2362" customFormat="1" ht="15.75" thickBot="1">
      <c r="A24" s="2407"/>
      <c r="B24" s="2405" t="s">
        <v>2114</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1141.77</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43592</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5366</v>
      </c>
      <c r="C5" s="1738">
        <f ca="1">ROUND(B5*10000/$B$1,0)</f>
        <v>46997</v>
      </c>
      <c r="D5" s="1738" t="e">
        <f ca="1">ROUND(B5*10000/$B$2,0)</f>
        <v>#DIV/0!</v>
      </c>
      <c r="E5" s="1737"/>
      <c r="F5" s="1735"/>
      <c r="G5" s="1735"/>
    </row>
    <row r="6" spans="1:10" ht="16.5">
      <c r="A6" s="1738" t="s">
        <v>1352</v>
      </c>
      <c r="B6" s="1738">
        <f ca="1">SUM(G14:G23)</f>
        <v>5366</v>
      </c>
      <c r="C6" s="1738">
        <f ca="1">ROUND(B6*10000/$B$1,0)</f>
        <v>46997</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1141.77</v>
      </c>
      <c r="C14" s="1736">
        <f>结果表!C118</f>
        <v>0</v>
      </c>
      <c r="D14" s="1736">
        <f ca="1">结果表!H118</f>
        <v>483</v>
      </c>
      <c r="E14" s="1736">
        <f ca="1">ROUND(D14*10000/B14,0)</f>
        <v>4230</v>
      </c>
      <c r="F14" s="1736" t="e">
        <f ca="1">ROUND(D14*10000/C14,0)</f>
        <v>#DIV/0!</v>
      </c>
      <c r="G14" s="1736">
        <f ca="1">结果表!D122</f>
        <v>483</v>
      </c>
      <c r="H14" s="1736" t="str">
        <f>结果表!D124</f>
        <v>——</v>
      </c>
      <c r="I14" s="1736" t="str">
        <f>结果表!D126</f>
        <v>——</v>
      </c>
      <c r="J14" s="1735"/>
    </row>
    <row r="15" spans="1:10" ht="16.5">
      <c r="A15" s="1734" t="s">
        <v>1345</v>
      </c>
      <c r="B15" s="1741"/>
      <c r="C15" s="1741"/>
      <c r="D15" s="1741">
        <f ca="1">SUM(典型户型修正!S25:S32)</f>
        <v>4883</v>
      </c>
      <c r="E15" s="1736" t="e">
        <f t="shared" ref="E15:E23" ca="1" si="0">ROUND(D15*10000/B15,0)</f>
        <v>#DIV/0!</v>
      </c>
      <c r="F15" s="1736" t="e">
        <f t="shared" ref="F15:F23" ca="1" si="1">ROUND(D15*10000/C15,0)</f>
        <v>#DIV/0!</v>
      </c>
      <c r="G15" s="1742">
        <f ca="1">D15</f>
        <v>4883</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2115</v>
      </c>
      <c r="B1" s="2413"/>
      <c r="C1" s="2414"/>
      <c r="D1" s="2413"/>
      <c r="E1" s="2413"/>
      <c r="F1" s="2415" t="s">
        <v>2116</v>
      </c>
      <c r="G1" s="2064" t="s">
        <v>3069</v>
      </c>
      <c r="H1" s="2416" t="str">
        <f>IF(G1="现房","——","估价对象范围")</f>
        <v>——</v>
      </c>
      <c r="I1" s="2417"/>
    </row>
    <row r="2" spans="1:12" ht="21.75" customHeight="1" thickBot="1">
      <c r="A2" s="3141" t="str">
        <f>项目基本情况!S2</f>
        <v>北京市西城区西直门外大街1号院2号楼17层19C5-19C13房地产</v>
      </c>
      <c r="B2" s="3142"/>
      <c r="C2" s="3142"/>
      <c r="D2" s="3142"/>
      <c r="E2" s="3142"/>
      <c r="F2" s="3142"/>
      <c r="G2" s="3142"/>
      <c r="H2" s="3142"/>
      <c r="I2" s="3143"/>
    </row>
    <row r="3" spans="1:12" ht="12.75">
      <c r="A3" s="3144" t="s">
        <v>2117</v>
      </c>
      <c r="B3" s="3145"/>
      <c r="C3" s="3145"/>
      <c r="D3" s="3145"/>
      <c r="E3" s="3145"/>
      <c r="F3" s="3145"/>
      <c r="G3" s="3145"/>
      <c r="H3" s="3145"/>
      <c r="I3" s="3145"/>
    </row>
    <row r="4" spans="1:12" ht="14.25">
      <c r="A4" s="2420" t="s">
        <v>2118</v>
      </c>
      <c r="B4" s="2421" t="s">
        <v>2119</v>
      </c>
      <c r="C4" s="2422" t="s">
        <v>3149</v>
      </c>
      <c r="D4" s="2422" t="s">
        <v>3173</v>
      </c>
      <c r="E4" s="3125" t="s">
        <v>2120</v>
      </c>
      <c r="F4" s="3138"/>
      <c r="G4" s="3138"/>
      <c r="H4" s="3138"/>
      <c r="I4" s="3126"/>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16" t="s">
        <v>2121</v>
      </c>
      <c r="B5" s="3042">
        <v>25</v>
      </c>
      <c r="C5" s="3146"/>
      <c r="D5" s="3134"/>
      <c r="E5" s="140" t="s">
        <v>2122</v>
      </c>
      <c r="F5" s="2424"/>
      <c r="G5" s="2424"/>
      <c r="H5" s="2424"/>
      <c r="I5" s="1826"/>
    </row>
    <row r="6" spans="1:12" ht="12.75">
      <c r="A6" s="3116"/>
      <c r="B6" s="3042"/>
      <c r="C6" s="3148"/>
      <c r="D6" s="3134"/>
      <c r="E6" s="140" t="s">
        <v>2123</v>
      </c>
      <c r="F6" s="2424"/>
      <c r="G6" s="2424"/>
      <c r="H6" s="2424"/>
      <c r="I6" s="1826"/>
    </row>
    <row r="7" spans="1:12" ht="12.75">
      <c r="A7" s="3116"/>
      <c r="B7" s="3042"/>
      <c r="C7" s="3147"/>
      <c r="D7" s="3134"/>
      <c r="E7" s="140" t="s">
        <v>2124</v>
      </c>
      <c r="F7" s="2424"/>
      <c r="G7" s="2424"/>
      <c r="H7" s="2424"/>
      <c r="I7" s="1826"/>
    </row>
    <row r="8" spans="1:12" ht="12.75">
      <c r="A8" s="3116" t="s">
        <v>2125</v>
      </c>
      <c r="B8" s="3042">
        <v>15</v>
      </c>
      <c r="C8" s="3146"/>
      <c r="D8" s="3134"/>
      <c r="E8" s="140" t="s">
        <v>2126</v>
      </c>
      <c r="F8" s="2424"/>
      <c r="G8" s="2424"/>
      <c r="H8" s="2424"/>
      <c r="I8" s="1826"/>
    </row>
    <row r="9" spans="1:12" ht="12.75">
      <c r="A9" s="3116"/>
      <c r="B9" s="3042"/>
      <c r="C9" s="3147"/>
      <c r="D9" s="3134"/>
      <c r="E9" s="140" t="s">
        <v>2127</v>
      </c>
      <c r="F9" s="2424"/>
      <c r="G9" s="2424"/>
      <c r="H9" s="2424"/>
      <c r="I9" s="1826"/>
    </row>
    <row r="10" spans="1:12" ht="12.75">
      <c r="A10" s="3116" t="s">
        <v>2128</v>
      </c>
      <c r="B10" s="3042">
        <v>15</v>
      </c>
      <c r="C10" s="3146"/>
      <c r="D10" s="3134"/>
      <c r="E10" s="140" t="s">
        <v>2129</v>
      </c>
      <c r="F10" s="2424"/>
      <c r="G10" s="2424"/>
      <c r="H10" s="2424"/>
      <c r="I10" s="1826"/>
    </row>
    <row r="11" spans="1:12" ht="12.75">
      <c r="A11" s="3116"/>
      <c r="B11" s="3042"/>
      <c r="C11" s="3147"/>
      <c r="D11" s="3134"/>
      <c r="E11" s="140" t="s">
        <v>2130</v>
      </c>
      <c r="F11" s="2424"/>
      <c r="G11" s="2424"/>
      <c r="H11" s="2424"/>
      <c r="I11" s="1826"/>
    </row>
    <row r="12" spans="1:12" ht="12.75">
      <c r="A12" s="3116" t="s">
        <v>2131</v>
      </c>
      <c r="B12" s="3042">
        <v>15</v>
      </c>
      <c r="C12" s="3146"/>
      <c r="D12" s="3134"/>
      <c r="E12" s="140" t="s">
        <v>2132</v>
      </c>
      <c r="F12" s="2424"/>
      <c r="G12" s="2424"/>
      <c r="H12" s="2424"/>
      <c r="I12" s="1826"/>
    </row>
    <row r="13" spans="1:12" ht="12.75">
      <c r="A13" s="3116"/>
      <c r="B13" s="3042"/>
      <c r="C13" s="3147"/>
      <c r="D13" s="3134"/>
      <c r="E13" s="140" t="s">
        <v>2133</v>
      </c>
      <c r="F13" s="2424"/>
      <c r="G13" s="2424"/>
      <c r="H13" s="2424"/>
      <c r="I13" s="1826"/>
    </row>
    <row r="14" spans="1:12" ht="12.75">
      <c r="A14" s="3116" t="s">
        <v>2134</v>
      </c>
      <c r="B14" s="3042">
        <v>30</v>
      </c>
      <c r="C14" s="3146">
        <v>5</v>
      </c>
      <c r="D14" s="3134">
        <v>5</v>
      </c>
      <c r="E14" s="140" t="s">
        <v>2135</v>
      </c>
      <c r="F14" s="2424"/>
      <c r="G14" s="2424"/>
      <c r="H14" s="2424"/>
      <c r="I14" s="1826"/>
    </row>
    <row r="15" spans="1:12" ht="12.75">
      <c r="A15" s="3116"/>
      <c r="B15" s="3042"/>
      <c r="C15" s="3148"/>
      <c r="D15" s="3134"/>
      <c r="E15" s="140" t="s">
        <v>2136</v>
      </c>
      <c r="F15" s="2424"/>
      <c r="G15" s="2424"/>
      <c r="H15" s="2424"/>
      <c r="I15" s="1826"/>
    </row>
    <row r="16" spans="1:12" ht="12.75">
      <c r="A16" s="3116"/>
      <c r="B16" s="3042"/>
      <c r="C16" s="3147"/>
      <c r="D16" s="3134"/>
      <c r="E16" s="140" t="s">
        <v>2137</v>
      </c>
      <c r="F16" s="2424"/>
      <c r="G16" s="2424"/>
      <c r="H16" s="2424"/>
      <c r="I16" s="1826"/>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1141.77</v>
      </c>
      <c r="M18" s="2423">
        <f>IF(C1="",'数据-汇总表'!E3,SUMIF(项目类型,C1,'数据-汇总表'!E17:E26))</f>
        <v>1141.77</v>
      </c>
    </row>
    <row r="19" spans="1:35" ht="15">
      <c r="A19" s="2429" t="s">
        <v>2143</v>
      </c>
      <c r="B19" s="2430" t="s">
        <v>2144</v>
      </c>
      <c r="C19" s="143">
        <f ca="1">SUMIF(INDIRECT("'"&amp;C4&amp;"'"&amp;"!A:A"),结果表!B19,INDIRECT("'"&amp;C4&amp;"'"&amp;"!B:B"))</f>
        <v>488</v>
      </c>
      <c r="D19" s="144">
        <f ca="1">SUMIF(INDIRECT("'"&amp;D4&amp;"'"&amp;"!A:A"),结果表!B19,INDIRECT("'"&amp;D4&amp;"'"&amp;"!B:B"))</f>
        <v>478</v>
      </c>
      <c r="E19" s="2429" t="s">
        <v>2145</v>
      </c>
      <c r="F19" s="2430" t="s">
        <v>2144</v>
      </c>
      <c r="G19" s="145">
        <f ca="1">ROUND(C19*$C$18+D19*$D$18,0)</f>
        <v>483</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7" t="s">
        <v>2148</v>
      </c>
      <c r="C20" s="146">
        <f ca="1">SUMIF(INDIRECT("'"&amp;C4&amp;"'"&amp;"!A:A"),结果表!B20,INDIRECT("'"&amp;C4&amp;"'"&amp;"!B:B"))</f>
        <v>47123</v>
      </c>
      <c r="D20" s="147">
        <f ca="1">SUMIF(INDIRECT("'"&amp;D4&amp;"'"&amp;"!A:A"),结果表!B20,INDIRECT("'"&amp;D4&amp;"'"&amp;"!B:B"))</f>
        <v>46202</v>
      </c>
      <c r="E20" s="2432"/>
      <c r="F20" s="1247" t="s">
        <v>2148</v>
      </c>
      <c r="G20" s="148">
        <f ca="1">ROUND(C20*$C$18+D20*$D$18,0)</f>
        <v>46663</v>
      </c>
      <c r="H20" s="980" t="s">
        <v>2149</v>
      </c>
      <c r="I20" s="138"/>
    </row>
    <row r="21" spans="1:35" ht="15" customHeight="1" thickBot="1">
      <c r="A21" s="1000"/>
      <c r="B21" s="2433" t="s">
        <v>2150</v>
      </c>
      <c r="C21" s="789" t="e">
        <f ca="1">ROUND(C19*10000/L19,0)</f>
        <v>#DIV/0!</v>
      </c>
      <c r="D21" s="790" t="e">
        <f ca="1">ROUND(D19*10000/L19,0)</f>
        <v>#DIV/0!</v>
      </c>
      <c r="E21" s="1000"/>
      <c r="F21" s="2433" t="s">
        <v>2150</v>
      </c>
      <c r="G21" s="149" t="e">
        <f ca="1">ROUND(G19*10000/L19,0)</f>
        <v>#DIV/0!</v>
      </c>
      <c r="H21" s="2434" t="s">
        <v>2149</v>
      </c>
      <c r="I21" s="138"/>
    </row>
    <row r="22" spans="1:35" ht="15" thickBot="1">
      <c r="A22" s="2275" t="s">
        <v>2151</v>
      </c>
      <c r="B22" s="2435"/>
      <c r="C22" s="2436"/>
      <c r="D22" s="791">
        <f ca="1">IF(C19&lt;D19,D19/C19-1,C19/D19-1)</f>
        <v>2.0920502092050208E-2</v>
      </c>
      <c r="E22" s="138"/>
      <c r="F22" s="138"/>
      <c r="G22" s="138"/>
      <c r="H22" s="138"/>
      <c r="I22" s="138"/>
    </row>
    <row r="23" spans="1:35" ht="13.5" thickBot="1">
      <c r="A23" s="2413"/>
      <c r="B23" s="2413"/>
      <c r="C23" s="2413"/>
      <c r="D23" s="2413"/>
      <c r="E23" s="138"/>
      <c r="F23" s="138"/>
      <c r="G23" s="138"/>
      <c r="H23" s="138"/>
      <c r="I23" s="138"/>
    </row>
    <row r="24" spans="1:35" ht="14.25">
      <c r="A24" s="3155" t="s">
        <v>2152</v>
      </c>
      <c r="B24" s="2430" t="s">
        <v>2144</v>
      </c>
      <c r="C24" s="145">
        <f>IF(B30=0,0,D30)</f>
        <v>0</v>
      </c>
      <c r="D24" s="2437"/>
      <c r="E24" s="138"/>
      <c r="F24" s="138"/>
      <c r="G24" s="138"/>
      <c r="H24" s="138"/>
      <c r="I24" s="138"/>
    </row>
    <row r="25" spans="1:35" ht="14.25">
      <c r="A25" s="3156"/>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3033</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2158</v>
      </c>
      <c r="B32" s="2443"/>
      <c r="C32" s="153">
        <f ca="1">IF(D32="总价",G19-C24,G20-C25)</f>
        <v>483</v>
      </c>
      <c r="D32" s="2444" t="s">
        <v>2159</v>
      </c>
      <c r="E32" s="138"/>
      <c r="F32" s="138"/>
      <c r="G32" s="138"/>
      <c r="H32" s="138"/>
      <c r="I32" s="138"/>
    </row>
    <row r="33" spans="1:15" ht="15">
      <c r="A33" s="957"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2163</v>
      </c>
      <c r="F34" s="1731"/>
      <c r="G34" s="138"/>
      <c r="H34" s="138"/>
      <c r="I34" s="138"/>
    </row>
    <row r="35" spans="1:15" ht="15.75" thickBot="1">
      <c r="A35" s="2453"/>
      <c r="B35" s="2454"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135" t="s">
        <v>2166</v>
      </c>
      <c r="B36" s="2456" t="s">
        <v>2167</v>
      </c>
      <c r="C36" s="154"/>
      <c r="D36" s="2457"/>
      <c r="E36" s="2458"/>
      <c r="F36" s="2459"/>
      <c r="G36" s="138"/>
      <c r="H36" s="138"/>
      <c r="I36" s="138"/>
    </row>
    <row r="37" spans="1:15" ht="15.75" thickBot="1">
      <c r="A37" s="3136"/>
      <c r="B37" s="2261" t="s">
        <v>2168</v>
      </c>
      <c r="C37" s="156"/>
      <c r="D37" s="1392"/>
      <c r="E37" s="1392"/>
      <c r="F37" s="2459"/>
      <c r="G37" s="138"/>
      <c r="H37" s="138"/>
      <c r="I37" s="138"/>
    </row>
    <row r="38" spans="1:15" ht="15.75" thickBot="1">
      <c r="A38" s="3137"/>
      <c r="B38" s="2460" t="s">
        <v>2169</v>
      </c>
      <c r="C38" s="727"/>
      <c r="D38" s="2461" t="s">
        <v>2170</v>
      </c>
      <c r="E38" s="1392"/>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152" t="s">
        <v>2180</v>
      </c>
      <c r="B45" s="3153"/>
      <c r="C45" s="3154"/>
      <c r="D45" s="164">
        <f ca="1">ROUND(H101*F45,0)</f>
        <v>483</v>
      </c>
      <c r="E45" s="165" t="s">
        <v>2181</v>
      </c>
      <c r="F45" s="166">
        <v>1</v>
      </c>
      <c r="G45" s="167" t="s">
        <v>2182</v>
      </c>
      <c r="H45" s="138"/>
      <c r="I45" s="138"/>
      <c r="J45" s="3071" t="s">
        <v>2183</v>
      </c>
      <c r="K45" s="3071"/>
      <c r="L45" s="3071"/>
      <c r="M45" s="3071"/>
      <c r="N45" s="3071"/>
      <c r="O45" s="3071"/>
    </row>
    <row r="46" spans="1:15" ht="14.25" customHeight="1">
      <c r="A46" s="3149" t="s">
        <v>2184</v>
      </c>
      <c r="B46" s="3150"/>
      <c r="C46" s="3150"/>
      <c r="D46" s="3150"/>
      <c r="E46" s="3150"/>
      <c r="F46" s="3150"/>
      <c r="G46" s="3151"/>
      <c r="H46" s="2475"/>
      <c r="I46" s="168"/>
      <c r="J46" s="1804">
        <v>1</v>
      </c>
      <c r="K46" s="3071" t="s">
        <v>2185</v>
      </c>
      <c r="L46" s="3071"/>
      <c r="M46" s="3072"/>
      <c r="N46" s="3072"/>
      <c r="O46" s="3072"/>
    </row>
    <row r="47" spans="1:15" ht="12" customHeight="1">
      <c r="A47" s="169" t="s">
        <v>2186</v>
      </c>
      <c r="B47" s="170"/>
      <c r="C47" s="171"/>
      <c r="D47" s="172" t="s">
        <v>2187</v>
      </c>
      <c r="E47" s="24" t="s">
        <v>2188</v>
      </c>
      <c r="F47" s="173" t="s">
        <v>2189</v>
      </c>
      <c r="G47" s="174" t="s">
        <v>2190</v>
      </c>
      <c r="H47" s="2475"/>
      <c r="I47" s="168"/>
      <c r="J47" s="1804">
        <v>2</v>
      </c>
      <c r="K47" s="3071" t="s">
        <v>2191</v>
      </c>
      <c r="L47" s="3071"/>
      <c r="M47" s="3073">
        <f>'数据-取费表'!B2</f>
        <v>43592</v>
      </c>
      <c r="N47" s="3073"/>
      <c r="O47" s="3073"/>
    </row>
    <row r="48" spans="1:15" ht="25.5">
      <c r="A48" s="3139" t="s">
        <v>2192</v>
      </c>
      <c r="B48" s="3140"/>
      <c r="C48" s="3140"/>
      <c r="D48" s="140">
        <f>IF(H48="情况1",0,IF(H48="情况2",D52,IF(H48="情况3",D53,IF(H48="情况4",D54))))</f>
        <v>0</v>
      </c>
      <c r="E48" s="1793" t="str">
        <f>IF(H48="情况4","(销售额-原购置价)×税（费）率","销售额×税（费）率")</f>
        <v>销售额×税（费）率</v>
      </c>
      <c r="F48" s="175" t="str">
        <f>IF(H48="情况1","免征",'数据-取费表'!B41)</f>
        <v>免征</v>
      </c>
      <c r="G48" s="2476" t="s">
        <v>2193</v>
      </c>
      <c r="H48" s="2477" t="s">
        <v>2194</v>
      </c>
      <c r="I48" s="2475"/>
      <c r="J48" s="1804">
        <v>3</v>
      </c>
      <c r="K48" s="3071" t="s">
        <v>2195</v>
      </c>
      <c r="L48" s="3071"/>
      <c r="M48" s="3074">
        <f ca="1">H101</f>
        <v>483</v>
      </c>
      <c r="N48" s="3074"/>
      <c r="O48" s="3074"/>
    </row>
    <row r="49" spans="1:35" ht="25.5" customHeight="1">
      <c r="A49" s="176" t="s">
        <v>2196</v>
      </c>
      <c r="B49" s="3119" t="s">
        <v>2197</v>
      </c>
      <c r="C49" s="3119"/>
      <c r="D49" s="177">
        <v>0</v>
      </c>
      <c r="E49" s="23" t="s">
        <v>2198</v>
      </c>
      <c r="F49" s="28" t="s">
        <v>34</v>
      </c>
      <c r="G49" s="3100"/>
      <c r="H49" s="138"/>
      <c r="I49" s="2478"/>
      <c r="J49" s="1804">
        <v>4</v>
      </c>
      <c r="K49" s="3071" t="str">
        <f>IF(项目基本情况!E8="房地产抵押价值","房地产抵押价值","抵押担保权已注销时的房地产抵押价值")</f>
        <v>抵押担保权已注销时的房地产抵押价值</v>
      </c>
      <c r="L49" s="3071"/>
      <c r="M49" s="3074" t="str">
        <f>IF(项目基本情况!E8="房地产抵押价值",H107,H109)</f>
        <v>——</v>
      </c>
      <c r="N49" s="3074"/>
      <c r="O49" s="3074"/>
    </row>
    <row r="50" spans="1:35" ht="25.5" customHeight="1">
      <c r="A50" s="178"/>
      <c r="B50" s="3119" t="s">
        <v>2199</v>
      </c>
      <c r="C50" s="3119"/>
      <c r="D50" s="179"/>
      <c r="E50" s="31"/>
      <c r="F50" s="180"/>
      <c r="G50" s="3101"/>
      <c r="H50" s="138"/>
      <c r="I50" s="2478"/>
      <c r="J50" s="3071" t="s">
        <v>2200</v>
      </c>
      <c r="K50" s="3071"/>
      <c r="L50" s="3071"/>
      <c r="M50" s="3071"/>
      <c r="N50" s="3071"/>
      <c r="O50" s="3071"/>
    </row>
    <row r="51" spans="1:35" ht="12" customHeight="1">
      <c r="A51" s="181"/>
      <c r="B51" s="3119" t="s">
        <v>2201</v>
      </c>
      <c r="C51" s="3119"/>
      <c r="D51" s="182"/>
      <c r="E51" s="30"/>
      <c r="F51" s="180"/>
      <c r="G51" s="3102"/>
      <c r="H51" s="138"/>
      <c r="I51" s="2478"/>
      <c r="J51" s="2479" t="s">
        <v>2202</v>
      </c>
      <c r="K51" s="3071" t="s">
        <v>2203</v>
      </c>
      <c r="L51" s="3071"/>
      <c r="M51" s="2479" t="s">
        <v>2204</v>
      </c>
      <c r="N51" s="2479" t="s">
        <v>2205</v>
      </c>
      <c r="O51" s="2479" t="s">
        <v>2206</v>
      </c>
    </row>
    <row r="52" spans="1:35" ht="24" customHeight="1">
      <c r="A52" s="183" t="s">
        <v>2207</v>
      </c>
      <c r="B52" s="3119" t="s">
        <v>2208</v>
      </c>
      <c r="C52" s="3119"/>
      <c r="D52" s="182">
        <f ca="1">ROUND(D45*'数据-取费表'!B41/(1+'数据-取费表'!C42),0)</f>
        <v>26</v>
      </c>
      <c r="E52" s="11" t="s">
        <v>2209</v>
      </c>
      <c r="F52" s="184">
        <f>'数据-取费表'!B41</f>
        <v>5.6000000000000001E-2</v>
      </c>
      <c r="G52" s="2480"/>
      <c r="H52" s="138"/>
      <c r="I52" s="2478"/>
      <c r="J52" s="1804">
        <v>1</v>
      </c>
      <c r="K52" s="3094" t="s">
        <v>2210</v>
      </c>
      <c r="L52" s="3094"/>
      <c r="M52" s="1746">
        <f>D48</f>
        <v>0</v>
      </c>
      <c r="N52" s="1804" t="str">
        <f>E48</f>
        <v>销售额×税（费）率</v>
      </c>
      <c r="O52" s="1747" t="str">
        <f>F48</f>
        <v>免征</v>
      </c>
    </row>
    <row r="53" spans="1:35" ht="12" customHeight="1">
      <c r="A53" s="183" t="s">
        <v>2211</v>
      </c>
      <c r="B53" s="3120" t="s">
        <v>2212</v>
      </c>
      <c r="C53" s="3121"/>
      <c r="D53" s="182">
        <f ca="1">ROUND(D45*'数据-取费表'!B41/(1+'数据-取费表'!C42),0)</f>
        <v>26</v>
      </c>
      <c r="E53" s="11" t="s">
        <v>2209</v>
      </c>
      <c r="F53" s="184">
        <f>'数据-取费表'!B41</f>
        <v>5.6000000000000001E-2</v>
      </c>
      <c r="G53" s="2480"/>
      <c r="H53" s="138"/>
      <c r="I53" s="2478"/>
      <c r="J53" s="1804">
        <v>2</v>
      </c>
      <c r="K53" s="3094" t="s">
        <v>2213</v>
      </c>
      <c r="L53" s="3094"/>
      <c r="M53" s="1746">
        <f t="shared" ref="M53:O54" ca="1" si="0">D55</f>
        <v>0</v>
      </c>
      <c r="N53" s="1804" t="str">
        <f t="shared" si="0"/>
        <v>销售额×税（费）率</v>
      </c>
      <c r="O53" s="1747">
        <f t="shared" si="0"/>
        <v>5.0000000000000001E-4</v>
      </c>
    </row>
    <row r="54" spans="1:35" ht="12" customHeight="1">
      <c r="A54" s="183" t="s">
        <v>2214</v>
      </c>
      <c r="B54" s="3120" t="s">
        <v>2215</v>
      </c>
      <c r="C54" s="3121"/>
      <c r="D54" s="182">
        <f ca="1">C68</f>
        <v>26</v>
      </c>
      <c r="E54" s="30" t="s">
        <v>2216</v>
      </c>
      <c r="F54" s="184">
        <f>'数据-取费表'!B41</f>
        <v>5.6000000000000001E-2</v>
      </c>
      <c r="G54" s="2480"/>
      <c r="H54" s="2481"/>
      <c r="I54" s="2478"/>
      <c r="J54" s="1804">
        <v>3</v>
      </c>
      <c r="K54" s="3094" t="s">
        <v>2217</v>
      </c>
      <c r="L54" s="3094"/>
      <c r="M54" s="1746">
        <f t="shared" ca="1" si="0"/>
        <v>273</v>
      </c>
      <c r="N54" s="1804" t="str">
        <f t="shared" si="0"/>
        <v>增值额×税（费）率</v>
      </c>
      <c r="O54" s="1748" t="str">
        <f t="shared" si="0"/>
        <v>——</v>
      </c>
    </row>
    <row r="55" spans="1:35" ht="24" customHeight="1">
      <c r="A55" s="3158" t="s">
        <v>2218</v>
      </c>
      <c r="B55" s="3140"/>
      <c r="C55" s="3140"/>
      <c r="D55" s="185">
        <f ca="1">IF(H55="个人住宅",0,ROUND(D45*I55,0))</f>
        <v>0</v>
      </c>
      <c r="E55" s="11" t="s">
        <v>2219</v>
      </c>
      <c r="F55" s="184">
        <f>IF(H55="正常",I55,"免征")</f>
        <v>5.0000000000000001E-4</v>
      </c>
      <c r="G55" s="2480"/>
      <c r="H55" s="2477" t="s">
        <v>2220</v>
      </c>
      <c r="I55" s="186">
        <f>'数据-取费表'!B49</f>
        <v>5.0000000000000001E-4</v>
      </c>
      <c r="J55" s="1804" t="str">
        <f>IF(H59="非个人房产","",4)</f>
        <v/>
      </c>
      <c r="K55" s="3094" t="str">
        <f>IF(H59="非个人房产","——","个人所得税")</f>
        <v>——</v>
      </c>
      <c r="L55" s="3094"/>
      <c r="M55" s="1749" t="str">
        <f>D59</f>
        <v>——</v>
      </c>
      <c r="N55" s="1802" t="str">
        <f>E59</f>
        <v>——</v>
      </c>
      <c r="O55" s="1750" t="str">
        <f>F59</f>
        <v>——</v>
      </c>
    </row>
    <row r="56" spans="1:35" ht="24.75">
      <c r="A56" s="3158" t="s">
        <v>2221</v>
      </c>
      <c r="B56" s="3140"/>
      <c r="C56" s="3140"/>
      <c r="D56" s="185">
        <f ca="1">IF(H56="个人住宅",D57,D58)</f>
        <v>273</v>
      </c>
      <c r="E56" s="11" t="s">
        <v>2222</v>
      </c>
      <c r="F56" s="184" t="str">
        <f>IF(H56="正常",F58,"免征")</f>
        <v>——</v>
      </c>
      <c r="G56" s="2482" t="s">
        <v>2223</v>
      </c>
      <c r="H56" s="2483" t="s">
        <v>2220</v>
      </c>
      <c r="I56" s="2484"/>
      <c r="J56" s="1804" t="str">
        <f>IF(项目基本情况!K6="上海银行",IF(J55="",4,J55+1),"")</f>
        <v/>
      </c>
      <c r="K56" s="3077" t="str">
        <f>IF(项目基本情况!K6="上海银行","其他处置费用","")</f>
        <v/>
      </c>
      <c r="L56" s="3078"/>
      <c r="M56" s="1746" t="str">
        <f>IF(项目基本情况!K6="上海银行",M69,"")</f>
        <v/>
      </c>
      <c r="N56" s="3080" t="str">
        <f>IF(项目基本情况!K6="上海银行","包含处置中涉及的律师、诉讼、拍卖、评估等费用","")</f>
        <v/>
      </c>
      <c r="O56" s="3081"/>
    </row>
    <row r="57" spans="1:35" ht="12.75">
      <c r="A57" s="183" t="s">
        <v>2196</v>
      </c>
      <c r="B57" s="3125" t="s">
        <v>2224</v>
      </c>
      <c r="C57" s="3126"/>
      <c r="D57" s="187">
        <v>0</v>
      </c>
      <c r="E57" s="23" t="s">
        <v>2198</v>
      </c>
      <c r="F57" s="155"/>
      <c r="G57" s="2480"/>
      <c r="H57" s="2484"/>
      <c r="I57" s="2484"/>
      <c r="J57" s="3094">
        <f>IF(AND(J55="",J56=""),4,IF(项目基本情况!K6="上海银行",结果表!J56+1,结果表!J55+1))</f>
        <v>4</v>
      </c>
      <c r="K57" s="3094" t="s">
        <v>2225</v>
      </c>
      <c r="L57" s="2485" t="s">
        <v>2226</v>
      </c>
      <c r="M57" s="1751"/>
      <c r="N57" s="1752">
        <f ca="1">SUMIF(M52:M56,"&lt;9e307")</f>
        <v>273</v>
      </c>
      <c r="O57" s="2486"/>
      <c r="P57" s="1745" t="e">
        <f ca="1">N57/M49</f>
        <v>#VALUE!</v>
      </c>
    </row>
    <row r="58" spans="1:35" ht="24.75">
      <c r="A58" s="183" t="s">
        <v>2207</v>
      </c>
      <c r="B58" s="3125" t="s">
        <v>2227</v>
      </c>
      <c r="C58" s="3138"/>
      <c r="D58" s="185">
        <f ca="1">IF(H58="转让取得",C81,C97)</f>
        <v>273</v>
      </c>
      <c r="E58" s="11" t="s">
        <v>2222</v>
      </c>
      <c r="F58" s="24" t="s">
        <v>34</v>
      </c>
      <c r="G58" s="2480"/>
      <c r="H58" s="2483" t="s">
        <v>2228</v>
      </c>
      <c r="I58" s="2484"/>
      <c r="J58" s="3094"/>
      <c r="K58" s="3094"/>
      <c r="L58" s="2485" t="s">
        <v>2229</v>
      </c>
      <c r="M58" s="1753"/>
      <c r="N58" s="2487" t="str">
        <f ca="1">NUMBERSTRING(INT(N57*10000),2)&amp;"元整"</f>
        <v>贰佰柒拾叁万元整</v>
      </c>
      <c r="O58" s="2488"/>
    </row>
    <row r="59" spans="1:35" ht="24.75" thickBot="1">
      <c r="A59" s="3098" t="s">
        <v>2230</v>
      </c>
      <c r="B59" s="3099"/>
      <c r="C59" s="3099"/>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096">
        <f>J57+1</f>
        <v>5</v>
      </c>
      <c r="K59" s="3094" t="s">
        <v>2232</v>
      </c>
      <c r="L59" s="1804" t="s">
        <v>2226</v>
      </c>
      <c r="M59" s="1754"/>
      <c r="N59" s="1755" t="e">
        <f ca="1">M49-N57</f>
        <v>#VALUE!</v>
      </c>
      <c r="O59" s="2490"/>
    </row>
    <row r="60" spans="1:35" ht="12" customHeight="1">
      <c r="A60" s="2491"/>
      <c r="B60" s="2413"/>
      <c r="C60" s="2413"/>
      <c r="D60" s="2413"/>
      <c r="E60" s="2160"/>
      <c r="F60" s="2484"/>
      <c r="G60" s="2484"/>
      <c r="H60" s="2492"/>
      <c r="I60" s="138"/>
      <c r="J60" s="3097"/>
      <c r="K60" s="3094"/>
      <c r="L60" s="2485" t="s">
        <v>2229</v>
      </c>
      <c r="M60" s="1753"/>
      <c r="N60" s="2487" t="e">
        <f ca="1">NUMBERSTRING(INT(N59*10000),2)&amp;"元整"</f>
        <v>#VALUE!</v>
      </c>
      <c r="O60" s="2488"/>
    </row>
    <row r="61" spans="1:35" ht="13.5" thickBot="1">
      <c r="A61" s="3157" t="s">
        <v>2233</v>
      </c>
      <c r="B61" s="3157"/>
      <c r="C61" s="3157"/>
      <c r="D61" s="3157"/>
      <c r="E61" s="3157"/>
      <c r="F61" s="2484"/>
      <c r="G61" s="2484"/>
      <c r="H61" s="2492"/>
      <c r="I61" s="138"/>
      <c r="J61" s="1804">
        <f>J59+1</f>
        <v>6</v>
      </c>
      <c r="K61" s="3094" t="s">
        <v>2234</v>
      </c>
      <c r="L61" s="3094"/>
      <c r="M61" s="1756"/>
      <c r="N61" s="1757" t="e">
        <f ca="1">ROUND(N59*10000/'数据-汇总表'!E3,0)</f>
        <v>#VALUE!</v>
      </c>
      <c r="O61" s="2493"/>
    </row>
    <row r="62" spans="1:35" ht="12.75">
      <c r="A62" s="3114" t="s">
        <v>2235</v>
      </c>
      <c r="B62" s="3115"/>
      <c r="C62" s="1796"/>
      <c r="D62" s="1796" t="s">
        <v>2236</v>
      </c>
      <c r="E62" s="192" t="s">
        <v>2237</v>
      </c>
      <c r="F62" s="2484"/>
      <c r="G62" s="2484"/>
      <c r="H62" s="2492"/>
      <c r="I62" s="138"/>
    </row>
    <row r="63" spans="1:35" ht="12.75">
      <c r="A63" s="203" t="s">
        <v>775</v>
      </c>
      <c r="B63" s="193" t="s">
        <v>2238</v>
      </c>
      <c r="C63" s="194">
        <f ca="1">ROUND((C64+C65)/(1+'数据-取费表'!C42),0)</f>
        <v>460</v>
      </c>
      <c r="D63" s="195"/>
      <c r="E63" s="196"/>
      <c r="F63" s="2484"/>
      <c r="G63" s="2484"/>
      <c r="H63" s="2492"/>
      <c r="I63" s="138"/>
      <c r="J63" s="3079" t="s">
        <v>2239</v>
      </c>
      <c r="K63" s="2494" t="s">
        <v>2240</v>
      </c>
      <c r="L63" s="1744" t="e">
        <f>IF(M49&gt;10000,M49*0.5%,IF(AND(M49&gt;1000,M49&lt;=10000),M49*1%,IF(AND(M49&gt;100,M49&lt;=1000),M49*3%,IF(AND(M49&gt;10,M49&lt;=100),M49*5%,M49*8%))))</f>
        <v>#VALUE!</v>
      </c>
      <c r="M63" s="24" t="e">
        <f>ROUND(L63,1)</f>
        <v>#VALUE!</v>
      </c>
      <c r="Z63" s="2418"/>
      <c r="AI63" s="2419"/>
    </row>
    <row r="64" spans="1:35" ht="14.25" customHeight="1">
      <c r="A64" s="197" t="s">
        <v>770</v>
      </c>
      <c r="B64" s="198" t="s">
        <v>2241</v>
      </c>
      <c r="C64" s="199">
        <f ca="1">D45</f>
        <v>483</v>
      </c>
      <c r="D64" s="200" t="s">
        <v>32</v>
      </c>
      <c r="E64" s="201"/>
      <c r="F64" s="2484"/>
      <c r="G64" s="2484"/>
      <c r="H64" s="2492"/>
      <c r="I64" s="138"/>
      <c r="J64" s="3079"/>
      <c r="K64" s="2494"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8"/>
      <c r="AI64" s="2419"/>
    </row>
    <row r="65" spans="1:35" ht="14.25" customHeight="1">
      <c r="A65" s="197" t="s">
        <v>771</v>
      </c>
      <c r="B65" s="198" t="s">
        <v>2244</v>
      </c>
      <c r="C65" s="202"/>
      <c r="D65" s="200"/>
      <c r="E65" s="201"/>
      <c r="F65" s="2484"/>
      <c r="G65" s="2484"/>
      <c r="H65" s="2492"/>
      <c r="I65" s="138"/>
      <c r="J65" s="3079"/>
      <c r="K65" s="2494" t="s">
        <v>2245</v>
      </c>
      <c r="L65" s="1744" t="e">
        <f>IF(M49&gt;1000,M49*0.1%,IF(AND(M49&gt;500,M49&lt;=1000),M49*0.5%,IF(AND(M49&gt;50,M49&lt;=500),M49*1%,IF(AND(M49&gt;1,M49&lt;=50),M49*1.5%))))</f>
        <v>#VALUE!</v>
      </c>
      <c r="M65" s="24" t="e">
        <f t="shared" si="1"/>
        <v>#VALUE!</v>
      </c>
      <c r="N65" s="138" t="s">
        <v>2243</v>
      </c>
      <c r="Z65" s="2418"/>
      <c r="AI65" s="2419"/>
    </row>
    <row r="66" spans="1:35" ht="14.25" customHeight="1">
      <c r="A66" s="203" t="s">
        <v>772</v>
      </c>
      <c r="B66" s="204" t="s">
        <v>2246</v>
      </c>
      <c r="C66" s="205"/>
      <c r="D66" s="206" t="s">
        <v>32</v>
      </c>
      <c r="E66" s="1768" t="s">
        <v>1367</v>
      </c>
      <c r="F66" s="2484"/>
      <c r="G66" s="2484"/>
      <c r="H66" s="2492"/>
      <c r="I66" s="138"/>
      <c r="J66" s="3079"/>
      <c r="K66" s="2494" t="s">
        <v>2247</v>
      </c>
      <c r="L66" s="1744" t="e">
        <f>M49*0.5%</f>
        <v>#VALUE!</v>
      </c>
      <c r="M66" s="24" t="e">
        <f>IF(L66&gt;0.5,0.5,ROUND(L66,0))</f>
        <v>#VALUE!</v>
      </c>
      <c r="N66" s="138" t="s">
        <v>2248</v>
      </c>
      <c r="Z66" s="2418"/>
      <c r="AI66" s="2419"/>
    </row>
    <row r="67" spans="1:35" ht="14.25" customHeight="1">
      <c r="A67" s="203" t="s">
        <v>773</v>
      </c>
      <c r="B67" s="204" t="s">
        <v>2249</v>
      </c>
      <c r="C67" s="207">
        <f ca="1">C63-C66</f>
        <v>460</v>
      </c>
      <c r="D67" s="200" t="s">
        <v>32</v>
      </c>
      <c r="E67" s="201"/>
      <c r="F67" s="2484"/>
      <c r="G67" s="2484"/>
      <c r="H67" s="2492"/>
      <c r="I67" s="138"/>
      <c r="J67" s="3079"/>
      <c r="K67" s="2494"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2251</v>
      </c>
      <c r="C68" s="210">
        <f ca="1">IF(C67&lt;=0,0,ROUND(C67*D68,0))</f>
        <v>26</v>
      </c>
      <c r="D68" s="211">
        <f>'数据-取费表'!B41</f>
        <v>5.6000000000000001E-2</v>
      </c>
      <c r="E68" s="212"/>
      <c r="F68" s="2484"/>
      <c r="G68" s="2484"/>
      <c r="H68" s="2492"/>
      <c r="I68" s="138"/>
      <c r="J68" s="3079"/>
      <c r="K68" s="2494" t="s">
        <v>2252</v>
      </c>
      <c r="L68" s="1744"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079"/>
      <c r="K69" s="2494" t="s">
        <v>2253</v>
      </c>
      <c r="L69" s="2500"/>
      <c r="M69" s="24" t="e">
        <f>ROUND(SUM(M63:M68),0)</f>
        <v>#VALUE!</v>
      </c>
      <c r="N69" s="1745"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23" t="s">
        <v>2254</v>
      </c>
      <c r="B70" s="3124"/>
      <c r="C70" s="3124"/>
      <c r="D70" s="3124"/>
      <c r="E70" s="3124"/>
      <c r="F70" s="3124"/>
      <c r="G70" s="3124"/>
      <c r="H70" s="312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4" t="s">
        <v>2235</v>
      </c>
      <c r="B71" s="3115"/>
      <c r="C71" s="1796"/>
      <c r="D71" s="1796"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460</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3</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120" t="s">
        <v>2263</v>
      </c>
      <c r="F76" s="3119"/>
      <c r="G76" s="3119"/>
      <c r="H76" s="312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3</v>
      </c>
      <c r="D78" s="226">
        <f>'数据-取费表'!B43</f>
        <v>6.000000000000001E-3</v>
      </c>
      <c r="E78" s="3111" t="s">
        <v>2268</v>
      </c>
      <c r="F78" s="3112"/>
      <c r="G78" s="3112"/>
      <c r="H78" s="311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457</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152.33333333333334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273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3" t="s">
        <v>2272</v>
      </c>
      <c r="B83" s="3124"/>
      <c r="C83" s="3124"/>
      <c r="D83" s="3124"/>
      <c r="E83" s="3124"/>
      <c r="F83" s="3124"/>
      <c r="G83" s="3124"/>
      <c r="H83" s="312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4" t="s">
        <v>2235</v>
      </c>
      <c r="B84" s="3115"/>
      <c r="C84" s="1796"/>
      <c r="D84" s="1796"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460</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3</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2"/>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111" t="s">
        <v>2281</v>
      </c>
      <c r="F91" s="3112"/>
      <c r="G91" s="3112"/>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111" t="s">
        <v>2285</v>
      </c>
      <c r="F92" s="3112"/>
      <c r="G92" s="3112"/>
      <c r="H92" s="311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3</v>
      </c>
      <c r="D93" s="226">
        <f>'数据-取费表'!B43</f>
        <v>6.000000000000001E-3</v>
      </c>
      <c r="E93" s="3111" t="s">
        <v>2268</v>
      </c>
      <c r="F93" s="3112"/>
      <c r="G93" s="3112"/>
      <c r="H93" s="311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159" t="s">
        <v>2289</v>
      </c>
      <c r="F94" s="3160"/>
      <c r="G94" s="3160"/>
      <c r="H94" s="316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457</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152.33333333333334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273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63" t="s">
        <v>2291</v>
      </c>
      <c r="B100" s="3064"/>
      <c r="C100" s="3064"/>
      <c r="D100" s="3095"/>
      <c r="E100" s="3064" t="s">
        <v>2292</v>
      </c>
      <c r="F100" s="3064"/>
      <c r="G100" s="3064"/>
      <c r="H100" s="3095"/>
      <c r="I100" s="138"/>
    </row>
    <row r="101" spans="1:35" ht="18.75" customHeight="1">
      <c r="A101" s="3103" t="s">
        <v>2293</v>
      </c>
      <c r="B101" s="3104"/>
      <c r="C101" s="736" t="str">
        <f>C4</f>
        <v>比较法-办公</v>
      </c>
      <c r="D101" s="737" t="str">
        <f>D4</f>
        <v>收益法 (元)</v>
      </c>
      <c r="E101" s="3075" t="s">
        <v>2294</v>
      </c>
      <c r="F101" s="3076"/>
      <c r="G101" s="2515" t="s">
        <v>2295</v>
      </c>
      <c r="H101" s="1045">
        <f ca="1">H118</f>
        <v>483</v>
      </c>
      <c r="I101" s="138"/>
    </row>
    <row r="102" spans="1:35" ht="18.75" customHeight="1">
      <c r="A102" s="3105" t="s">
        <v>2296</v>
      </c>
      <c r="B102" s="2515" t="s">
        <v>2295</v>
      </c>
      <c r="C102" s="736">
        <f ca="1">C19</f>
        <v>488</v>
      </c>
      <c r="D102" s="737">
        <f ca="1">D19</f>
        <v>478</v>
      </c>
      <c r="E102" s="3075"/>
      <c r="F102" s="3076"/>
      <c r="G102" s="2515" t="s">
        <v>2297</v>
      </c>
      <c r="H102" s="371">
        <f ca="1">I118</f>
        <v>4230</v>
      </c>
      <c r="I102" s="138"/>
    </row>
    <row r="103" spans="1:35" ht="42.75" customHeight="1">
      <c r="A103" s="3105"/>
      <c r="B103" s="2515" t="s">
        <v>2297</v>
      </c>
      <c r="C103" s="738">
        <f ca="1">C20</f>
        <v>47123</v>
      </c>
      <c r="D103" s="739">
        <f ca="1">D20</f>
        <v>46202</v>
      </c>
      <c r="E103" s="3069" t="s">
        <v>2298</v>
      </c>
      <c r="F103" s="3070"/>
      <c r="G103" s="2516" t="s">
        <v>2299</v>
      </c>
      <c r="H103" s="1045">
        <f>IF(D36="正常操作",H104+H105+H106,H105+H106)</f>
        <v>0</v>
      </c>
      <c r="I103" s="138"/>
    </row>
    <row r="104" spans="1:35" ht="18.75" customHeight="1">
      <c r="A104" s="3105" t="s">
        <v>2300</v>
      </c>
      <c r="B104" s="2517" t="s">
        <v>2295</v>
      </c>
      <c r="C104" s="740">
        <f ca="1">H118</f>
        <v>483</v>
      </c>
      <c r="D104" s="741"/>
      <c r="E104" s="2261" t="s">
        <v>2301</v>
      </c>
      <c r="F104" s="2252"/>
      <c r="G104" s="2516" t="s">
        <v>2299</v>
      </c>
      <c r="H104" s="1046">
        <f>IF(D36="同一抵押权人同一抵押物续贷",C36&amp;"（未扣减，详见特别提示）",C36)</f>
        <v>0</v>
      </c>
      <c r="I104" s="138"/>
    </row>
    <row r="105" spans="1:35" ht="18.75" customHeight="1" thickBot="1">
      <c r="A105" s="3117"/>
      <c r="B105" s="2518" t="s">
        <v>2297</v>
      </c>
      <c r="C105" s="742">
        <f ca="1">I118</f>
        <v>4230</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106" t="str">
        <f>IF(项目基本情况!E8="已注销","——","3.房地产抵押价值")</f>
        <v>3.房地产抵押价值</v>
      </c>
      <c r="F107" s="3076"/>
      <c r="G107" s="2515" t="s">
        <v>2295</v>
      </c>
      <c r="H107" s="1045">
        <f ca="1">IF(E107="——","——",H101-H103)</f>
        <v>483</v>
      </c>
      <c r="I107" s="138"/>
    </row>
    <row r="108" spans="1:35" ht="18.75" customHeight="1">
      <c r="A108" s="138"/>
      <c r="B108" s="138"/>
      <c r="C108" s="138"/>
      <c r="D108" s="138"/>
      <c r="E108" s="3106"/>
      <c r="F108" s="3076"/>
      <c r="G108" s="2515" t="s">
        <v>2297</v>
      </c>
      <c r="H108" s="371">
        <f ca="1">ROUND(H107*10000/'数据-汇总表'!E3,0)</f>
        <v>4230</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15" t="s">
        <v>2295</v>
      </c>
      <c r="H109" s="348" t="str">
        <f>IF(E109="——","——",H101-H105-H106)</f>
        <v>——</v>
      </c>
      <c r="I109" s="138"/>
    </row>
    <row r="110" spans="1:35" ht="18.75" customHeight="1">
      <c r="A110" s="138"/>
      <c r="B110" s="138"/>
      <c r="C110" s="138"/>
      <c r="D110" s="138"/>
      <c r="E110" s="3106"/>
      <c r="F110" s="3076"/>
      <c r="G110" s="2515" t="s">
        <v>2297</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15" t="s">
        <v>2295</v>
      </c>
      <c r="H111" s="1045" t="str">
        <f>IF(E111="——","——",N59)</f>
        <v>——</v>
      </c>
      <c r="I111" s="138"/>
    </row>
    <row r="112" spans="1:35" ht="18.75" customHeight="1" thickBot="1">
      <c r="A112" s="138"/>
      <c r="B112" s="138"/>
      <c r="C112" s="138"/>
      <c r="D112" s="138"/>
      <c r="E112" s="3109"/>
      <c r="F112" s="3110"/>
      <c r="G112" s="2520" t="s">
        <v>2297</v>
      </c>
      <c r="H112" s="790" t="str">
        <f>IF(E111="——","——",N61)</f>
        <v>——</v>
      </c>
      <c r="I112" s="138"/>
    </row>
    <row r="113" spans="1:11" ht="18.75" customHeight="1">
      <c r="A113" s="138"/>
      <c r="B113" s="138"/>
      <c r="C113" s="138"/>
      <c r="D113" s="138"/>
      <c r="E113" s="3118" t="s">
        <v>2303</v>
      </c>
      <c r="F113" s="3118"/>
      <c r="G113" s="3118"/>
      <c r="H113" s="3118"/>
      <c r="I113" s="138"/>
    </row>
    <row r="114" spans="1:11" ht="3.75" customHeight="1">
      <c r="A114" s="2413"/>
      <c r="B114" s="2413"/>
      <c r="C114" s="2413"/>
      <c r="D114" s="2413"/>
      <c r="E114" s="2491"/>
      <c r="F114" s="2491"/>
      <c r="G114" s="2491"/>
      <c r="H114" s="2491"/>
      <c r="I114" s="2413"/>
    </row>
    <row r="115" spans="1:11" ht="18.75" customHeight="1">
      <c r="A115" s="3131" t="s">
        <v>2305</v>
      </c>
      <c r="B115" s="3132"/>
      <c r="C115" s="3132"/>
      <c r="D115" s="3132"/>
      <c r="E115" s="3132"/>
      <c r="F115" s="3132"/>
      <c r="G115" s="3132"/>
      <c r="H115" s="3132"/>
      <c r="I115" s="3133"/>
    </row>
    <row r="116" spans="1:11" ht="27" customHeight="1">
      <c r="A116" s="3042" t="s">
        <v>2306</v>
      </c>
      <c r="B116" s="3085" t="s">
        <v>2307</v>
      </c>
      <c r="C116" s="3085" t="s">
        <v>2308</v>
      </c>
      <c r="D116" s="3091" t="s">
        <v>2309</v>
      </c>
      <c r="E116" s="3092"/>
      <c r="F116" s="3127" t="s">
        <v>2310</v>
      </c>
      <c r="G116" s="3127"/>
      <c r="H116" s="3042" t="s">
        <v>2311</v>
      </c>
      <c r="I116" s="3042"/>
    </row>
    <row r="117" spans="1:11" ht="18.75" customHeight="1">
      <c r="A117" s="3042"/>
      <c r="B117" s="3086"/>
      <c r="C117" s="3086"/>
      <c r="D117" s="1790" t="s">
        <v>2312</v>
      </c>
      <c r="E117" s="1790" t="s">
        <v>2313</v>
      </c>
      <c r="F117" s="1790" t="s">
        <v>2312</v>
      </c>
      <c r="G117" s="1790" t="s">
        <v>2314</v>
      </c>
      <c r="H117" s="1790" t="s">
        <v>2312</v>
      </c>
      <c r="I117" s="1790" t="s">
        <v>2314</v>
      </c>
    </row>
    <row r="118" spans="1:11" ht="24.75" customHeight="1">
      <c r="A118" s="2521" t="str">
        <f>项目基本情况!S2</f>
        <v>北京市西城区西直门外大街1号院2号楼17层19C5-19C13房地产</v>
      </c>
      <c r="B118" s="1790">
        <f>M18</f>
        <v>1141.77</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483</v>
      </c>
      <c r="I118" s="1790">
        <f ca="1">ROUND(IF(D32="楼面单价",C32,H118*10000/B118),0)</f>
        <v>4230</v>
      </c>
    </row>
    <row r="119" spans="1:11" ht="18.75" customHeight="1">
      <c r="A119" s="3042" t="s">
        <v>2315</v>
      </c>
      <c r="B119" s="3042"/>
      <c r="C119" s="3042"/>
      <c r="D119" s="3087" t="e">
        <f ca="1">NUMBERSTRING(INT(D118*10000),2)&amp;"元整"</f>
        <v>#REF!</v>
      </c>
      <c r="E119" s="3088"/>
      <c r="F119" s="3087" t="e">
        <f ca="1">NUMBERSTRING(INT(F118*10000),2)&amp;"元整"</f>
        <v>#REF!</v>
      </c>
      <c r="G119" s="3088"/>
      <c r="H119" s="3087" t="str">
        <f ca="1">NUMBERSTRING(INT(H118*10000),2)&amp;"元整"</f>
        <v>肆佰捌拾叁万元整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18" t="str">
        <f>IF(D120=0,"故，本次评估不存在"&amp;A120,"故，本次评估"&amp;A120&amp;"为人民币"&amp;D120&amp;"万元整。")</f>
        <v>故，本次评估不存在估价师知悉的法定优先受偿款</v>
      </c>
    </row>
    <row r="121" spans="1:11" ht="18.75" customHeight="1">
      <c r="A121" s="3128" t="s">
        <v>2315</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483</v>
      </c>
      <c r="E122" s="3083"/>
      <c r="F122" s="3083"/>
      <c r="G122" s="3083"/>
      <c r="H122" s="3083"/>
      <c r="I122" s="3084"/>
    </row>
    <row r="123" spans="1:11" ht="18.75" customHeight="1">
      <c r="A123" s="3042" t="s">
        <v>2315</v>
      </c>
      <c r="B123" s="3042"/>
      <c r="C123" s="3042"/>
      <c r="D123" s="3087" t="str">
        <f ca="1">NUMBERSTRING(INT(D122*10000),2)&amp;"元整"</f>
        <v>肆佰捌拾叁万元整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2315</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2315</v>
      </c>
      <c r="B127" s="3042"/>
      <c r="C127" s="3042"/>
      <c r="D127" s="3087" t="e">
        <f>NUMBERSTRING(INT(D126*10000),2)&amp;"元整"</f>
        <v>#VALUE!</v>
      </c>
      <c r="E127" s="3089"/>
      <c r="F127" s="3089"/>
      <c r="G127" s="3089"/>
      <c r="H127" s="3089"/>
      <c r="I127" s="3088"/>
    </row>
    <row r="128" spans="1:11" ht="21.75" customHeight="1">
      <c r="A128" s="3090" t="s">
        <v>2316</v>
      </c>
      <c r="B128" s="3090"/>
      <c r="C128" s="3090"/>
      <c r="D128" s="3090"/>
      <c r="E128" s="3090"/>
      <c r="F128" s="3090"/>
      <c r="G128" s="3090"/>
      <c r="H128" s="3090"/>
      <c r="I128" s="3090"/>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2"/>
      <c r="C1" s="242"/>
      <c r="D1" s="242"/>
      <c r="E1" s="242"/>
      <c r="F1" s="242"/>
      <c r="G1" s="1379">
        <f>MATCH(B1,'数据-取费表'!A6:A16,0)+5</f>
        <v>8</v>
      </c>
    </row>
    <row r="2" spans="1:9" s="244" customFormat="1" ht="18" customHeight="1">
      <c r="A2" s="245" t="s">
        <v>2325</v>
      </c>
      <c r="B2" s="246">
        <f ca="1">IF(D2="——",C52,C52-E2)</f>
        <v>531</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4651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9" t="s">
        <v>2335</v>
      </c>
      <c r="B6" s="259" t="s">
        <v>2336</v>
      </c>
      <c r="C6" s="260"/>
      <c r="D6" s="261"/>
      <c r="E6" s="262"/>
      <c r="F6" s="262"/>
      <c r="G6" s="263"/>
    </row>
    <row r="7" spans="1:9" s="258" customFormat="1" ht="13.5" customHeight="1">
      <c r="A7" s="949" t="s">
        <v>2337</v>
      </c>
      <c r="B7" s="259" t="s">
        <v>2338</v>
      </c>
      <c r="C7" s="264">
        <f>ROUND(C6*F7,0)</f>
        <v>0</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7"/>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8"/>
      <c r="H9" s="1390"/>
      <c r="I9" s="2549" t="s">
        <v>2342</v>
      </c>
    </row>
    <row r="10" spans="1:9" s="258" customFormat="1" ht="13.5" customHeight="1">
      <c r="A10" s="950" t="s">
        <v>801</v>
      </c>
      <c r="B10" s="268" t="s">
        <v>2343</v>
      </c>
      <c r="C10" s="269">
        <f ca="1">ROUND(D10*E10/10000,0)</f>
        <v>0</v>
      </c>
      <c r="D10" s="1032">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23</v>
      </c>
      <c r="D19" s="1036">
        <f ca="1">D9+D10</f>
        <v>1141.77</v>
      </c>
      <c r="E19" s="255">
        <f>'数据-取费表'!B31</f>
        <v>200</v>
      </c>
      <c r="F19" s="275"/>
      <c r="G19" s="2547"/>
    </row>
    <row r="20" spans="1:7" s="258" customFormat="1" ht="13.5" customHeight="1">
      <c r="A20" s="299" t="s">
        <v>2356</v>
      </c>
      <c r="B20" s="254" t="s">
        <v>2357</v>
      </c>
      <c r="C20" s="276">
        <f ca="1">ROUND((C5+C19)*F20,0)</f>
        <v>1</v>
      </c>
      <c r="D20" s="276"/>
      <c r="E20" s="276"/>
      <c r="F20" s="277">
        <f>'数据-取费表'!B37</f>
        <v>2.5000000000000001E-2</v>
      </c>
      <c r="G20" s="278" t="s">
        <v>2358</v>
      </c>
    </row>
    <row r="21" spans="1:7" s="258" customFormat="1" ht="13.5" customHeight="1">
      <c r="A21" s="299" t="s">
        <v>2359</v>
      </c>
      <c r="B21" s="254" t="s">
        <v>2360</v>
      </c>
      <c r="C21" s="279">
        <f>F21</f>
        <v>2.5000000000000001E-2</v>
      </c>
      <c r="D21" s="280" t="s">
        <v>2361</v>
      </c>
      <c r="E21" s="276"/>
      <c r="F21" s="277">
        <f>'数据-取费表'!B38</f>
        <v>2.5000000000000001E-2</v>
      </c>
      <c r="G21" s="278" t="s">
        <v>2362</v>
      </c>
    </row>
    <row r="22" spans="1:7" s="258" customFormat="1" ht="13.5" customHeight="1">
      <c r="A22" s="299" t="s">
        <v>2363</v>
      </c>
      <c r="B22" s="254" t="s">
        <v>2364</v>
      </c>
      <c r="C22" s="1354">
        <f ca="1">ROUND(SUM(C23:C25),0)</f>
        <v>2</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2</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6</v>
      </c>
      <c r="D28" s="279"/>
      <c r="E28" s="280"/>
      <c r="F28" s="290"/>
      <c r="G28" s="291"/>
    </row>
    <row r="29" spans="1:7" s="258" customFormat="1" ht="13.5" customHeight="1">
      <c r="A29" s="951" t="s">
        <v>792</v>
      </c>
      <c r="B29" s="292" t="s">
        <v>2380</v>
      </c>
      <c r="C29" s="282">
        <f ca="1">ROUND(C21*F27*'数据-取费表'!B21/'数据-取费表'!B20,4)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448</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2389</v>
      </c>
    </row>
    <row r="35" spans="1:7" ht="13.5" customHeight="1">
      <c r="A35" s="951" t="s">
        <v>796</v>
      </c>
      <c r="B35" s="259" t="s">
        <v>2390</v>
      </c>
      <c r="C35" s="264">
        <f ca="1">ROUND(C34*F35,0)</f>
        <v>20</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23</v>
      </c>
      <c r="D37" s="261">
        <f ca="1">D19</f>
        <v>1141.77</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11</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22</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21</v>
      </c>
      <c r="D42" s="282"/>
      <c r="E42" s="282"/>
      <c r="F42" s="283"/>
      <c r="G42" s="3162" t="s">
        <v>2407</v>
      </c>
    </row>
    <row r="43" spans="1:7" ht="13.5" customHeight="1">
      <c r="A43" s="951" t="s">
        <v>792</v>
      </c>
      <c r="B43" s="259" t="s">
        <v>2408</v>
      </c>
      <c r="C43" s="282">
        <f ca="1">ROUND(IF('数据-取费表'!B22&lt;=1,C39*F22*'数据-取费表'!B21/2,C39*(POWER((1+F22),'数据-取费表'!B21/2)-1)),0)</f>
        <v>1</v>
      </c>
      <c r="D43" s="282"/>
      <c r="E43" s="282"/>
      <c r="F43" s="283"/>
      <c r="G43" s="3163"/>
    </row>
    <row r="44" spans="1:7" ht="13.5" customHeight="1">
      <c r="A44" s="951" t="s">
        <v>793</v>
      </c>
      <c r="B44" s="259" t="s">
        <v>2409</v>
      </c>
      <c r="C44" s="282">
        <f ca="1">ROUND(IF('数据-取费表'!B22&lt;=1,C40*F22*'数据-取费表'!B21/2,C40*(POWER((1+F22),'数据-取费表'!B21/2)-1)),4)</f>
        <v>1.1999999999999999E-3</v>
      </c>
      <c r="D44" s="282"/>
      <c r="E44" s="282"/>
      <c r="F44" s="283"/>
      <c r="G44" s="3164"/>
    </row>
    <row r="45" spans="1:7" s="258" customFormat="1" ht="13.5" customHeight="1">
      <c r="A45" s="299" t="s">
        <v>2410</v>
      </c>
      <c r="B45" s="288" t="s">
        <v>2376</v>
      </c>
      <c r="C45" s="289">
        <f ca="1">C46</f>
        <v>115</v>
      </c>
      <c r="D45" s="279">
        <f ca="1">C47</f>
        <v>6.3E-3</v>
      </c>
      <c r="E45" s="280" t="s">
        <v>2402</v>
      </c>
      <c r="F45" s="290"/>
      <c r="G45" s="291" t="s">
        <v>2411</v>
      </c>
    </row>
    <row r="46" spans="1:7" s="258" customFormat="1" ht="13.5" customHeight="1">
      <c r="A46" s="951" t="s">
        <v>791</v>
      </c>
      <c r="B46" s="292" t="s">
        <v>2412</v>
      </c>
      <c r="C46" s="293">
        <f ca="1">ROUND((C33+C39)*F27,0)</f>
        <v>115</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1723">
        <f>ROUND(F30/(1+'数据-取费表'!C42),4)</f>
        <v>5.33E-2</v>
      </c>
      <c r="D48" s="280" t="s">
        <v>2402</v>
      </c>
      <c r="E48" s="276"/>
      <c r="F48" s="281"/>
      <c r="G48" s="278" t="s">
        <v>2415</v>
      </c>
    </row>
    <row r="49" spans="1:7" ht="16.5" customHeight="1">
      <c r="A49" s="299" t="s">
        <v>2381</v>
      </c>
      <c r="B49" s="254" t="s">
        <v>2416</v>
      </c>
      <c r="C49" s="276">
        <f ca="1">ROUND((C33+C39+C41+C45)/(1-C40-D41-D45-C48),0)</f>
        <v>652</v>
      </c>
      <c r="D49" s="276"/>
      <c r="E49" s="276"/>
      <c r="F49" s="308"/>
      <c r="G49" s="278" t="s">
        <v>2417</v>
      </c>
    </row>
    <row r="50" spans="1:7" s="302" customFormat="1" ht="24">
      <c r="A50" s="299" t="s">
        <v>2418</v>
      </c>
      <c r="B50" s="254" t="s">
        <v>2419</v>
      </c>
      <c r="C50" s="276"/>
      <c r="D50" s="276"/>
      <c r="E50" s="276"/>
      <c r="F50" s="308">
        <f>IF('数据-取费表'!B24=0,'数据-取费表'!N16,1)</f>
        <v>0.76</v>
      </c>
      <c r="G50" s="291" t="s">
        <v>2420</v>
      </c>
    </row>
    <row r="51" spans="1:7" ht="16.5" customHeight="1">
      <c r="A51" s="299" t="s">
        <v>2421</v>
      </c>
      <c r="B51" s="254" t="s">
        <v>2422</v>
      </c>
      <c r="C51" s="276">
        <f ca="1">ROUND(C49*F50,0)</f>
        <v>496</v>
      </c>
      <c r="D51" s="276"/>
      <c r="E51" s="276"/>
      <c r="F51" s="308"/>
      <c r="G51" s="278" t="s">
        <v>2423</v>
      </c>
    </row>
    <row r="52" spans="1:7" s="252" customFormat="1" ht="16.5" thickBot="1">
      <c r="A52" s="309" t="s">
        <v>2424</v>
      </c>
      <c r="B52" s="310"/>
      <c r="C52" s="311">
        <f ca="1">C31+C51</f>
        <v>531</v>
      </c>
      <c r="D52" s="310"/>
      <c r="E52" s="310"/>
      <c r="F52" s="310"/>
      <c r="G52" s="312"/>
    </row>
    <row r="55" spans="1:7" ht="15">
      <c r="B55" s="314" t="s">
        <v>2425</v>
      </c>
      <c r="C55" s="315"/>
    </row>
    <row r="56" spans="1:7">
      <c r="B56" s="317" t="s">
        <v>1509</v>
      </c>
      <c r="C56" s="319">
        <f ca="1">1-C57</f>
        <v>6.5999999999999948E-2</v>
      </c>
    </row>
    <row r="57" spans="1:7">
      <c r="B57" s="317" t="s">
        <v>1510</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北京市西城区西直门外大街1号院2号楼17层19C5-19C13房地产抵押价值预评估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37" t="str">
        <f>项目基本情况!B5</f>
        <v>准信智慧消防股份有限公司</v>
      </c>
    </row>
    <row r="41" spans="1:9">
      <c r="A41" s="1014"/>
      <c r="B41" s="1014"/>
    </row>
    <row r="42" spans="1:9">
      <c r="A42" s="1014" t="s">
        <v>818</v>
      </c>
      <c r="B42" s="1014" t="s">
        <v>821</v>
      </c>
    </row>
    <row r="43" spans="1:9">
      <c r="A43" s="1014"/>
      <c r="B43" s="1937" t="s">
        <v>822</v>
      </c>
    </row>
    <row r="44" spans="1:9">
      <c r="A44" s="1014"/>
      <c r="B44" s="1014"/>
    </row>
    <row r="45" spans="1:9">
      <c r="A45" s="1014" t="s">
        <v>818</v>
      </c>
      <c r="B45" s="1014" t="s">
        <v>823</v>
      </c>
    </row>
    <row r="46" spans="1:9" s="1014" customFormat="1" ht="12.75">
      <c r="B46" s="1937" t="str">
        <f ca="1">项目基本情况!K4</f>
        <v>王鹏（注册号：1120050019)、郑燚（注册号：1120070131)</v>
      </c>
    </row>
    <row r="47" spans="1:9">
      <c r="A47" s="1014"/>
      <c r="B47" s="1014" t="str">
        <f>项目基本情况!K5</f>
        <v/>
      </c>
    </row>
    <row r="48" spans="1:9">
      <c r="A48" s="1014" t="s">
        <v>818</v>
      </c>
      <c r="B48" s="1014"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2"/>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530</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4642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0</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0</v>
      </c>
      <c r="D10" s="1032">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228354</v>
      </c>
      <c r="D19" s="1036">
        <f ca="1">D9+D10</f>
        <v>1141.77</v>
      </c>
      <c r="E19" s="255">
        <f>'数据-取费表'!B31</f>
        <v>200</v>
      </c>
      <c r="F19" s="275"/>
      <c r="G19" s="2547"/>
    </row>
    <row r="20" spans="1:7" s="258" customFormat="1" ht="13.5" customHeight="1">
      <c r="A20" s="299" t="s">
        <v>2437</v>
      </c>
      <c r="B20" s="254" t="s">
        <v>2438</v>
      </c>
      <c r="C20" s="276">
        <f ca="1">ROUND((C5+C19)*F20,0)</f>
        <v>5709</v>
      </c>
      <c r="D20" s="276"/>
      <c r="E20" s="276"/>
      <c r="F20" s="277">
        <f>'数据-取费表'!B37</f>
        <v>2.5000000000000001E-2</v>
      </c>
      <c r="G20" s="278" t="s">
        <v>2439</v>
      </c>
    </row>
    <row r="21" spans="1:7" s="258" customFormat="1" ht="13.5" customHeight="1">
      <c r="A21" s="299" t="s">
        <v>2440</v>
      </c>
      <c r="B21" s="254" t="s">
        <v>2441</v>
      </c>
      <c r="C21" s="279">
        <f>F21</f>
        <v>2.5000000000000001E-2</v>
      </c>
      <c r="D21" s="280" t="s">
        <v>2442</v>
      </c>
      <c r="E21" s="276"/>
      <c r="F21" s="277">
        <f>'数据-取费表'!B38</f>
        <v>2.5000000000000001E-2</v>
      </c>
      <c r="G21" s="278" t="s">
        <v>2443</v>
      </c>
    </row>
    <row r="22" spans="1:7" s="258" customFormat="1" ht="13.5" customHeight="1">
      <c r="A22" s="299" t="s">
        <v>2444</v>
      </c>
      <c r="B22" s="254" t="s">
        <v>2445</v>
      </c>
      <c r="C22" s="1380">
        <f ca="1">ROUND(SUM(C23:C25),0)</f>
        <v>22480</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0</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22209</v>
      </c>
      <c r="D24" s="282"/>
      <c r="E24" s="282"/>
      <c r="F24" s="283"/>
      <c r="G24" s="284" t="s">
        <v>2449</v>
      </c>
    </row>
    <row r="25" spans="1:7" s="258" customFormat="1" ht="24">
      <c r="A25" s="951" t="s">
        <v>2339</v>
      </c>
      <c r="B25" s="259" t="s">
        <v>2450</v>
      </c>
      <c r="C25" s="1381">
        <f ca="1">ROUND(IF('数据-取费表'!B22&lt;=1,C20*F22*'数据-取费表'!B22/2,C20*(POWER((1+F22),'数据-取费表'!B22/2)-1)),0)</f>
        <v>271</v>
      </c>
      <c r="D25" s="282"/>
      <c r="E25" s="285"/>
      <c r="F25" s="283"/>
      <c r="G25" s="286" t="s">
        <v>2451</v>
      </c>
    </row>
    <row r="26" spans="1:7" s="258" customFormat="1">
      <c r="A26" s="951"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58516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ROUND((C5+C19+C20)*F27,0)</f>
        <v>58516</v>
      </c>
      <c r="D28" s="279"/>
      <c r="E28" s="280"/>
      <c r="F28" s="290"/>
      <c r="G28" s="291"/>
    </row>
    <row r="29" spans="1:7" s="258" customFormat="1" ht="13.5" customHeight="1">
      <c r="A29" s="951" t="s">
        <v>792</v>
      </c>
      <c r="B29" s="292" t="s">
        <v>2380</v>
      </c>
      <c r="C29" s="282">
        <f ca="1">ROUND(C21*F27,4)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344628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4484302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1" t="s">
        <v>796</v>
      </c>
      <c r="B35" s="259" t="s">
        <v>2390</v>
      </c>
      <c r="C35" s="264">
        <f ca="1">ROUND(C34*F35,0)</f>
        <v>199810</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228354</v>
      </c>
      <c r="D37" s="261">
        <f ca="1">D19</f>
        <v>1141.77</v>
      </c>
      <c r="E37" s="293">
        <f>'数据-取费表'!B35</f>
        <v>200</v>
      </c>
      <c r="F37" s="303"/>
      <c r="G37" s="305"/>
    </row>
    <row r="38" spans="1:7" ht="13.5" customHeight="1">
      <c r="A38" s="951" t="s">
        <v>799</v>
      </c>
      <c r="B38" s="259" t="s">
        <v>2396</v>
      </c>
      <c r="C38" s="264">
        <f ca="1">ROUND(C34*F38,0)</f>
        <v>59943</v>
      </c>
      <c r="D38" s="264"/>
      <c r="E38" s="264"/>
      <c r="F38" s="303">
        <f>'数据-取费表'!B36</f>
        <v>1.4999999999999999E-2</v>
      </c>
      <c r="G38" s="263" t="s">
        <v>2391</v>
      </c>
    </row>
    <row r="39" spans="1:7" s="258" customFormat="1" ht="13.5" customHeight="1">
      <c r="A39" s="299" t="s">
        <v>2397</v>
      </c>
      <c r="B39" s="254" t="s">
        <v>2398</v>
      </c>
      <c r="C39" s="276">
        <f ca="1">ROUND(C33*F20,0)</f>
        <v>112108</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218329</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213004</v>
      </c>
      <c r="D42" s="282"/>
      <c r="E42" s="282"/>
      <c r="F42" s="283"/>
      <c r="G42" s="3162" t="s">
        <v>2454</v>
      </c>
    </row>
    <row r="43" spans="1:7" ht="13.5" customHeight="1">
      <c r="A43" s="951" t="s">
        <v>792</v>
      </c>
      <c r="B43" s="259" t="s">
        <v>2408</v>
      </c>
      <c r="C43" s="282">
        <f ca="1">ROUND(IF('数据-取费表'!B22&lt;=1,C39*F22*'数据-取费表'!B20/2,C39*(POWER((1+F22),'数据-取费表'!B20/2)-1)),0)</f>
        <v>5325</v>
      </c>
      <c r="D43" s="282"/>
      <c r="E43" s="282"/>
      <c r="F43" s="283"/>
      <c r="G43" s="3163"/>
    </row>
    <row r="44" spans="1:7" ht="13.5" customHeight="1">
      <c r="A44" s="951" t="s">
        <v>793</v>
      </c>
      <c r="B44" s="259" t="s">
        <v>2409</v>
      </c>
      <c r="C44" s="282">
        <f ca="1">ROUND(IF('数据-取费表'!B22&lt;=1,C40*F22*'数据-取费表'!B20/2,C40*(POWER((1+F22),'数据-取费表'!B20/2)-1)),4)</f>
        <v>1.1999999999999999E-3</v>
      </c>
      <c r="D44" s="282"/>
      <c r="E44" s="282"/>
      <c r="F44" s="283"/>
      <c r="G44" s="3164"/>
    </row>
    <row r="45" spans="1:7" s="258" customFormat="1" ht="13.5" customHeight="1">
      <c r="A45" s="299" t="s">
        <v>2410</v>
      </c>
      <c r="B45" s="288" t="s">
        <v>2376</v>
      </c>
      <c r="C45" s="289">
        <f ca="1">C46</f>
        <v>1149103</v>
      </c>
      <c r="D45" s="279">
        <f ca="1">C47</f>
        <v>6.3E-3</v>
      </c>
      <c r="E45" s="280" t="s">
        <v>2402</v>
      </c>
      <c r="F45" s="290"/>
      <c r="G45" s="291" t="s">
        <v>2411</v>
      </c>
    </row>
    <row r="46" spans="1:7" s="258" customFormat="1" ht="13.5" customHeight="1">
      <c r="A46" s="951" t="s">
        <v>791</v>
      </c>
      <c r="B46" s="292" t="s">
        <v>2412</v>
      </c>
      <c r="C46" s="293">
        <f ca="1">ROUND((C33+C39)*F27,0)</f>
        <v>1149103</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6523564</v>
      </c>
      <c r="D49" s="276"/>
      <c r="E49" s="276"/>
      <c r="F49" s="308"/>
      <c r="G49" s="278" t="s">
        <v>2417</v>
      </c>
    </row>
    <row r="50" spans="1:7" s="302" customFormat="1">
      <c r="A50" s="299" t="s">
        <v>2418</v>
      </c>
      <c r="B50" s="254" t="s">
        <v>2419</v>
      </c>
      <c r="C50" s="276"/>
      <c r="D50" s="276"/>
      <c r="E50" s="276"/>
      <c r="F50" s="308">
        <f>IF('数据-取费表'!B24=0,'数据-取费表'!N16,1)</f>
        <v>0.76</v>
      </c>
      <c r="G50" s="291"/>
    </row>
    <row r="51" spans="1:7" ht="16.5" customHeight="1">
      <c r="A51" s="299" t="s">
        <v>2421</v>
      </c>
      <c r="B51" s="254" t="s">
        <v>2456</v>
      </c>
      <c r="C51" s="276">
        <f ca="1">ROUND(C49*F50,0)</f>
        <v>4957909</v>
      </c>
      <c r="D51" s="276"/>
      <c r="E51" s="276"/>
      <c r="F51" s="308"/>
      <c r="G51" s="278" t="s">
        <v>2423</v>
      </c>
    </row>
    <row r="52" spans="1:7" s="252" customFormat="1" ht="16.5" thickBot="1">
      <c r="A52" s="309" t="s">
        <v>2424</v>
      </c>
      <c r="B52" s="310"/>
      <c r="C52" s="311">
        <f ca="1">C31+C51</f>
        <v>5302537</v>
      </c>
      <c r="D52" s="310"/>
      <c r="E52" s="310"/>
      <c r="F52" s="310"/>
      <c r="G52" s="312"/>
    </row>
    <row r="55" spans="1:7" ht="15">
      <c r="B55" s="314" t="s">
        <v>2425</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1141.77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1141.77</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3"/>
      <c r="H18" s="1577"/>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1141.77</v>
      </c>
      <c r="E20" s="24">
        <f>'数据-取费表'!B28</f>
        <v>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2.5000000000000001E-2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2.5000000000000001E-2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2507</v>
      </c>
      <c r="B28" s="2556" t="s">
        <v>2508</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E22" sqref="E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480</v>
      </c>
      <c r="C2" s="1840" t="s">
        <v>1512</v>
      </c>
      <c r="D2" s="1840"/>
      <c r="E2" s="1841"/>
      <c r="F2" s="1842"/>
      <c r="G2" s="1843"/>
      <c r="H2" s="1835"/>
      <c r="I2" s="1835"/>
      <c r="J2" s="1835"/>
      <c r="K2" s="1836"/>
      <c r="L2" s="1835"/>
      <c r="M2" s="1835"/>
    </row>
    <row r="3" spans="1:37" ht="18" customHeight="1" thickBot="1">
      <c r="A3" s="1844" t="s">
        <v>1513</v>
      </c>
      <c r="B3" s="1845">
        <f ca="1">IF(ISERROR(B2*10000/F43),0,ROUND(B2*10000/F43,0))</f>
        <v>46363</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92">
        <f ca="1">C6+C10+C12</f>
        <v>28</v>
      </c>
      <c r="D5" s="1817" t="s">
        <v>1398</v>
      </c>
      <c r="E5" s="1293"/>
      <c r="F5" s="1294"/>
      <c r="G5" s="1846"/>
      <c r="H5" s="344">
        <v>1</v>
      </c>
      <c r="I5" s="345" t="s">
        <v>1397</v>
      </c>
      <c r="J5" s="1292">
        <f ca="1">J6+J10+J12</f>
        <v>0</v>
      </c>
      <c r="K5" s="1817" t="s">
        <v>1398</v>
      </c>
      <c r="L5" s="1293"/>
      <c r="M5" s="1294"/>
    </row>
    <row r="6" spans="1:37" ht="18" customHeight="1">
      <c r="A6" s="1291" t="s">
        <v>1032</v>
      </c>
      <c r="B6" s="3167" t="s">
        <v>1399</v>
      </c>
      <c r="C6" s="1296">
        <f ca="1">ROUND(F6*F8*F7*(1-F9)/10000,0)</f>
        <v>28</v>
      </c>
      <c r="D6" s="164" t="s">
        <v>3029</v>
      </c>
      <c r="E6" s="347" t="s">
        <v>1401</v>
      </c>
      <c r="F6" s="348">
        <f ca="1">INDIRECT("'数据-取费表'!u"&amp;$G$1)</f>
        <v>8.3000000000000007</v>
      </c>
      <c r="G6" s="1846"/>
      <c r="H6" s="1291" t="s">
        <v>1032</v>
      </c>
      <c r="I6" s="3167" t="s">
        <v>1399</v>
      </c>
      <c r="J6" s="346">
        <f ca="1">ROUND(M6*M8*M7*(1-M9)/10000,0)</f>
        <v>0</v>
      </c>
      <c r="K6" s="164" t="s">
        <v>3028</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103.53</v>
      </c>
      <c r="G7" s="1846"/>
      <c r="H7" s="349"/>
      <c r="I7" s="3168"/>
      <c r="J7" s="351"/>
      <c r="K7" s="352"/>
      <c r="L7" s="347" t="s">
        <v>1402</v>
      </c>
      <c r="M7" s="348">
        <f ca="1">F7</f>
        <v>103.53</v>
      </c>
    </row>
    <row r="8" spans="1:37" ht="18" customHeight="1">
      <c r="A8" s="349"/>
      <c r="B8" s="3168"/>
      <c r="C8" s="351"/>
      <c r="D8" s="352"/>
      <c r="E8" s="347" t="s">
        <v>1403</v>
      </c>
      <c r="F8" s="348">
        <f ca="1">INDIRECT("'数据-取费表'!ai"&amp;$G$1)</f>
        <v>365</v>
      </c>
      <c r="G8" s="1846"/>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46"/>
      <c r="H9" s="349"/>
      <c r="I9" s="3169"/>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3038</v>
      </c>
      <c r="E10" s="358" t="s">
        <v>1406</v>
      </c>
      <c r="F10" s="1366" t="s">
        <v>3101</v>
      </c>
      <c r="G10" s="1846"/>
      <c r="H10" s="1291" t="s">
        <v>1036</v>
      </c>
      <c r="I10" s="1818" t="s">
        <v>1405</v>
      </c>
      <c r="J10" s="346">
        <f ca="1">ROUND(IF(M10="押一",J6/12*M11,IF(M10="押二",J6/12*2*M11,IF(M10="押三",J6/12*3*M11,J11*M11))),0)</f>
        <v>0</v>
      </c>
      <c r="K10" s="1819" t="s">
        <v>3037</v>
      </c>
      <c r="L10" s="358" t="s">
        <v>1406</v>
      </c>
      <c r="M10" s="1366" t="s">
        <v>1407</v>
      </c>
    </row>
    <row r="11" spans="1:37" ht="18" customHeight="1">
      <c r="A11" s="353"/>
      <c r="B11" s="1820" t="s">
        <v>1384</v>
      </c>
      <c r="C11" s="1178"/>
      <c r="D11" s="1821"/>
      <c r="E11" s="358" t="s">
        <v>1408</v>
      </c>
      <c r="F11" s="359">
        <f ca="1">'数据-取费表'!B39</f>
        <v>1.4999999999999999E-2</v>
      </c>
      <c r="G11" s="1846"/>
      <c r="H11" s="1299"/>
      <c r="I11" s="1820" t="s">
        <v>1384</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46</v>
      </c>
      <c r="D13" s="1331" t="s">
        <v>1411</v>
      </c>
      <c r="E13" s="1331" t="s">
        <v>1412</v>
      </c>
      <c r="F13" s="1332">
        <f ca="1">INDIRECT("'数据-取费表'!y"&amp;$G$1)</f>
        <v>0.76</v>
      </c>
      <c r="G13" s="1846"/>
      <c r="H13" s="1329">
        <v>2</v>
      </c>
      <c r="I13" s="1330" t="s">
        <v>1410</v>
      </c>
      <c r="J13" s="1290">
        <f ca="1">ROUND(J14*J15,0)</f>
        <v>0</v>
      </c>
      <c r="K13" s="1337" t="s">
        <v>1411</v>
      </c>
      <c r="L13" s="1847"/>
      <c r="M13" s="1848"/>
    </row>
    <row r="14" spans="1:37" ht="18" customHeight="1">
      <c r="A14" s="1201" t="s">
        <v>1031</v>
      </c>
      <c r="B14" s="347" t="s">
        <v>1413</v>
      </c>
      <c r="C14" s="363">
        <f ca="1">INDIRECT("'数据-取费表'!m"&amp;$G$1)+INDIRECT("'数据-取费表'!t"&amp;$G$1)</f>
        <v>36</v>
      </c>
      <c r="D14" s="1795" t="s">
        <v>1414</v>
      </c>
      <c r="E14" s="1789"/>
      <c r="F14" s="364"/>
      <c r="G14" s="1846"/>
      <c r="H14" s="1201" t="s">
        <v>1032</v>
      </c>
      <c r="I14" s="347" t="s">
        <v>1415</v>
      </c>
      <c r="J14" s="24">
        <f ca="1">C29</f>
        <v>60</v>
      </c>
      <c r="K14" s="15"/>
      <c r="L14" s="979"/>
      <c r="M14" s="980"/>
    </row>
    <row r="15" spans="1:37" s="1853" customFormat="1" ht="18" customHeight="1" thickBot="1">
      <c r="A15" s="1201" t="s">
        <v>1033</v>
      </c>
      <c r="B15" s="347" t="s">
        <v>1416</v>
      </c>
      <c r="C15" s="24">
        <f ca="1">ROUND(C14*F15,0)</f>
        <v>2</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46"/>
      <c r="H16" s="1329" t="s">
        <v>1027</v>
      </c>
      <c r="I16" s="1330" t="s">
        <v>1420</v>
      </c>
      <c r="J16" s="355">
        <f ca="1">ROUND(J17+J22+J23+J24,0)</f>
        <v>2</v>
      </c>
      <c r="K16" s="1337" t="s">
        <v>1421</v>
      </c>
      <c r="L16" s="1338"/>
      <c r="M16" s="1294"/>
    </row>
    <row r="17" spans="1:37" s="1853" customFormat="1" ht="18" customHeight="1">
      <c r="A17" s="1201" t="s">
        <v>1386</v>
      </c>
      <c r="B17" s="347" t="s">
        <v>1422</v>
      </c>
      <c r="C17" s="24">
        <f ca="1">ROUND(F17*(F43+INDIRECT("'数据-取费表'!S"&amp;$G$1))/10000,0)</f>
        <v>2</v>
      </c>
      <c r="D17" s="347" t="s">
        <v>1423</v>
      </c>
      <c r="E17" s="347" t="s">
        <v>1424</v>
      </c>
      <c r="F17" s="26">
        <f>'数据-取费表'!B35</f>
        <v>200</v>
      </c>
      <c r="G17" s="1849"/>
      <c r="H17" s="1201" t="s">
        <v>1032</v>
      </c>
      <c r="I17" s="347" t="s">
        <v>1425</v>
      </c>
      <c r="J17" s="24">
        <f ca="1">ROUND(IF(项目基本情况!B11="自然人",J5*M17,J18+J19+J20),1)</f>
        <v>0.5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1</v>
      </c>
      <c r="D18" s="347" t="s">
        <v>1417</v>
      </c>
      <c r="E18" s="347" t="s">
        <v>1418</v>
      </c>
      <c r="F18" s="367">
        <f>'数据-取费表'!B36</f>
        <v>1.4999999999999999E-2</v>
      </c>
      <c r="G18" s="1849"/>
      <c r="H18" s="1201"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41</v>
      </c>
      <c r="D19" s="140" t="s">
        <v>1432</v>
      </c>
      <c r="E19" s="1813"/>
      <c r="F19" s="26"/>
      <c r="G19" s="1846"/>
      <c r="H19" s="1201" t="s">
        <v>1033</v>
      </c>
      <c r="I19" s="347" t="s">
        <v>1433</v>
      </c>
      <c r="J19" s="24">
        <f ca="1">IF(K19="按租金收入计税",ROUND(J5*M19,2),ROUND(C29*M19*0.7,2))</f>
        <v>0.5</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v>
      </c>
      <c r="D20" s="369" t="s">
        <v>1436</v>
      </c>
      <c r="E20" s="347" t="s">
        <v>1418</v>
      </c>
      <c r="F20" s="367">
        <f>'数据-取费表'!B37</f>
        <v>2.5000000000000001E-2</v>
      </c>
      <c r="G20" s="1849"/>
      <c r="H20" s="1201" t="s">
        <v>1385</v>
      </c>
      <c r="I20" s="164" t="s">
        <v>1437</v>
      </c>
      <c r="J20" s="25">
        <f ca="1">ROUND(M20*M21/10000,2)</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18</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ROUND(J14*M22,1)</f>
        <v>1.5</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ROUND(J13*M23,1)</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ROUND(J5*M24,1)</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1456</v>
      </c>
      <c r="B25" s="347" t="s">
        <v>1457</v>
      </c>
      <c r="C25" s="24"/>
      <c r="D25" s="140" t="s">
        <v>1458</v>
      </c>
      <c r="E25" s="1813"/>
      <c r="F25" s="26"/>
      <c r="G25" s="1846"/>
      <c r="H25" s="1329" t="s">
        <v>1028</v>
      </c>
      <c r="I25" s="1344" t="s">
        <v>1459</v>
      </c>
      <c r="J25" s="355">
        <f ca="1">J5-J16</f>
        <v>-2</v>
      </c>
      <c r="K25" s="1345" t="s">
        <v>1460</v>
      </c>
      <c r="L25" s="1346"/>
      <c r="M25" s="1347"/>
    </row>
    <row r="26" spans="1:37">
      <c r="A26" s="1201" t="s">
        <v>1031</v>
      </c>
      <c r="B26" s="347" t="s">
        <v>1461</v>
      </c>
      <c r="C26" s="24">
        <f ca="1">ROUND((C19+C20)*F26,0)</f>
        <v>11</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60</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7</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ROUND(IF(项目基本情况!B11="自然人",C5*F31,C32+C33+C34),1)</f>
        <v>4.9000000000000004</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IF(项目基本情况!B11="自然人","——",ROUND(C5*F32/(1+'数据-取费表'!C42),2))</f>
        <v>1.49</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3.36</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IF(项目基本情况!B11="自然人","——",ROUND(F34*F35/10000,2))</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ROUND(C29*F36,1)</f>
        <v>1.5</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ROUND(C13*F37,1)</f>
        <v>0.1</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0.8</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21</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480</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ROUND(C40*10000/F43,0)</f>
        <v>46363</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-588</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36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480</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ROUND(F49*F51*F50*(1-F52)/10000,0)</f>
        <v>0</v>
      </c>
      <c r="D49" s="1276" t="s">
        <v>3030</v>
      </c>
      <c r="E49" s="1825" t="s">
        <v>1487</v>
      </c>
      <c r="F49" s="1281"/>
      <c r="G49" s="1886"/>
      <c r="H49" s="793"/>
      <c r="I49" s="1882" t="s">
        <v>1530</v>
      </c>
      <c r="J49" s="1887">
        <v>2005</v>
      </c>
      <c r="K49" s="1884" t="s">
        <v>1531</v>
      </c>
      <c r="L49" s="1888"/>
      <c r="O49" s="1889" t="s">
        <v>1039</v>
      </c>
      <c r="P49" s="1880" t="s">
        <v>1532</v>
      </c>
      <c r="Q49" s="1881">
        <f ca="1">C29</f>
        <v>60</v>
      </c>
      <c r="R49" s="1881" t="s">
        <v>1525</v>
      </c>
    </row>
    <row r="50" spans="1:18" s="1837" customFormat="1" ht="13.5" thickBot="1">
      <c r="A50" s="1195"/>
      <c r="B50" s="1198"/>
      <c r="C50" s="1368"/>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300</v>
      </c>
      <c r="M51" s="1897"/>
      <c r="O51" s="1889" t="s">
        <v>1041</v>
      </c>
      <c r="P51" s="1880" t="s">
        <v>1538</v>
      </c>
      <c r="Q51" s="1892">
        <f>J52</f>
        <v>8.5000000000000006E-2</v>
      </c>
      <c r="R51" s="1881"/>
    </row>
    <row r="52" spans="1:18" s="1837" customFormat="1" ht="13.5" thickBot="1">
      <c r="A52" s="1196"/>
      <c r="B52" s="1198"/>
      <c r="C52" s="1199"/>
      <c r="D52" s="1172"/>
      <c r="E52" s="1200" t="s">
        <v>1404</v>
      </c>
      <c r="F52" s="1275"/>
      <c r="I52" s="1898" t="s">
        <v>1539</v>
      </c>
      <c r="J52" s="1899">
        <v>8.5000000000000006E-2</v>
      </c>
      <c r="K52" s="1898" t="s">
        <v>1540</v>
      </c>
      <c r="L52" s="1899"/>
      <c r="O52" s="1889" t="s">
        <v>1042</v>
      </c>
      <c r="P52" s="1880" t="s">
        <v>1541</v>
      </c>
      <c r="Q52" s="1881">
        <f ca="1">J53</f>
        <v>35.32</v>
      </c>
      <c r="R52" s="1881" t="s">
        <v>1542</v>
      </c>
    </row>
    <row r="53" spans="1:18" s="1837" customFormat="1" ht="24.75" thickBot="1">
      <c r="A53" s="1405" t="s">
        <v>1134</v>
      </c>
      <c r="B53" s="1826" t="s">
        <v>1405</v>
      </c>
      <c r="C53" s="361">
        <f ca="1">ROUND(IF(F53="押一",C49/12*F11,IF(F53="押二",C49/12*2*F11,IF(F53="押三",C49/12*3*F11,C54*F11))),0)</f>
        <v>0</v>
      </c>
      <c r="D53" s="1819" t="s">
        <v>3037</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5" t="s">
        <v>1544</v>
      </c>
      <c r="L53" s="3166"/>
      <c r="O53" s="1879" t="s">
        <v>1043</v>
      </c>
      <c r="P53" s="1880" t="s">
        <v>1545</v>
      </c>
      <c r="Q53" s="1881">
        <f ca="1">Q47+Q48</f>
        <v>480</v>
      </c>
      <c r="R53" s="1881" t="s">
        <v>1044</v>
      </c>
    </row>
    <row r="54" spans="1:18" s="1837" customFormat="1" ht="13.5" thickBot="1">
      <c r="A54" s="1406"/>
      <c r="B54" s="1820" t="s">
        <v>1384</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6">
        <v>2</v>
      </c>
      <c r="B56" s="1177" t="s">
        <v>1410</v>
      </c>
      <c r="C56" s="276">
        <f ca="1">C13</f>
        <v>46</v>
      </c>
      <c r="D56" s="1909"/>
      <c r="E56" s="1910"/>
      <c r="F56" s="1902"/>
      <c r="I56" s="1911" t="s">
        <v>1550</v>
      </c>
      <c r="J56" s="1912" t="s">
        <v>3094</v>
      </c>
      <c r="K56" s="1882" t="s">
        <v>1551</v>
      </c>
      <c r="L56" s="1885" t="str">
        <f ca="1">IF(L48&lt;J51,"——",L48-J53)</f>
        <v>——</v>
      </c>
      <c r="O56" s="1879" t="s">
        <v>1037</v>
      </c>
      <c r="P56" s="1880" t="s">
        <v>1524</v>
      </c>
      <c r="Q56" s="1881">
        <f ca="1">C40+J29</f>
        <v>480</v>
      </c>
      <c r="R56" s="1881" t="s">
        <v>1525</v>
      </c>
    </row>
    <row r="57" spans="1:18" s="1837" customFormat="1" ht="24.75" thickBot="1">
      <c r="A57" s="1913"/>
      <c r="B57" s="1169" t="s">
        <v>1474</v>
      </c>
      <c r="C57" s="282">
        <f ca="1">C29</f>
        <v>60</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7" t="s">
        <v>1420</v>
      </c>
      <c r="C58" s="361">
        <f ca="1">ROUND(C59+C64+C65+C66,0)</f>
        <v>7</v>
      </c>
      <c r="D58" s="1179" t="s">
        <v>1421</v>
      </c>
      <c r="E58" s="1180"/>
      <c r="F58" s="1181"/>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ROUND(IF(项目基本情况!B11="自然人",C48*F59,C60+C61+C62),1)</f>
        <v>5</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IF(项目基本情况!B11="自然人","——",IF(D61="按租金收入计税",ROUND(C48*F61,2),IF(D61="按房产原值计税",ROUND(C57*F61*0.7,2),INDIRECT("'数据-取费表'!Aj"&amp;$G$1))))</f>
        <v>5.04</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IF(项目基本情况!B11="自然人","——",ROUND(F62*F63/10000,2))</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480</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ROUND(C57*F64,1)</f>
        <v>1.5</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ROUND(C56*F65,1)</f>
        <v>0.1</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480</v>
      </c>
      <c r="R65" s="1881" t="s">
        <v>1525</v>
      </c>
    </row>
    <row r="66" spans="1:18" s="1837" customFormat="1" ht="16.5" thickBot="1">
      <c r="A66" s="1201" t="s">
        <v>1500</v>
      </c>
      <c r="B66" s="1169" t="s">
        <v>1435</v>
      </c>
      <c r="C66" s="24">
        <f ca="1">ROUND(C48*F66,1)</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-7</v>
      </c>
      <c r="D67" s="1182" t="s">
        <v>1460</v>
      </c>
      <c r="E67" s="1187"/>
      <c r="F67" s="1188"/>
      <c r="O67" s="1889" t="s">
        <v>1039</v>
      </c>
      <c r="P67" s="1880" t="s">
        <v>1558</v>
      </c>
      <c r="Q67" s="1928">
        <f ca="1">L51</f>
        <v>300</v>
      </c>
      <c r="R67" s="1881" t="s">
        <v>1578</v>
      </c>
    </row>
    <row r="68" spans="1:18" s="1837" customFormat="1" ht="16.5" thickBot="1">
      <c r="A68" s="1166" t="s">
        <v>1029</v>
      </c>
      <c r="B68" s="1167" t="s">
        <v>1481</v>
      </c>
      <c r="C68" s="346">
        <f ca="1">ROUND(C67*(1-((1+F70)/(1+F68))^F69)/(F68-F70),0)</f>
        <v>-108</v>
      </c>
      <c r="D68" s="1184" t="s">
        <v>1465</v>
      </c>
      <c r="E68" s="1169" t="s">
        <v>1466</v>
      </c>
      <c r="F68" s="357">
        <f ca="1">F40</f>
        <v>5.5E-2</v>
      </c>
      <c r="O68" s="1889" t="s">
        <v>1040</v>
      </c>
      <c r="P68" s="1929" t="s">
        <v>1579</v>
      </c>
      <c r="Q68" s="1881">
        <f ca="1">ROUND(Q69-Q70*Q71,0)</f>
        <v>17</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21</v>
      </c>
      <c r="R69" s="1881" t="s">
        <v>1525</v>
      </c>
    </row>
    <row r="70" spans="1:18" s="1837" customFormat="1" ht="13.5" thickBot="1">
      <c r="A70" s="1173"/>
      <c r="B70" s="1174"/>
      <c r="C70" s="355"/>
      <c r="D70" s="1185"/>
      <c r="E70" s="1169" t="s">
        <v>1473</v>
      </c>
      <c r="F70" s="1275"/>
      <c r="O70" s="1889" t="s">
        <v>1046</v>
      </c>
      <c r="P70" s="1929" t="s">
        <v>1581</v>
      </c>
      <c r="Q70" s="1881">
        <f ca="1">C13</f>
        <v>46</v>
      </c>
      <c r="R70" s="1881" t="s">
        <v>1525</v>
      </c>
    </row>
    <row r="71" spans="1:18" s="1837" customFormat="1" ht="13.5" thickBot="1">
      <c r="A71" s="1190" t="s">
        <v>1030</v>
      </c>
      <c r="B71" s="1191" t="s">
        <v>1483</v>
      </c>
      <c r="C71" s="382">
        <f ca="1">ROUND(C68*10000/F71,0)</f>
        <v>-10432</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4</v>
      </c>
      <c r="D75" s="1837"/>
      <c r="E75" s="1837"/>
      <c r="F75" s="1837"/>
      <c r="K75" s="1863"/>
      <c r="L75" s="1837"/>
      <c r="O75" s="1879" t="s">
        <v>1043</v>
      </c>
      <c r="P75" s="1880" t="s">
        <v>1545</v>
      </c>
      <c r="Q75" s="1881">
        <f ca="1">Q65+Q66</f>
        <v>480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v>
      </c>
    </row>
    <row r="80" spans="1:18">
      <c r="B80" s="386" t="s">
        <v>1507</v>
      </c>
      <c r="C80" s="318">
        <f ca="1">ROUND(C75/C39,3)</f>
        <v>0.19</v>
      </c>
    </row>
    <row r="81" spans="2:3">
      <c r="B81" s="314" t="s">
        <v>1508</v>
      </c>
      <c r="C81" s="282"/>
    </row>
    <row r="82" spans="2:3">
      <c r="B82" s="317" t="s">
        <v>1509</v>
      </c>
      <c r="C82" s="319">
        <f ca="1">1-C83</f>
        <v>0.90400000000000003</v>
      </c>
    </row>
    <row r="83" spans="2:3">
      <c r="B83" s="317" t="s">
        <v>1510</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85" zoomScaleNormal="85" zoomScaleSheetLayoutView="90" workbookViewId="0">
      <selection activeCell="C6" sqref="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f ca="1">ROUND(D2/10000,0)</f>
        <v>478</v>
      </c>
      <c r="C2" s="1840" t="s">
        <v>1587</v>
      </c>
      <c r="D2" s="1933">
        <f ca="1">C40+J29+L46</f>
        <v>4783268</v>
      </c>
      <c r="E2" s="1841" t="s">
        <v>1588</v>
      </c>
      <c r="F2" s="1842"/>
      <c r="G2" s="1843"/>
      <c r="H2" s="1835"/>
      <c r="I2" s="1835"/>
      <c r="J2" s="1835"/>
      <c r="K2" s="1836"/>
      <c r="L2" s="1835"/>
      <c r="M2" s="1835"/>
    </row>
    <row r="3" spans="1:37" ht="18" customHeight="1" thickBot="1">
      <c r="A3" s="1844" t="s">
        <v>1589</v>
      </c>
      <c r="B3" s="1845">
        <f ca="1">IF(ISERROR(D2/F43),0,ROUND(D2/F43,0))</f>
        <v>46202</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92">
        <f ca="1">C6+C10+C12</f>
        <v>282986</v>
      </c>
      <c r="D5" s="1817" t="s">
        <v>1597</v>
      </c>
      <c r="E5" s="1293"/>
      <c r="F5" s="1294"/>
      <c r="G5" s="1846"/>
      <c r="H5" s="344">
        <v>1</v>
      </c>
      <c r="I5" s="345" t="s">
        <v>1596</v>
      </c>
      <c r="J5" s="1292">
        <f ca="1">J6+J10+J12</f>
        <v>0</v>
      </c>
      <c r="K5" s="1817" t="s">
        <v>1597</v>
      </c>
      <c r="L5" s="1293"/>
      <c r="M5" s="1294"/>
    </row>
    <row r="6" spans="1:37" ht="18" customHeight="1">
      <c r="A6" s="1291" t="s">
        <v>1032</v>
      </c>
      <c r="B6" s="3167" t="s">
        <v>1399</v>
      </c>
      <c r="C6" s="1296">
        <f ca="1">ROUND(F6*F8*F7*(1-F9),0)</f>
        <v>282280</v>
      </c>
      <c r="D6" s="164" t="s">
        <v>3026</v>
      </c>
      <c r="E6" s="347" t="s">
        <v>1401</v>
      </c>
      <c r="F6" s="348">
        <f ca="1">INDIRECT("'数据-取费表'!u"&amp;$G$1)</f>
        <v>8.3000000000000007</v>
      </c>
      <c r="G6" s="1846"/>
      <c r="H6" s="1291" t="s">
        <v>1032</v>
      </c>
      <c r="I6" s="3167" t="s">
        <v>1399</v>
      </c>
      <c r="J6" s="346">
        <f ca="1">ROUND(M6*M8*M7*(1-M9),0)</f>
        <v>0</v>
      </c>
      <c r="K6" s="1829" t="s">
        <v>3027</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103.53</v>
      </c>
      <c r="G7" s="1846"/>
      <c r="H7" s="349"/>
      <c r="I7" s="3168"/>
      <c r="J7" s="351"/>
      <c r="K7" s="352"/>
      <c r="L7" s="347" t="s">
        <v>1402</v>
      </c>
      <c r="M7" s="348">
        <f ca="1">F7</f>
        <v>103.53</v>
      </c>
    </row>
    <row r="8" spans="1:37" ht="18" customHeight="1">
      <c r="A8" s="349"/>
      <c r="B8" s="3168"/>
      <c r="C8" s="351"/>
      <c r="D8" s="352"/>
      <c r="E8" s="347" t="s">
        <v>1403</v>
      </c>
      <c r="F8" s="348">
        <f ca="1">INDIRECT("'数据-取费表'!ai"&amp;$G$1)</f>
        <v>365</v>
      </c>
      <c r="G8" s="1846"/>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46"/>
      <c r="H9" s="349"/>
      <c r="I9" s="3169"/>
      <c r="J9" s="351"/>
      <c r="K9" s="352"/>
      <c r="L9" s="358" t="s">
        <v>1404</v>
      </c>
      <c r="M9" s="359">
        <f ca="1">INDIRECT("'数据-取费表'!ab"&amp;$G$1)</f>
        <v>0</v>
      </c>
    </row>
    <row r="10" spans="1:37" ht="18" customHeight="1">
      <c r="A10" s="1291" t="s">
        <v>1036</v>
      </c>
      <c r="B10" s="1818" t="s">
        <v>1405</v>
      </c>
      <c r="C10" s="361">
        <f ca="1">ROUND(IF(F10="押一",C6/12*F11,IF(F10="押二",C6/12*2*F11,IF(F10="押三",C6/12*3*F11,C11*F11))),0)</f>
        <v>706</v>
      </c>
      <c r="D10" s="1819" t="s">
        <v>3037</v>
      </c>
      <c r="E10" s="358" t="s">
        <v>1406</v>
      </c>
      <c r="F10" s="1366" t="s">
        <v>3101</v>
      </c>
      <c r="G10" s="1846"/>
      <c r="H10" s="1291" t="s">
        <v>1036</v>
      </c>
      <c r="I10" s="1818" t="s">
        <v>1405</v>
      </c>
      <c r="J10" s="346">
        <f ca="1">ROUND(IF(M10="押一",J6/12*M11,IF(M10="押二",J6/12*2*M11,IF(M10="押三",J6/12*3*M11,J11*M11))),0)</f>
        <v>0</v>
      </c>
      <c r="K10" s="1830" t="s">
        <v>3039</v>
      </c>
      <c r="L10" s="358" t="s">
        <v>1406</v>
      </c>
      <c r="M10" s="1366"/>
    </row>
    <row r="11" spans="1:37" ht="18" customHeight="1">
      <c r="A11" s="353"/>
      <c r="B11" s="1820" t="s">
        <v>1598</v>
      </c>
      <c r="C11" s="1178"/>
      <c r="D11" s="352"/>
      <c r="E11" s="358" t="s">
        <v>1408</v>
      </c>
      <c r="F11" s="359">
        <f ca="1">'数据-取费表'!B39</f>
        <v>1.4999999999999999E-2</v>
      </c>
      <c r="G11" s="1846"/>
      <c r="H11" s="1299"/>
      <c r="I11" s="1820" t="s">
        <v>1599</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449558</v>
      </c>
      <c r="D13" s="1331" t="s">
        <v>1411</v>
      </c>
      <c r="E13" s="1331" t="s">
        <v>1412</v>
      </c>
      <c r="F13" s="1332">
        <f ca="1">INDIRECT("'数据-取费表'!y"&amp;$G$1)</f>
        <v>0.76</v>
      </c>
      <c r="G13" s="1846"/>
      <c r="H13" s="1329">
        <v>2</v>
      </c>
      <c r="I13" s="1330" t="s">
        <v>1410</v>
      </c>
      <c r="J13" s="1290">
        <f ca="1">ROUND(J14*J15,0)</f>
        <v>0</v>
      </c>
      <c r="K13" s="1337" t="s">
        <v>1411</v>
      </c>
      <c r="L13" s="1847"/>
      <c r="M13" s="1848"/>
    </row>
    <row r="14" spans="1:37" ht="18" customHeight="1">
      <c r="A14" s="1201" t="s">
        <v>1031</v>
      </c>
      <c r="B14" s="347" t="s">
        <v>1413</v>
      </c>
      <c r="C14" s="363">
        <f ca="1">ROUND(INDIRECT("'数据-取费表'!l"&amp;$G$1)*F43+'数据-取费表'!L14*INDIRECT("'数据-取费表'!S"&amp;$G$1),0)</f>
        <v>362355</v>
      </c>
      <c r="D14" s="1795" t="s">
        <v>1414</v>
      </c>
      <c r="E14" s="1789"/>
      <c r="F14" s="364"/>
      <c r="G14" s="1846"/>
      <c r="H14" s="1201" t="s">
        <v>1032</v>
      </c>
      <c r="I14" s="347" t="s">
        <v>1415</v>
      </c>
      <c r="J14" s="24">
        <f ca="1">C29</f>
        <v>591524</v>
      </c>
      <c r="K14" s="15"/>
      <c r="L14" s="979"/>
      <c r="M14" s="980"/>
    </row>
    <row r="15" spans="1:37" s="1853" customFormat="1" ht="18" customHeight="1" thickBot="1">
      <c r="A15" s="1201" t="s">
        <v>1033</v>
      </c>
      <c r="B15" s="347" t="s">
        <v>1416</v>
      </c>
      <c r="C15" s="24">
        <f ca="1">ROUND(C14*F15,0)</f>
        <v>18118</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46"/>
      <c r="H16" s="1329" t="s">
        <v>1027</v>
      </c>
      <c r="I16" s="1330" t="s">
        <v>1420</v>
      </c>
      <c r="J16" s="355">
        <f ca="1">ROUND(J17+J22+J23+J24,0)</f>
        <v>19757</v>
      </c>
      <c r="K16" s="1337" t="s">
        <v>1421</v>
      </c>
      <c r="L16" s="1338"/>
      <c r="M16" s="1294"/>
    </row>
    <row r="17" spans="1:37" s="1853" customFormat="1" ht="18" customHeight="1">
      <c r="A17" s="1201" t="s">
        <v>1386</v>
      </c>
      <c r="B17" s="347" t="s">
        <v>1422</v>
      </c>
      <c r="C17" s="24">
        <f ca="1">ROUND(F17*(F43+INDIRECT("'数据-取费表'!S"&amp;$G$1)),0)</f>
        <v>20706</v>
      </c>
      <c r="D17" s="347" t="s">
        <v>1423</v>
      </c>
      <c r="E17" s="347" t="s">
        <v>1424</v>
      </c>
      <c r="F17" s="26">
        <f>'数据-取费表'!B35</f>
        <v>200</v>
      </c>
      <c r="G17" s="1849"/>
      <c r="H17" s="1201" t="s">
        <v>1032</v>
      </c>
      <c r="I17" s="347" t="s">
        <v>1425</v>
      </c>
      <c r="J17" s="24">
        <f ca="1">ROUND(IF(项目基本情况!B11="自然人",J5*M17,J18+J19+J20),0)</f>
        <v>4969</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5435</v>
      </c>
      <c r="D18" s="347" t="s">
        <v>1417</v>
      </c>
      <c r="E18" s="347" t="s">
        <v>1418</v>
      </c>
      <c r="F18" s="367">
        <f>'数据-取费表'!B36</f>
        <v>1.4999999999999999E-2</v>
      </c>
      <c r="G18" s="1849"/>
      <c r="H18" s="1201"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406614</v>
      </c>
      <c r="D19" s="140" t="s">
        <v>1432</v>
      </c>
      <c r="E19" s="1813"/>
      <c r="F19" s="26"/>
      <c r="G19" s="1846"/>
      <c r="H19" s="1201" t="s">
        <v>1033</v>
      </c>
      <c r="I19" s="347" t="s">
        <v>1433</v>
      </c>
      <c r="J19" s="24">
        <f ca="1">IF(K19="按租金收入计税",ROUND(J5*M19,0),ROUND(C29*M19*0.7,0))</f>
        <v>4969</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10165</v>
      </c>
      <c r="D20" s="369" t="s">
        <v>1436</v>
      </c>
      <c r="E20" s="347" t="s">
        <v>1418</v>
      </c>
      <c r="F20" s="367">
        <f>'数据-取费表'!B37</f>
        <v>2.5000000000000001E-2</v>
      </c>
      <c r="G20" s="1849"/>
      <c r="H20" s="1201" t="s">
        <v>1385</v>
      </c>
      <c r="I20" s="164" t="s">
        <v>1437</v>
      </c>
      <c r="J20" s="25">
        <f ca="1">ROUND(M20*M21,0)</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ROUND(J14*M22,0)</f>
        <v>14788</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19797</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ROUND(J13*M23,0)</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ROUND(J5*M24,0)</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1456</v>
      </c>
      <c r="B25" s="347" t="s">
        <v>1457</v>
      </c>
      <c r="C25" s="24"/>
      <c r="D25" s="140" t="s">
        <v>1458</v>
      </c>
      <c r="E25" s="1813"/>
      <c r="F25" s="26"/>
      <c r="G25" s="1846"/>
      <c r="H25" s="1329" t="s">
        <v>1028</v>
      </c>
      <c r="I25" s="1344" t="s">
        <v>1459</v>
      </c>
      <c r="J25" s="355">
        <f ca="1">J5-J16</f>
        <v>-19757</v>
      </c>
      <c r="K25" s="1345" t="s">
        <v>1460</v>
      </c>
      <c r="L25" s="1346"/>
      <c r="M25" s="1347"/>
    </row>
    <row r="26" spans="1:37" ht="18" customHeight="1">
      <c r="A26" s="1201" t="s">
        <v>1031</v>
      </c>
      <c r="B26" s="347" t="s">
        <v>1461</v>
      </c>
      <c r="C26" s="24">
        <f ca="1">ROUND((C19+C20)*F26,0)</f>
        <v>104195</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591524</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73678</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ROUND(IF(项目基本情况!B11="自然人",C5*F31,C32+C33+C34),0)</f>
        <v>49051</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IF(项目基本情况!B11="自然人","——",ROUND(C5*F32/(1+'数据-取费表'!C42),0))</f>
        <v>15093</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33958</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ROUND(C29*F36,0)</f>
        <v>14788</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ROUND(C13*F37,0)</f>
        <v>1349</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8489.6</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209308</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4783268</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ROUND(C40/F43,0)</f>
        <v>46202</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f ca="1">C68-C40</f>
        <v>-6287552</v>
      </c>
      <c r="D45" s="1935" t="s">
        <v>1600</v>
      </c>
      <c r="E45" s="1861"/>
      <c r="F45" s="1861"/>
      <c r="O45" s="1864" t="s">
        <v>1515</v>
      </c>
      <c r="P45" s="1834"/>
      <c r="Q45" s="1834"/>
      <c r="R45" s="1834"/>
    </row>
    <row r="46" spans="1:18" s="1837" customFormat="1" ht="13.5" thickBot="1">
      <c r="A46" s="1865" t="s">
        <v>1516</v>
      </c>
      <c r="C46" s="1866">
        <f ca="1">ROUND(C45/10000,0)</f>
        <v>-629</v>
      </c>
      <c r="D46" s="1867" t="str">
        <f>C2</f>
        <v>万元</v>
      </c>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19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4783268</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ROUND(F49*F51*F50*(1-F52),0)</f>
        <v>0</v>
      </c>
      <c r="D49" s="1276" t="s">
        <v>1400</v>
      </c>
      <c r="E49" s="1825" t="s">
        <v>1487</v>
      </c>
      <c r="F49" s="1281"/>
      <c r="G49" s="1886"/>
      <c r="H49" s="793"/>
      <c r="I49" s="1882" t="s">
        <v>1530</v>
      </c>
      <c r="J49" s="1887">
        <v>2005</v>
      </c>
      <c r="K49" s="1884" t="s">
        <v>1531</v>
      </c>
      <c r="L49" s="1888"/>
      <c r="O49" s="1889" t="s">
        <v>1039</v>
      </c>
      <c r="P49" s="1880" t="s">
        <v>1532</v>
      </c>
      <c r="Q49" s="1881">
        <f ca="1">C29</f>
        <v>591524</v>
      </c>
      <c r="R49" s="1881" t="s">
        <v>1525</v>
      </c>
    </row>
    <row r="50" spans="1:18" s="1837" customFormat="1" ht="13.5" thickBot="1">
      <c r="A50" s="1195"/>
      <c r="B50" s="1198"/>
      <c r="C50" s="1199"/>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2998896</v>
      </c>
      <c r="M51" s="1897"/>
      <c r="O51" s="1889" t="s">
        <v>1041</v>
      </c>
      <c r="P51" s="1880" t="s">
        <v>1538</v>
      </c>
      <c r="Q51" s="1892">
        <f>J52</f>
        <v>0</v>
      </c>
      <c r="R51" s="1881"/>
    </row>
    <row r="52" spans="1:18" s="1837" customFormat="1" ht="13.5" thickBot="1">
      <c r="A52" s="1196"/>
      <c r="B52" s="1198"/>
      <c r="C52" s="1199"/>
      <c r="D52" s="1172"/>
      <c r="E52" s="1200" t="s">
        <v>1404</v>
      </c>
      <c r="F52" s="1275"/>
      <c r="I52" s="1898" t="s">
        <v>1539</v>
      </c>
      <c r="J52" s="1899"/>
      <c r="K52" s="1898" t="s">
        <v>1540</v>
      </c>
      <c r="L52" s="1899"/>
      <c r="O52" s="1889" t="s">
        <v>1042</v>
      </c>
      <c r="P52" s="1880" t="s">
        <v>1541</v>
      </c>
      <c r="Q52" s="1881">
        <f ca="1">J53</f>
        <v>35.32</v>
      </c>
      <c r="R52" s="1881" t="s">
        <v>1542</v>
      </c>
    </row>
    <row r="53" spans="1:18" s="1837" customFormat="1" ht="30.75" customHeight="1" thickBot="1">
      <c r="A53" s="1361" t="s">
        <v>1134</v>
      </c>
      <c r="B53" s="369" t="s">
        <v>1405</v>
      </c>
      <c r="C53" s="361">
        <f ca="1">ROUND(IF(F53="押一",C49/12*F11,IF(F53="押二",C49/12*2*F11,IF(F53="押三",C49/12*3*F11,C54*F11))),0)</f>
        <v>0</v>
      </c>
      <c r="D53" s="1819" t="s">
        <v>3040</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5" t="s">
        <v>1544</v>
      </c>
      <c r="L53" s="3166"/>
      <c r="O53" s="1879" t="s">
        <v>1043</v>
      </c>
      <c r="P53" s="1880" t="s">
        <v>1545</v>
      </c>
      <c r="Q53" s="1881">
        <f ca="1">Q47+Q48</f>
        <v>4783268</v>
      </c>
      <c r="R53" s="1881" t="s">
        <v>1044</v>
      </c>
    </row>
    <row r="54" spans="1:18" s="1837" customFormat="1" ht="13.5" thickBot="1">
      <c r="A54" s="1194"/>
      <c r="B54" s="1936" t="s">
        <v>1599</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c r="O55" s="1872" t="s">
        <v>1518</v>
      </c>
      <c r="P55" s="1873" t="s">
        <v>1519</v>
      </c>
      <c r="Q55" s="1874" t="s">
        <v>1520</v>
      </c>
      <c r="R55" s="1874" t="s">
        <v>1521</v>
      </c>
    </row>
    <row r="56" spans="1:18" s="1837" customFormat="1" ht="36" customHeight="1" thickTop="1" thickBot="1">
      <c r="A56" s="1176">
        <v>2</v>
      </c>
      <c r="B56" s="1177" t="s">
        <v>1410</v>
      </c>
      <c r="C56" s="276">
        <f ca="1">C13</f>
        <v>449558</v>
      </c>
      <c r="D56" s="1909"/>
      <c r="E56" s="1910"/>
      <c r="F56" s="1902"/>
      <c r="I56" s="1911" t="s">
        <v>1550</v>
      </c>
      <c r="J56" s="1912" t="s">
        <v>3094</v>
      </c>
      <c r="K56" s="1882" t="s">
        <v>1551</v>
      </c>
      <c r="L56" s="1885" t="str">
        <f ca="1">IF(L48&lt;J51,"——",L48-J51)</f>
        <v>——</v>
      </c>
      <c r="O56" s="1879" t="s">
        <v>1037</v>
      </c>
      <c r="P56" s="1880" t="s">
        <v>1524</v>
      </c>
      <c r="Q56" s="1881">
        <f ca="1">C40+J29</f>
        <v>4783268</v>
      </c>
      <c r="R56" s="1881" t="s">
        <v>1525</v>
      </c>
    </row>
    <row r="57" spans="1:18" s="1837" customFormat="1" ht="24.75" thickBot="1">
      <c r="A57" s="1913"/>
      <c r="B57" s="1169" t="s">
        <v>1474</v>
      </c>
      <c r="C57" s="282">
        <f ca="1">C29</f>
        <v>591524</v>
      </c>
      <c r="D57" s="1914"/>
      <c r="E57" s="1915"/>
      <c r="F57" s="1916"/>
      <c r="I57" s="1917" t="s">
        <v>1552</v>
      </c>
      <c r="J57" s="1918" t="str">
        <f ca="1">IF(OR(M47="住宅",J51&lt;L48,J56="是"),"——",J51-L48)</f>
        <v>——</v>
      </c>
      <c r="K57" s="1882" t="s">
        <v>1601</v>
      </c>
      <c r="L57" s="1885" t="str">
        <f ca="1">IF(L48&lt;J51,"——",IF(L55="比较法",L49,IF(L55="基准地价",L50,L51)))</f>
        <v>——</v>
      </c>
      <c r="O57" s="1879" t="s">
        <v>1038</v>
      </c>
      <c r="P57" s="1880" t="s">
        <v>1602</v>
      </c>
      <c r="Q57" s="1881">
        <f ca="1">L60</f>
        <v>0</v>
      </c>
      <c r="R57" s="1881" t="s">
        <v>1603</v>
      </c>
    </row>
    <row r="58" spans="1:18" s="1837" customFormat="1" ht="24.75" thickBot="1">
      <c r="A58" s="360" t="s">
        <v>1027</v>
      </c>
      <c r="B58" s="1177" t="s">
        <v>1420</v>
      </c>
      <c r="C58" s="361">
        <f ca="1">ROUND(C59+C64+C65+C66,0)</f>
        <v>65825</v>
      </c>
      <c r="D58" s="1179" t="s">
        <v>1421</v>
      </c>
      <c r="E58" s="1180"/>
      <c r="F58" s="1181"/>
      <c r="I58" s="1917" t="s">
        <v>1556</v>
      </c>
      <c r="J58" s="1919" t="e">
        <f ca="1">IF(J55&lt;0.4,0.4,J55)</f>
        <v>#VALUE!</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ROUND(IF(项目基本情况!B11="自然人",C48*F59,C60+C61+C62),0)</f>
        <v>49688</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IF(项目基本情况!B11="自然人","——",IF(D61="按租金收入计税",ROUND(C48*F61,0),IF(D61="按房产原值计税",ROUND(C57*F61*0.7,0),INDIRECT("'数据-取费表'!Aj"&amp;$G$1))))</f>
        <v>49688</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IF(项目基本情况!B11="自然人","——",ROUND(F62*F63,0))</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4783268</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ROUND(C57*F64,0)</f>
        <v>14788</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ROUND(C56*F65,0)</f>
        <v>1349</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4783268</v>
      </c>
      <c r="R65" s="1881" t="s">
        <v>1525</v>
      </c>
    </row>
    <row r="66" spans="1:18" s="1837" customFormat="1" ht="16.5" thickBot="1">
      <c r="A66" s="1201" t="s">
        <v>1500</v>
      </c>
      <c r="B66" s="1169" t="s">
        <v>1435</v>
      </c>
      <c r="C66" s="24">
        <f ca="1">ROUND(C48*F66,0)</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-65825</v>
      </c>
      <c r="D67" s="1182" t="s">
        <v>1460</v>
      </c>
      <c r="E67" s="1187"/>
      <c r="F67" s="1188"/>
      <c r="O67" s="1889" t="s">
        <v>1039</v>
      </c>
      <c r="P67" s="1880" t="s">
        <v>1558</v>
      </c>
      <c r="Q67" s="1928">
        <f ca="1">L51</f>
        <v>2998896</v>
      </c>
      <c r="R67" s="1881" t="s">
        <v>1578</v>
      </c>
    </row>
    <row r="68" spans="1:18" s="1837" customFormat="1" ht="16.5" thickBot="1">
      <c r="A68" s="1166" t="s">
        <v>1029</v>
      </c>
      <c r="B68" s="1167" t="s">
        <v>1481</v>
      </c>
      <c r="C68" s="346">
        <f ca="1">ROUND(C67*(1-((1+F70)/(1+F68))^F69)/(F68-F70),0)</f>
        <v>-1504284</v>
      </c>
      <c r="D68" s="1184" t="s">
        <v>1465</v>
      </c>
      <c r="E68" s="1169" t="s">
        <v>1466</v>
      </c>
      <c r="F68" s="357">
        <f ca="1">F40</f>
        <v>5.5E-2</v>
      </c>
      <c r="O68" s="1889" t="s">
        <v>1040</v>
      </c>
      <c r="P68" s="1929" t="s">
        <v>1579</v>
      </c>
      <c r="Q68" s="1881">
        <f ca="1">ROUND(Q69-Q70*Q71,0)</f>
        <v>171096</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209308</v>
      </c>
      <c r="R69" s="1881" t="s">
        <v>1525</v>
      </c>
    </row>
    <row r="70" spans="1:18" s="1837" customFormat="1" ht="13.5" thickBot="1">
      <c r="A70" s="1173"/>
      <c r="B70" s="1174"/>
      <c r="C70" s="355"/>
      <c r="D70" s="1185"/>
      <c r="E70" s="1169" t="s">
        <v>1473</v>
      </c>
      <c r="F70" s="1275">
        <f ca="1">F42</f>
        <v>0.03</v>
      </c>
      <c r="O70" s="1889" t="s">
        <v>1046</v>
      </c>
      <c r="P70" s="1929" t="s">
        <v>1581</v>
      </c>
      <c r="Q70" s="1881">
        <f ca="1">C13</f>
        <v>449558</v>
      </c>
      <c r="R70" s="1881" t="s">
        <v>1525</v>
      </c>
    </row>
    <row r="71" spans="1:18" s="1837" customFormat="1" ht="13.5" thickBot="1">
      <c r="A71" s="1190" t="s">
        <v>1030</v>
      </c>
      <c r="B71" s="1191" t="s">
        <v>1483</v>
      </c>
      <c r="C71" s="382">
        <f ca="1">ROUND(C68/F71,0)</f>
        <v>-14530</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38212</v>
      </c>
      <c r="D75" s="1837"/>
      <c r="E75" s="1837"/>
      <c r="F75" s="1837"/>
      <c r="K75" s="1863"/>
      <c r="L75" s="1837"/>
      <c r="O75" s="1879" t="s">
        <v>1043</v>
      </c>
      <c r="P75" s="1880" t="s">
        <v>1545</v>
      </c>
      <c r="Q75" s="1881">
        <f ca="1">Q65+Q66</f>
        <v>4783268</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0.81699999999999995</v>
      </c>
    </row>
    <row r="80" spans="1:18">
      <c r="B80" s="386" t="s">
        <v>1507</v>
      </c>
      <c r="C80" s="318">
        <f ca="1">ROUND(C75/C39,3)</f>
        <v>0.183</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2524</v>
      </c>
      <c r="B1" s="2559"/>
      <c r="C1" s="2559"/>
      <c r="D1" s="2559"/>
      <c r="E1" s="2560"/>
    </row>
    <row r="2" spans="1:6" ht="15.75">
      <c r="A2" s="2561" t="s">
        <v>2325</v>
      </c>
      <c r="B2" s="2562">
        <f ca="1">SUMIF(B6:B13,"&lt;&gt;#ref!",B6:B13)</f>
        <v>480</v>
      </c>
      <c r="C2" s="2563" t="s">
        <v>2517</v>
      </c>
      <c r="D2" s="2564" t="s">
        <v>2518</v>
      </c>
      <c r="E2" s="2565">
        <f>SUM(E6:E13)</f>
        <v>103.53</v>
      </c>
    </row>
    <row r="3" spans="1:6" ht="15.75">
      <c r="A3" s="2561" t="s">
        <v>1391</v>
      </c>
      <c r="B3" s="2562">
        <f ca="1">ROUND(B2*10000/E2,0)</f>
        <v>46363</v>
      </c>
      <c r="C3" s="2563" t="s">
        <v>2525</v>
      </c>
      <c r="D3" s="2566"/>
      <c r="E3" s="2567"/>
    </row>
    <row r="4" spans="1:6" ht="15.75">
      <c r="A4" s="2568"/>
      <c r="B4" s="2566"/>
      <c r="C4" s="2566"/>
      <c r="D4" s="2566"/>
      <c r="E4" s="2567"/>
    </row>
    <row r="5" spans="1:6" ht="15">
      <c r="A5" s="2569" t="s">
        <v>2519</v>
      </c>
      <c r="B5" s="3170" t="s">
        <v>2520</v>
      </c>
      <c r="C5" s="3170"/>
      <c r="D5" s="2570"/>
      <c r="E5" s="2571" t="s">
        <v>2521</v>
      </c>
      <c r="F5" s="2572" t="s">
        <v>2522</v>
      </c>
    </row>
    <row r="6" spans="1:6">
      <c r="A6" s="2573" t="str">
        <f>'数据-取费表'!AN6</f>
        <v>收益法</v>
      </c>
      <c r="B6" s="2572">
        <f ca="1">IF(F6="是",'数据-取费表'!AO6,0)</f>
        <v>480</v>
      </c>
      <c r="C6" s="2563" t="s">
        <v>2517</v>
      </c>
      <c r="D6" s="2566"/>
      <c r="E6" s="2574">
        <f>IF(OR(A6=0,F6="否"),0,'数据-取费表'!K6+'数据-取费表'!S6)</f>
        <v>103.53</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1" t="s">
        <v>1073</v>
      </c>
      <c r="B1" s="3172"/>
      <c r="C1" s="3173"/>
      <c r="D1" s="3174">
        <f>SUM(I10,I15,I20,I21,I23)</f>
        <v>0</v>
      </c>
      <c r="E1" s="3174"/>
      <c r="F1" s="3174"/>
      <c r="G1" s="3174"/>
      <c r="H1" s="3174"/>
      <c r="I1" s="3175"/>
    </row>
    <row r="2" spans="1:9">
      <c r="A2" s="3176" t="s">
        <v>1074</v>
      </c>
      <c r="B2" s="3177" t="s">
        <v>1075</v>
      </c>
      <c r="C2" s="3177"/>
      <c r="D2" s="1301" t="s">
        <v>1076</v>
      </c>
      <c r="E2" s="1301" t="s">
        <v>1077</v>
      </c>
      <c r="F2" s="1301" t="s">
        <v>1078</v>
      </c>
      <c r="G2" s="1301" t="s">
        <v>1079</v>
      </c>
      <c r="H2" s="1301" t="s">
        <v>1080</v>
      </c>
      <c r="I2" s="1302" t="s">
        <v>1081</v>
      </c>
    </row>
    <row r="3" spans="1:9">
      <c r="A3" s="3176"/>
      <c r="B3" s="3177" t="s">
        <v>1082</v>
      </c>
      <c r="C3" s="3177"/>
      <c r="D3" s="1303"/>
      <c r="E3" s="1301"/>
      <c r="F3" s="1304"/>
      <c r="G3" s="1304"/>
      <c r="H3" s="1305"/>
      <c r="I3" s="1306">
        <f>ROUND(D3*E3*F3*G3*H3/10000,0)</f>
        <v>0</v>
      </c>
    </row>
    <row r="4" spans="1:9">
      <c r="A4" s="3176"/>
      <c r="B4" s="3177" t="s">
        <v>1083</v>
      </c>
      <c r="C4" s="3177"/>
      <c r="D4" s="1303"/>
      <c r="E4" s="1301"/>
      <c r="F4" s="1304"/>
      <c r="G4" s="1304"/>
      <c r="H4" s="1305"/>
      <c r="I4" s="1306">
        <f t="shared" ref="I4:I9" si="0">ROUND(D4*E4*F4*G4*H4/10000,0)</f>
        <v>0</v>
      </c>
    </row>
    <row r="5" spans="1:9">
      <c r="A5" s="3176"/>
      <c r="B5" s="3177" t="s">
        <v>1084</v>
      </c>
      <c r="C5" s="3177"/>
      <c r="D5" s="1303"/>
      <c r="E5" s="1301"/>
      <c r="F5" s="1304"/>
      <c r="G5" s="1304"/>
      <c r="H5" s="1305"/>
      <c r="I5" s="1306">
        <f t="shared" si="0"/>
        <v>0</v>
      </c>
    </row>
    <row r="6" spans="1:9">
      <c r="A6" s="3176"/>
      <c r="B6" s="3177" t="s">
        <v>1085</v>
      </c>
      <c r="C6" s="3177"/>
      <c r="D6" s="1303"/>
      <c r="E6" s="1301"/>
      <c r="F6" s="1304"/>
      <c r="G6" s="1304"/>
      <c r="H6" s="1305"/>
      <c r="I6" s="1306">
        <f t="shared" si="0"/>
        <v>0</v>
      </c>
    </row>
    <row r="7" spans="1:9">
      <c r="A7" s="3176"/>
      <c r="B7" s="3177" t="s">
        <v>1086</v>
      </c>
      <c r="C7" s="3177"/>
      <c r="D7" s="1303"/>
      <c r="E7" s="1301"/>
      <c r="F7" s="1304"/>
      <c r="G7" s="1304"/>
      <c r="H7" s="1305"/>
      <c r="I7" s="1306">
        <f t="shared" si="0"/>
        <v>0</v>
      </c>
    </row>
    <row r="8" spans="1:9">
      <c r="A8" s="3176"/>
      <c r="B8" s="3177" t="s">
        <v>1087</v>
      </c>
      <c r="C8" s="3177"/>
      <c r="D8" s="1303"/>
      <c r="E8" s="1301"/>
      <c r="F8" s="1304"/>
      <c r="G8" s="1304"/>
      <c r="H8" s="1305"/>
      <c r="I8" s="1306">
        <f t="shared" si="0"/>
        <v>0</v>
      </c>
    </row>
    <row r="9" spans="1:9">
      <c r="A9" s="3176"/>
      <c r="B9" s="3177" t="s">
        <v>1088</v>
      </c>
      <c r="C9" s="3177"/>
      <c r="D9" s="1303"/>
      <c r="E9" s="1301"/>
      <c r="F9" s="1304"/>
      <c r="G9" s="1304"/>
      <c r="H9" s="1305"/>
      <c r="I9" s="1306">
        <f t="shared" si="0"/>
        <v>0</v>
      </c>
    </row>
    <row r="10" spans="1:9">
      <c r="A10" s="3176"/>
      <c r="B10" s="3178" t="s">
        <v>1089</v>
      </c>
      <c r="C10" s="3178"/>
      <c r="D10" s="1307"/>
      <c r="E10" s="1307" t="e">
        <f>ROUND(D1*10000/D10/H9,0)</f>
        <v>#DIV/0!</v>
      </c>
      <c r="F10" s="1308"/>
      <c r="G10" s="1308"/>
      <c r="H10" s="1309"/>
      <c r="I10" s="1310">
        <f>SUM(I3:I9)</f>
        <v>0</v>
      </c>
    </row>
    <row r="11" spans="1:9" ht="14.25">
      <c r="A11" s="3176" t="s">
        <v>1090</v>
      </c>
      <c r="B11" s="3177" t="s">
        <v>1091</v>
      </c>
      <c r="C11" s="3177"/>
      <c r="D11" s="1303" t="s">
        <v>1092</v>
      </c>
      <c r="E11" s="1303" t="s">
        <v>1093</v>
      </c>
      <c r="F11" s="1304" t="s">
        <v>1094</v>
      </c>
      <c r="G11" s="1304" t="s">
        <v>1080</v>
      </c>
      <c r="H11" s="1311" t="s">
        <v>1095</v>
      </c>
      <c r="I11" s="1302" t="s">
        <v>1081</v>
      </c>
    </row>
    <row r="12" spans="1:9">
      <c r="A12" s="3176"/>
      <c r="B12" s="3177" t="s">
        <v>1096</v>
      </c>
      <c r="C12" s="3177"/>
      <c r="D12" s="1303"/>
      <c r="E12" s="1303"/>
      <c r="F12" s="1304"/>
      <c r="G12" s="1305"/>
      <c r="H12" s="1312"/>
      <c r="I12" s="1302">
        <f>ROUND(D12*E12*F12*G12/10000,0)</f>
        <v>0</v>
      </c>
    </row>
    <row r="13" spans="1:9">
      <c r="A13" s="3176"/>
      <c r="B13" s="3177" t="s">
        <v>1097</v>
      </c>
      <c r="C13" s="3177"/>
      <c r="D13" s="1303"/>
      <c r="E13" s="1303"/>
      <c r="F13" s="1304"/>
      <c r="G13" s="1305"/>
      <c r="H13" s="1312"/>
      <c r="I13" s="1302">
        <f>ROUND(D13*E13*F13*G13/10000,0)</f>
        <v>0</v>
      </c>
    </row>
    <row r="14" spans="1:9">
      <c r="A14" s="3176"/>
      <c r="B14" s="3177" t="s">
        <v>1098</v>
      </c>
      <c r="C14" s="3177"/>
      <c r="D14" s="1303"/>
      <c r="E14" s="1303"/>
      <c r="F14" s="1304"/>
      <c r="G14" s="1305"/>
      <c r="H14" s="1312"/>
      <c r="I14" s="1302">
        <f>ROUND(D14*E14*F14*G14/10000,0)</f>
        <v>0</v>
      </c>
    </row>
    <row r="15" spans="1:9">
      <c r="A15" s="3176"/>
      <c r="B15" s="3178" t="s">
        <v>1089</v>
      </c>
      <c r="C15" s="3178"/>
      <c r="D15" s="1307"/>
      <c r="E15" s="1307">
        <f>SUM(E12:E14)</f>
        <v>0</v>
      </c>
      <c r="F15" s="1308"/>
      <c r="G15" s="1305"/>
      <c r="H15" s="1312"/>
      <c r="I15" s="1313">
        <f>SUM(I12:I14)</f>
        <v>0</v>
      </c>
    </row>
    <row r="16" spans="1:9" ht="24">
      <c r="A16" s="3176" t="s">
        <v>1099</v>
      </c>
      <c r="B16" s="3177" t="s">
        <v>1100</v>
      </c>
      <c r="C16" s="3177"/>
      <c r="D16" s="1303" t="s">
        <v>1076</v>
      </c>
      <c r="E16" s="1314" t="s">
        <v>1101</v>
      </c>
      <c r="F16" s="1304" t="s">
        <v>1102</v>
      </c>
      <c r="G16" s="1305" t="s">
        <v>1080</v>
      </c>
      <c r="H16" s="1311" t="s">
        <v>1095</v>
      </c>
      <c r="I16" s="1302" t="s">
        <v>1081</v>
      </c>
    </row>
    <row r="17" spans="1:9" ht="14.25">
      <c r="A17" s="3176"/>
      <c r="B17" s="3177" t="s">
        <v>1103</v>
      </c>
      <c r="C17" s="3177"/>
      <c r="D17" s="1303"/>
      <c r="E17" s="1303"/>
      <c r="F17" s="1304"/>
      <c r="G17" s="1305"/>
      <c r="H17" s="1315"/>
      <c r="I17" s="1316">
        <f>ROUND(D17*E17*F17*G17/10000,0)</f>
        <v>0</v>
      </c>
    </row>
    <row r="18" spans="1:9" ht="14.25">
      <c r="A18" s="3176"/>
      <c r="B18" s="3177" t="s">
        <v>1104</v>
      </c>
      <c r="C18" s="3177"/>
      <c r="D18" s="1303"/>
      <c r="E18" s="1303"/>
      <c r="F18" s="1304"/>
      <c r="G18" s="1305"/>
      <c r="H18" s="1315"/>
      <c r="I18" s="1316">
        <f>ROUND(D18*E18*F18*G18/10000,0)</f>
        <v>0</v>
      </c>
    </row>
    <row r="19" spans="1:9" ht="14.25">
      <c r="A19" s="3176"/>
      <c r="B19" s="3177" t="s">
        <v>1105</v>
      </c>
      <c r="C19" s="3177"/>
      <c r="D19" s="1303"/>
      <c r="E19" s="1303"/>
      <c r="F19" s="1304"/>
      <c r="G19" s="1305"/>
      <c r="H19" s="1315"/>
      <c r="I19" s="1316">
        <f>ROUND(D19*E19*F19*G19/10000,0)</f>
        <v>0</v>
      </c>
    </row>
    <row r="20" spans="1:9">
      <c r="A20" s="3176"/>
      <c r="B20" s="3178" t="s">
        <v>1089</v>
      </c>
      <c r="C20" s="3178"/>
      <c r="D20" s="1307">
        <f>SUM(D17:D19)</f>
        <v>0</v>
      </c>
      <c r="E20" s="1307"/>
      <c r="F20" s="1308"/>
      <c r="G20" s="1305"/>
      <c r="H20" s="1312"/>
      <c r="I20" s="1313">
        <f>SUM(I17:I19)</f>
        <v>0</v>
      </c>
    </row>
    <row r="21" spans="1:9">
      <c r="A21" s="3176" t="s">
        <v>1106</v>
      </c>
      <c r="B21" s="3180"/>
      <c r="C21" s="3180"/>
      <c r="D21" s="3180"/>
      <c r="E21" s="3180"/>
      <c r="F21" s="3180"/>
      <c r="G21" s="3180"/>
      <c r="H21" s="1760">
        <v>0.1</v>
      </c>
      <c r="I21" s="1310">
        <f>ROUND(I10*H21,0)</f>
        <v>0</v>
      </c>
    </row>
    <row r="22" spans="1:9" ht="14.25">
      <c r="A22" s="3181" t="s">
        <v>1107</v>
      </c>
      <c r="B22" s="3182"/>
      <c r="C22" s="3183"/>
      <c r="D22" s="1317" t="s">
        <v>1108</v>
      </c>
      <c r="E22" s="1317" t="s">
        <v>1109</v>
      </c>
      <c r="F22" s="1318" t="s">
        <v>1110</v>
      </c>
      <c r="G22" s="1318" t="s">
        <v>1111</v>
      </c>
      <c r="H22" s="1311" t="s">
        <v>1112</v>
      </c>
      <c r="I22" s="1302" t="s">
        <v>1113</v>
      </c>
    </row>
    <row r="23" spans="1:9" ht="14.25" thickBot="1">
      <c r="A23" s="3184"/>
      <c r="B23" s="3185"/>
      <c r="C23" s="3186"/>
      <c r="D23" s="1319"/>
      <c r="E23" s="1319"/>
      <c r="F23" s="1319"/>
      <c r="G23" s="1320"/>
      <c r="H23" s="1321"/>
      <c r="I23" s="1322">
        <f>ROUND(E23*D23*F23*(1-G23)/10000,0)</f>
        <v>0</v>
      </c>
    </row>
    <row r="26" spans="1:9">
      <c r="A26" s="1323" t="s">
        <v>1114</v>
      </c>
      <c r="B26" s="1323"/>
      <c r="C26" s="1323"/>
      <c r="D26" s="1323"/>
      <c r="E26" s="3187">
        <f>C27-C30-C31-C32</f>
        <v>0</v>
      </c>
      <c r="F26" s="3187"/>
      <c r="G26" s="3187"/>
      <c r="H26" s="1732" t="s">
        <v>1336</v>
      </c>
    </row>
    <row r="27" spans="1:9">
      <c r="A27" s="1324">
        <v>1</v>
      </c>
      <c r="B27" s="1325" t="s">
        <v>1115</v>
      </c>
      <c r="C27" s="1325">
        <f>C28+C29</f>
        <v>0</v>
      </c>
      <c r="D27" s="1325"/>
      <c r="E27" s="3188"/>
      <c r="F27" s="3188"/>
      <c r="G27" s="3188"/>
    </row>
    <row r="28" spans="1:9">
      <c r="A28" s="1326" t="s">
        <v>1116</v>
      </c>
      <c r="B28" s="1325" t="s">
        <v>1117</v>
      </c>
      <c r="C28" s="1325"/>
      <c r="D28" s="1325"/>
      <c r="E28" s="3188"/>
      <c r="F28" s="3188"/>
      <c r="G28" s="318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9"/>
      <c r="F32" s="3179"/>
      <c r="G32" s="3179"/>
    </row>
    <row r="33" spans="1:7" hidden="1">
      <c r="A33" s="3189" t="s">
        <v>1126</v>
      </c>
      <c r="B33" s="3190"/>
      <c r="C33" s="3190"/>
      <c r="D33" s="3191"/>
      <c r="E33" s="3187"/>
      <c r="F33" s="3187"/>
      <c r="G33" s="3187"/>
    </row>
    <row r="34" spans="1:7" hidden="1">
      <c r="A34" s="1328">
        <v>1</v>
      </c>
      <c r="B34" s="1325" t="s">
        <v>1127</v>
      </c>
      <c r="C34" s="1325"/>
      <c r="D34" s="1325"/>
      <c r="E34" s="3188"/>
      <c r="F34" s="3188"/>
      <c r="G34" s="3188"/>
    </row>
    <row r="35" spans="1:7" hidden="1">
      <c r="A35" s="1328">
        <v>2</v>
      </c>
      <c r="B35" s="1325" t="s">
        <v>1128</v>
      </c>
      <c r="C35" s="1325"/>
      <c r="D35" s="1325"/>
      <c r="E35" s="3188"/>
      <c r="F35" s="3188"/>
      <c r="G35" s="3188"/>
    </row>
    <row r="36" spans="1:7" hidden="1">
      <c r="A36" s="1328">
        <v>3</v>
      </c>
      <c r="B36" s="1325" t="s">
        <v>1129</v>
      </c>
      <c r="C36" s="1325"/>
      <c r="D36" s="1325"/>
      <c r="E36" s="3188"/>
      <c r="F36" s="3188"/>
      <c r="G36" s="3188"/>
    </row>
    <row r="37" spans="1:7" hidden="1">
      <c r="A37" s="1328">
        <v>4</v>
      </c>
      <c r="B37" s="1325" t="s">
        <v>1130</v>
      </c>
      <c r="C37" s="1325"/>
      <c r="D37" s="1325"/>
      <c r="E37" s="3188"/>
      <c r="F37" s="3188"/>
      <c r="G37" s="3188"/>
    </row>
    <row r="38" spans="1:7" hidden="1">
      <c r="A38" s="3189" t="s">
        <v>1131</v>
      </c>
      <c r="B38" s="3190"/>
      <c r="C38" s="3190"/>
      <c r="D38" s="3191"/>
      <c r="E38" s="3187"/>
      <c r="F38" s="3187"/>
      <c r="G38" s="31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2527</v>
      </c>
      <c r="C1" s="1634" t="s">
        <v>2528</v>
      </c>
      <c r="D1" s="1621"/>
      <c r="E1" s="2580"/>
      <c r="F1" s="2581" t="s">
        <v>2529</v>
      </c>
      <c r="G1" s="1631" t="s">
        <v>2530</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2532</v>
      </c>
      <c r="D3" s="399">
        <f>IF(D1="",'数据-汇总表'!E3,SUMIF('数据-汇总表'!$C19:$C33,D1,'数据-汇总表'!$E19:$E33))</f>
        <v>1141.77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2533</v>
      </c>
      <c r="B4" s="402"/>
      <c r="C4" s="3210" t="s">
        <v>2534</v>
      </c>
      <c r="D4" s="3211"/>
      <c r="E4" s="3212" t="s">
        <v>2535</v>
      </c>
      <c r="F4" s="3213"/>
      <c r="G4" s="3210" t="s">
        <v>2536</v>
      </c>
      <c r="H4" s="3211"/>
      <c r="I4" s="3210" t="s">
        <v>2537</v>
      </c>
      <c r="J4" s="3211"/>
      <c r="K4" s="2593" t="s">
        <v>2538</v>
      </c>
      <c r="L4" s="1130"/>
      <c r="M4" s="1131"/>
      <c r="N4" s="1131"/>
      <c r="O4" s="1131"/>
      <c r="P4" s="3214" t="s">
        <v>2539</v>
      </c>
      <c r="Q4" s="3215"/>
      <c r="R4" s="3197" t="s">
        <v>2535</v>
      </c>
      <c r="S4" s="3198"/>
      <c r="T4" s="3197" t="s">
        <v>2536</v>
      </c>
      <c r="U4" s="3198"/>
      <c r="V4" s="3222" t="s">
        <v>2537</v>
      </c>
      <c r="W4" s="3222"/>
      <c r="X4" s="1808"/>
      <c r="Y4" s="3197" t="s">
        <v>2539</v>
      </c>
      <c r="Z4" s="3198"/>
      <c r="AA4" s="3192" t="s">
        <v>2535</v>
      </c>
      <c r="AB4" s="3192" t="s">
        <v>2536</v>
      </c>
      <c r="AC4" s="3192" t="s">
        <v>2537</v>
      </c>
    </row>
    <row r="5" spans="1:29" ht="15">
      <c r="A5" s="404"/>
      <c r="B5" s="405"/>
      <c r="C5" s="3203" t="s">
        <v>2540</v>
      </c>
      <c r="D5" s="3204"/>
      <c r="E5" s="3201" t="s">
        <v>2541</v>
      </c>
      <c r="F5" s="3202"/>
      <c r="G5" s="3203" t="s">
        <v>2542</v>
      </c>
      <c r="H5" s="3204"/>
      <c r="I5" s="3203" t="s">
        <v>2543</v>
      </c>
      <c r="J5" s="3204"/>
      <c r="K5" s="2594"/>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05" t="s">
        <v>2544</v>
      </c>
      <c r="D6" s="3206"/>
      <c r="E6" s="3207" t="s">
        <v>2544</v>
      </c>
      <c r="F6" s="3208"/>
      <c r="G6" s="3205" t="s">
        <v>2544</v>
      </c>
      <c r="H6" s="3206"/>
      <c r="I6" s="3205" t="s">
        <v>2544</v>
      </c>
      <c r="J6" s="3206"/>
      <c r="K6" s="2594"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195" t="s">
        <v>2547</v>
      </c>
      <c r="Q7" s="3223"/>
      <c r="R7" s="770" t="s">
        <v>23</v>
      </c>
      <c r="S7" s="771">
        <f t="shared" ref="S7:S15" si="0">F7</f>
        <v>0</v>
      </c>
      <c r="T7" s="770" t="s">
        <v>23</v>
      </c>
      <c r="U7" s="771">
        <f t="shared" ref="U7:U15" si="1">H7</f>
        <v>0</v>
      </c>
      <c r="V7" s="770" t="s">
        <v>23</v>
      </c>
      <c r="W7" s="771">
        <f t="shared" ref="W7:W15" si="2">J7</f>
        <v>0</v>
      </c>
      <c r="X7" s="772"/>
      <c r="Y7" s="3195" t="s">
        <v>2547</v>
      </c>
      <c r="Z7" s="3196"/>
      <c r="AA7" s="773" t="e">
        <f>D7/F7</f>
        <v>#DIV/0!</v>
      </c>
      <c r="AB7" s="773" t="e">
        <f>D7/H7</f>
        <v>#DIV/0!</v>
      </c>
      <c r="AC7" s="773"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195" t="s">
        <v>2550</v>
      </c>
      <c r="Q8" s="3196"/>
      <c r="R8" s="770" t="s">
        <v>23</v>
      </c>
      <c r="S8" s="771">
        <f t="shared" si="0"/>
        <v>0</v>
      </c>
      <c r="T8" s="770" t="s">
        <v>23</v>
      </c>
      <c r="U8" s="771">
        <f t="shared" si="1"/>
        <v>0</v>
      </c>
      <c r="V8" s="770" t="s">
        <v>23</v>
      </c>
      <c r="W8" s="771">
        <f t="shared" si="2"/>
        <v>0</v>
      </c>
      <c r="X8" s="772"/>
      <c r="Y8" s="3195" t="s">
        <v>2550</v>
      </c>
      <c r="Z8" s="319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9"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90"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9"/>
      <c r="Q12" s="1790">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9"/>
      <c r="Q13" s="1790">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9"/>
      <c r="Q14" s="1790">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9.75">
      <c r="A15" s="440" t="s">
        <v>2557</v>
      </c>
      <c r="B15" s="69" t="s">
        <v>2082</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6" t="s">
        <v>2558</v>
      </c>
      <c r="Q15" s="1805" t="str">
        <f t="shared" si="6"/>
        <v>居住社区成熟度</v>
      </c>
      <c r="R15" s="774" t="s">
        <v>21</v>
      </c>
      <c r="S15" s="775">
        <f t="shared" si="0"/>
        <v>100</v>
      </c>
      <c r="T15" s="774" t="s">
        <v>21</v>
      </c>
      <c r="U15" s="775">
        <f t="shared" si="1"/>
        <v>100</v>
      </c>
      <c r="V15" s="774" t="s">
        <v>21</v>
      </c>
      <c r="W15" s="775">
        <f t="shared" si="2"/>
        <v>100</v>
      </c>
      <c r="X15" s="1808"/>
      <c r="Y15" s="3229" t="s">
        <v>2558</v>
      </c>
      <c r="Z15" s="1809" t="str">
        <f t="shared" si="7"/>
        <v>居住社区成熟度</v>
      </c>
      <c r="AA15" s="1806">
        <f t="shared" si="3"/>
        <v>1</v>
      </c>
      <c r="AB15" s="1806">
        <f t="shared" si="4"/>
        <v>1</v>
      </c>
      <c r="AC15" s="1806">
        <f t="shared" si="5"/>
        <v>1</v>
      </c>
    </row>
    <row r="16" spans="1:29" ht="15">
      <c r="A16" s="428"/>
      <c r="B16" s="446"/>
      <c r="C16" s="447"/>
      <c r="D16" s="448"/>
      <c r="E16" s="2601"/>
      <c r="F16" s="448"/>
      <c r="G16" s="2602"/>
      <c r="H16" s="450"/>
      <c r="I16" s="2602"/>
      <c r="J16" s="448"/>
      <c r="K16" s="2603"/>
      <c r="L16" s="1140"/>
      <c r="M16" s="1131"/>
      <c r="N16" s="1131"/>
      <c r="O16" s="1131"/>
      <c r="P16" s="3237"/>
      <c r="Q16" s="1805"/>
      <c r="R16" s="774"/>
      <c r="S16" s="775"/>
      <c r="T16" s="774"/>
      <c r="U16" s="775"/>
      <c r="V16" s="774"/>
      <c r="W16" s="775"/>
      <c r="X16" s="1808"/>
      <c r="Y16" s="3230"/>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7"/>
      <c r="Q17" s="1805" t="str">
        <f>B17</f>
        <v>交通便捷度</v>
      </c>
      <c r="R17" s="774" t="s">
        <v>21</v>
      </c>
      <c r="S17" s="775">
        <f>F17</f>
        <v>100</v>
      </c>
      <c r="T17" s="774" t="s">
        <v>21</v>
      </c>
      <c r="U17" s="775">
        <f>H17</f>
        <v>100</v>
      </c>
      <c r="V17" s="774" t="s">
        <v>21</v>
      </c>
      <c r="W17" s="775">
        <f>J17</f>
        <v>100</v>
      </c>
      <c r="X17" s="1808"/>
      <c r="Y17" s="3230"/>
      <c r="Z17" s="1809" t="str">
        <f>Q17</f>
        <v>交通便捷度</v>
      </c>
      <c r="AA17" s="1806">
        <f t="shared" si="3"/>
        <v>1</v>
      </c>
      <c r="AB17" s="1806">
        <f t="shared" si="4"/>
        <v>1</v>
      </c>
      <c r="AC17" s="1806">
        <f t="shared" si="5"/>
        <v>1</v>
      </c>
    </row>
    <row r="18" spans="1:29" ht="15">
      <c r="A18" s="428"/>
      <c r="B18" s="456"/>
      <c r="C18" s="2605"/>
      <c r="D18" s="450"/>
      <c r="E18" s="2606"/>
      <c r="F18" s="450"/>
      <c r="G18" s="2607"/>
      <c r="H18" s="448"/>
      <c r="I18" s="2607"/>
      <c r="J18" s="448"/>
      <c r="K18" s="2603"/>
      <c r="L18" s="1140"/>
      <c r="M18" s="1131"/>
      <c r="N18" s="1131"/>
      <c r="O18" s="1131"/>
      <c r="P18" s="3237"/>
      <c r="Q18" s="1805"/>
      <c r="R18" s="774"/>
      <c r="S18" s="775"/>
      <c r="T18" s="774"/>
      <c r="U18" s="775"/>
      <c r="V18" s="774"/>
      <c r="W18" s="775"/>
      <c r="X18" s="1808"/>
      <c r="Y18" s="3230"/>
      <c r="Z18" s="1809"/>
      <c r="AA18" s="1806">
        <v>1</v>
      </c>
      <c r="AB18" s="1806">
        <v>1</v>
      </c>
      <c r="AC18" s="1806">
        <v>1</v>
      </c>
    </row>
    <row r="19" spans="1:29" ht="42.75">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7"/>
      <c r="Q19" s="1805" t="str">
        <f>B19</f>
        <v>公共配套设施</v>
      </c>
      <c r="R19" s="774" t="s">
        <v>21</v>
      </c>
      <c r="S19" s="775">
        <f>F19</f>
        <v>100</v>
      </c>
      <c r="T19" s="774" t="s">
        <v>21</v>
      </c>
      <c r="U19" s="775">
        <f>H19</f>
        <v>100</v>
      </c>
      <c r="V19" s="774" t="s">
        <v>21</v>
      </c>
      <c r="W19" s="775">
        <f>J19</f>
        <v>100</v>
      </c>
      <c r="X19" s="1808"/>
      <c r="Y19" s="3230"/>
      <c r="Z19" s="1809" t="str">
        <f>Q19</f>
        <v>公共配套设施</v>
      </c>
      <c r="AA19" s="1806">
        <f t="shared" si="3"/>
        <v>1</v>
      </c>
      <c r="AB19" s="1806">
        <f t="shared" si="4"/>
        <v>1</v>
      </c>
      <c r="AC19" s="1806">
        <f t="shared" si="5"/>
        <v>1</v>
      </c>
    </row>
    <row r="20" spans="1:29" ht="15">
      <c r="A20" s="428"/>
      <c r="B20" s="456"/>
      <c r="C20" s="447"/>
      <c r="D20" s="448"/>
      <c r="E20" s="2601"/>
      <c r="F20" s="448"/>
      <c r="G20" s="2602"/>
      <c r="H20" s="448"/>
      <c r="I20" s="2602"/>
      <c r="J20" s="448"/>
      <c r="K20" s="2603"/>
      <c r="L20" s="1140"/>
      <c r="M20" s="1131"/>
      <c r="N20" s="1131"/>
      <c r="O20" s="1131"/>
      <c r="P20" s="3237"/>
      <c r="Q20" s="1805"/>
      <c r="R20" s="774"/>
      <c r="S20" s="775"/>
      <c r="T20" s="774"/>
      <c r="U20" s="775"/>
      <c r="V20" s="774"/>
      <c r="W20" s="775"/>
      <c r="X20" s="1808"/>
      <c r="Y20" s="3230"/>
      <c r="Z20" s="1809"/>
      <c r="AA20" s="1806">
        <v>1</v>
      </c>
      <c r="AB20" s="1806">
        <v>1</v>
      </c>
      <c r="AC20" s="1806">
        <v>1</v>
      </c>
    </row>
    <row r="21" spans="1:29" ht="28.5">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7"/>
      <c r="Q21" s="1805" t="str">
        <f>B21</f>
        <v>基础设施水平</v>
      </c>
      <c r="R21" s="774" t="s">
        <v>17</v>
      </c>
      <c r="S21" s="775">
        <f>F21</f>
        <v>100</v>
      </c>
      <c r="T21" s="774" t="s">
        <v>17</v>
      </c>
      <c r="U21" s="775">
        <f>H21</f>
        <v>100</v>
      </c>
      <c r="V21" s="774" t="s">
        <v>17</v>
      </c>
      <c r="W21" s="775">
        <f>J21</f>
        <v>100</v>
      </c>
      <c r="X21" s="1808"/>
      <c r="Y21" s="3230"/>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8"/>
      <c r="G22" s="2608"/>
      <c r="H22" s="448"/>
      <c r="I22" s="447"/>
      <c r="J22" s="448"/>
      <c r="K22" s="2609"/>
      <c r="L22" s="1140"/>
      <c r="M22" s="1131"/>
      <c r="N22" s="1131"/>
      <c r="O22" s="1131"/>
      <c r="P22" s="3237"/>
      <c r="Q22" s="1805"/>
      <c r="R22" s="774"/>
      <c r="S22" s="775"/>
      <c r="T22" s="774"/>
      <c r="U22" s="775"/>
      <c r="V22" s="774"/>
      <c r="W22" s="775"/>
      <c r="X22" s="1808"/>
      <c r="Y22" s="3230"/>
      <c r="Z22" s="1809"/>
      <c r="AA22" s="1806">
        <v>1</v>
      </c>
      <c r="AB22" s="1806">
        <v>1</v>
      </c>
      <c r="AC22" s="1806">
        <v>1</v>
      </c>
    </row>
    <row r="23" spans="1:29" ht="57">
      <c r="A23" s="428"/>
      <c r="B23" s="451" t="s">
        <v>2099</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7"/>
      <c r="Q23" s="1805" t="str">
        <f>B23</f>
        <v>自然及人文环境</v>
      </c>
      <c r="R23" s="774" t="s">
        <v>21</v>
      </c>
      <c r="S23" s="775">
        <f>F23</f>
        <v>100</v>
      </c>
      <c r="T23" s="774" t="s">
        <v>21</v>
      </c>
      <c r="U23" s="775">
        <f>H23</f>
        <v>100</v>
      </c>
      <c r="V23" s="774" t="s">
        <v>21</v>
      </c>
      <c r="W23" s="775">
        <f>J23</f>
        <v>100</v>
      </c>
      <c r="X23" s="1808"/>
      <c r="Y23" s="3230"/>
      <c r="Z23" s="1809" t="str">
        <f>Q23</f>
        <v>自然及人文环境</v>
      </c>
      <c r="AA23" s="1806">
        <f>D23/F23</f>
        <v>1</v>
      </c>
      <c r="AB23" s="1806">
        <f>D23/H23</f>
        <v>1</v>
      </c>
      <c r="AC23" s="1806">
        <f>D23/J23</f>
        <v>1</v>
      </c>
    </row>
    <row r="24" spans="1:29" ht="15">
      <c r="A24" s="428"/>
      <c r="B24" s="456"/>
      <c r="C24" s="447"/>
      <c r="D24" s="448"/>
      <c r="E24" s="2601"/>
      <c r="F24" s="448"/>
      <c r="G24" s="2602"/>
      <c r="H24" s="448"/>
      <c r="I24" s="2602"/>
      <c r="J24" s="448"/>
      <c r="K24" s="2603"/>
      <c r="L24" s="1140"/>
      <c r="M24" s="1131"/>
      <c r="N24" s="1131"/>
      <c r="O24" s="1131"/>
      <c r="P24" s="3237"/>
      <c r="Q24" s="1805"/>
      <c r="R24" s="774"/>
      <c r="S24" s="775"/>
      <c r="T24" s="774"/>
      <c r="U24" s="775"/>
      <c r="V24" s="774"/>
      <c r="W24" s="775"/>
      <c r="X24" s="1808"/>
      <c r="Y24" s="3230"/>
      <c r="Z24" s="1809"/>
      <c r="AA24" s="1806">
        <v>1</v>
      </c>
      <c r="AB24" s="1806">
        <v>1</v>
      </c>
      <c r="AC24" s="1806">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37"/>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30"/>
      <c r="Z25" s="1809" t="str">
        <f>Q25</f>
        <v>楼层-1</v>
      </c>
      <c r="AA25" s="1806">
        <f t="shared" ref="AA25:AA46" si="15">D25/F25</f>
        <v>1</v>
      </c>
      <c r="AB25" s="1806">
        <f t="shared" ref="AB25:AB46" si="16">D25/H25</f>
        <v>1</v>
      </c>
      <c r="AC25" s="1806">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37"/>
      <c r="Q26" s="1805" t="str">
        <f t="shared" si="11"/>
        <v>朝向</v>
      </c>
      <c r="R26" s="774" t="s">
        <v>21</v>
      </c>
      <c r="S26" s="775">
        <f t="shared" si="12"/>
        <v>100</v>
      </c>
      <c r="T26" s="774" t="s">
        <v>21</v>
      </c>
      <c r="U26" s="775">
        <f t="shared" si="13"/>
        <v>100</v>
      </c>
      <c r="V26" s="774" t="s">
        <v>21</v>
      </c>
      <c r="W26" s="775">
        <f t="shared" si="14"/>
        <v>100</v>
      </c>
      <c r="X26" s="1808"/>
      <c r="Y26" s="3230"/>
      <c r="Z26" s="1809" t="str">
        <f>Q26</f>
        <v>朝向</v>
      </c>
      <c r="AA26" s="1806">
        <f t="shared" si="15"/>
        <v>1</v>
      </c>
      <c r="AB26" s="1806">
        <f t="shared" si="16"/>
        <v>1</v>
      </c>
      <c r="AC26" s="180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37"/>
      <c r="Q27" s="1790">
        <f t="shared" si="11"/>
        <v>111</v>
      </c>
      <c r="R27" s="770" t="s">
        <v>21</v>
      </c>
      <c r="S27" s="771">
        <f t="shared" si="12"/>
        <v>100</v>
      </c>
      <c r="T27" s="770" t="s">
        <v>21</v>
      </c>
      <c r="U27" s="771">
        <f t="shared" si="13"/>
        <v>100</v>
      </c>
      <c r="V27" s="770" t="s">
        <v>21</v>
      </c>
      <c r="W27" s="771">
        <f t="shared" si="14"/>
        <v>100</v>
      </c>
      <c r="X27" s="772"/>
      <c r="Y27" s="3230"/>
      <c r="Z27" s="55">
        <f>Q27</f>
        <v>111</v>
      </c>
      <c r="AA27" s="1806">
        <f t="shared" si="15"/>
        <v>1</v>
      </c>
      <c r="AB27" s="1806">
        <f t="shared" si="16"/>
        <v>1</v>
      </c>
      <c r="AC27" s="1806">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37"/>
      <c r="Q28" s="1805">
        <f t="shared" si="11"/>
        <v>111</v>
      </c>
      <c r="R28" s="774" t="s">
        <v>21</v>
      </c>
      <c r="S28" s="775">
        <f t="shared" si="12"/>
        <v>100</v>
      </c>
      <c r="T28" s="774" t="s">
        <v>21</v>
      </c>
      <c r="U28" s="775">
        <f t="shared" si="13"/>
        <v>100</v>
      </c>
      <c r="V28" s="774" t="s">
        <v>21</v>
      </c>
      <c r="W28" s="775">
        <f t="shared" si="14"/>
        <v>100</v>
      </c>
      <c r="X28" s="1808"/>
      <c r="Y28" s="3230"/>
      <c r="Z28" s="1809">
        <f t="shared" ref="Z28:Z46" si="18">Q28</f>
        <v>111</v>
      </c>
      <c r="AA28" s="1806">
        <f t="shared" si="15"/>
        <v>1</v>
      </c>
      <c r="AB28" s="1806">
        <f t="shared" si="16"/>
        <v>1</v>
      </c>
      <c r="AC28" s="1806">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37"/>
      <c r="Q29" s="1805">
        <f t="shared" si="11"/>
        <v>111</v>
      </c>
      <c r="R29" s="774" t="s">
        <v>21</v>
      </c>
      <c r="S29" s="775">
        <f t="shared" si="12"/>
        <v>100</v>
      </c>
      <c r="T29" s="774" t="s">
        <v>21</v>
      </c>
      <c r="U29" s="775">
        <f t="shared" si="13"/>
        <v>100</v>
      </c>
      <c r="V29" s="774" t="s">
        <v>21</v>
      </c>
      <c r="W29" s="775">
        <f t="shared" si="14"/>
        <v>100</v>
      </c>
      <c r="X29" s="1808"/>
      <c r="Y29" s="3230"/>
      <c r="Z29" s="1809">
        <f t="shared" si="18"/>
        <v>111</v>
      </c>
      <c r="AA29" s="1806">
        <f t="shared" si="15"/>
        <v>1</v>
      </c>
      <c r="AB29" s="1806">
        <f t="shared" si="16"/>
        <v>1</v>
      </c>
      <c r="AC29" s="1806">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37"/>
      <c r="Q30" s="1805">
        <f t="shared" si="11"/>
        <v>111</v>
      </c>
      <c r="R30" s="774" t="s">
        <v>21</v>
      </c>
      <c r="S30" s="775">
        <f t="shared" si="12"/>
        <v>100</v>
      </c>
      <c r="T30" s="774" t="s">
        <v>21</v>
      </c>
      <c r="U30" s="775">
        <f t="shared" si="13"/>
        <v>100</v>
      </c>
      <c r="V30" s="774" t="s">
        <v>21</v>
      </c>
      <c r="W30" s="775">
        <f t="shared" si="14"/>
        <v>100</v>
      </c>
      <c r="X30" s="1808"/>
      <c r="Y30" s="3230"/>
      <c r="Z30" s="1809">
        <f t="shared" si="18"/>
        <v>111</v>
      </c>
      <c r="AA30" s="1806">
        <f t="shared" si="15"/>
        <v>1</v>
      </c>
      <c r="AB30" s="1806">
        <f t="shared" si="16"/>
        <v>1</v>
      </c>
      <c r="AC30" s="1806">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37"/>
      <c r="Q31" s="1805">
        <f t="shared" si="11"/>
        <v>111</v>
      </c>
      <c r="R31" s="774" t="s">
        <v>21</v>
      </c>
      <c r="S31" s="775">
        <f t="shared" si="12"/>
        <v>100</v>
      </c>
      <c r="T31" s="774" t="s">
        <v>21</v>
      </c>
      <c r="U31" s="775">
        <f t="shared" si="13"/>
        <v>100</v>
      </c>
      <c r="V31" s="774" t="s">
        <v>21</v>
      </c>
      <c r="W31" s="775">
        <f t="shared" si="14"/>
        <v>100</v>
      </c>
      <c r="X31" s="1808"/>
      <c r="Y31" s="3230"/>
      <c r="Z31" s="1809">
        <f t="shared" si="18"/>
        <v>111</v>
      </c>
      <c r="AA31" s="1806">
        <f t="shared" si="15"/>
        <v>1</v>
      </c>
      <c r="AB31" s="1806">
        <f t="shared" si="16"/>
        <v>1</v>
      </c>
      <c r="AC31" s="1806">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31" t="s">
        <v>2563</v>
      </c>
      <c r="Q32" s="1805" t="str">
        <f t="shared" si="11"/>
        <v>建筑类型</v>
      </c>
      <c r="R32" s="774" t="s">
        <v>21</v>
      </c>
      <c r="S32" s="775">
        <f t="shared" si="12"/>
        <v>100</v>
      </c>
      <c r="T32" s="774" t="s">
        <v>21</v>
      </c>
      <c r="U32" s="775">
        <f t="shared" si="13"/>
        <v>100</v>
      </c>
      <c r="V32" s="774" t="s">
        <v>21</v>
      </c>
      <c r="W32" s="775">
        <f t="shared" si="14"/>
        <v>100</v>
      </c>
      <c r="X32" s="1808"/>
      <c r="Y32" s="3234" t="s">
        <v>2563</v>
      </c>
      <c r="Z32" s="1809" t="str">
        <f t="shared" si="18"/>
        <v>建筑类型</v>
      </c>
      <c r="AA32" s="1806">
        <f t="shared" si="15"/>
        <v>1</v>
      </c>
      <c r="AB32" s="1806">
        <f t="shared" si="16"/>
        <v>1</v>
      </c>
      <c r="AC32" s="180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06" t="e">
        <f t="shared" si="15"/>
        <v>#N/A</v>
      </c>
      <c r="AB33" s="1806" t="e">
        <f t="shared" si="16"/>
        <v>#N/A</v>
      </c>
      <c r="AC33" s="1806"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32"/>
      <c r="Q34" s="1805" t="str">
        <f t="shared" si="11"/>
        <v>建筑结构</v>
      </c>
      <c r="R34" s="774" t="s">
        <v>21</v>
      </c>
      <c r="S34" s="775">
        <f t="shared" si="12"/>
        <v>100</v>
      </c>
      <c r="T34" s="774" t="s">
        <v>21</v>
      </c>
      <c r="U34" s="775">
        <f t="shared" si="13"/>
        <v>100</v>
      </c>
      <c r="V34" s="774" t="s">
        <v>21</v>
      </c>
      <c r="W34" s="775">
        <f t="shared" si="14"/>
        <v>100</v>
      </c>
      <c r="X34" s="1808"/>
      <c r="Y34" s="3234"/>
      <c r="Z34" s="1809" t="str">
        <f t="shared" si="18"/>
        <v>建筑结构</v>
      </c>
      <c r="AA34" s="1806">
        <f t="shared" si="15"/>
        <v>1</v>
      </c>
      <c r="AB34" s="1806">
        <f t="shared" si="16"/>
        <v>1</v>
      </c>
      <c r="AC34" s="1806">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32"/>
      <c r="Q35" s="1805" t="str">
        <f t="shared" si="11"/>
        <v>建筑品质</v>
      </c>
      <c r="R35" s="774" t="s">
        <v>21</v>
      </c>
      <c r="S35" s="775">
        <f t="shared" si="12"/>
        <v>100</v>
      </c>
      <c r="T35" s="774" t="s">
        <v>21</v>
      </c>
      <c r="U35" s="775">
        <f t="shared" si="13"/>
        <v>100</v>
      </c>
      <c r="V35" s="774" t="s">
        <v>21</v>
      </c>
      <c r="W35" s="775">
        <f t="shared" si="14"/>
        <v>100</v>
      </c>
      <c r="X35" s="1808"/>
      <c r="Y35" s="3234"/>
      <c r="Z35" s="1809" t="str">
        <f t="shared" si="18"/>
        <v>建筑品质</v>
      </c>
      <c r="AA35" s="1806">
        <f t="shared" si="15"/>
        <v>1</v>
      </c>
      <c r="AB35" s="1806">
        <f t="shared" si="16"/>
        <v>1</v>
      </c>
      <c r="AC35" s="1806">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32"/>
      <c r="Q36" s="1805" t="str">
        <f t="shared" si="11"/>
        <v>公共部分装修</v>
      </c>
      <c r="R36" s="774" t="s">
        <v>21</v>
      </c>
      <c r="S36" s="775">
        <f t="shared" si="12"/>
        <v>100</v>
      </c>
      <c r="T36" s="774" t="s">
        <v>21</v>
      </c>
      <c r="U36" s="775">
        <f t="shared" si="13"/>
        <v>100</v>
      </c>
      <c r="V36" s="774" t="s">
        <v>21</v>
      </c>
      <c r="W36" s="775">
        <f t="shared" si="14"/>
        <v>100</v>
      </c>
      <c r="X36" s="1808"/>
      <c r="Y36" s="3234"/>
      <c r="Z36" s="1809" t="str">
        <f t="shared" si="18"/>
        <v>公共部分装修</v>
      </c>
      <c r="AA36" s="1806">
        <f t="shared" si="15"/>
        <v>1</v>
      </c>
      <c r="AB36" s="1806">
        <f t="shared" si="16"/>
        <v>1</v>
      </c>
      <c r="AC36" s="180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0"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32" t="s">
        <v>2563</v>
      </c>
      <c r="Q38" s="1805" t="str">
        <f t="shared" si="11"/>
        <v>物业管理</v>
      </c>
      <c r="R38" s="774" t="s">
        <v>21</v>
      </c>
      <c r="S38" s="775">
        <f t="shared" si="12"/>
        <v>100</v>
      </c>
      <c r="T38" s="774" t="s">
        <v>21</v>
      </c>
      <c r="U38" s="775">
        <f t="shared" si="13"/>
        <v>100</v>
      </c>
      <c r="V38" s="774" t="s">
        <v>21</v>
      </c>
      <c r="W38" s="775">
        <f t="shared" si="14"/>
        <v>100</v>
      </c>
      <c r="X38" s="1808"/>
      <c r="Y38" s="3234" t="s">
        <v>2563</v>
      </c>
      <c r="Z38" s="1809" t="str">
        <f t="shared" si="18"/>
        <v>物业管理</v>
      </c>
      <c r="AA38" s="1806">
        <f t="shared" si="15"/>
        <v>1</v>
      </c>
      <c r="AB38" s="1806">
        <f t="shared" si="16"/>
        <v>1</v>
      </c>
      <c r="AC38" s="1806">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32"/>
      <c r="Q39" s="1805" t="str">
        <f t="shared" si="11"/>
        <v>市政基础设施</v>
      </c>
      <c r="R39" s="774" t="s">
        <v>21</v>
      </c>
      <c r="S39" s="775">
        <f t="shared" si="12"/>
        <v>100</v>
      </c>
      <c r="T39" s="774" t="s">
        <v>21</v>
      </c>
      <c r="U39" s="775">
        <f t="shared" si="13"/>
        <v>100</v>
      </c>
      <c r="V39" s="774" t="s">
        <v>21</v>
      </c>
      <c r="W39" s="775">
        <f t="shared" si="14"/>
        <v>100</v>
      </c>
      <c r="X39" s="1808"/>
      <c r="Y39" s="3234"/>
      <c r="Z39" s="1809" t="str">
        <f t="shared" si="18"/>
        <v>市政基础设施</v>
      </c>
      <c r="AA39" s="1806">
        <f t="shared" si="15"/>
        <v>1</v>
      </c>
      <c r="AB39" s="1806">
        <f t="shared" si="16"/>
        <v>1</v>
      </c>
      <c r="AC39" s="1806">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32"/>
      <c r="Q40" s="1805" t="str">
        <f t="shared" si="11"/>
        <v>房型</v>
      </c>
      <c r="R40" s="774" t="s">
        <v>21</v>
      </c>
      <c r="S40" s="775">
        <f t="shared" si="12"/>
        <v>100</v>
      </c>
      <c r="T40" s="774" t="s">
        <v>21</v>
      </c>
      <c r="U40" s="775">
        <f t="shared" si="13"/>
        <v>100</v>
      </c>
      <c r="V40" s="774" t="s">
        <v>21</v>
      </c>
      <c r="W40" s="775">
        <f t="shared" si="14"/>
        <v>100</v>
      </c>
      <c r="X40" s="1808"/>
      <c r="Y40" s="3234"/>
      <c r="Z40" s="1809" t="str">
        <f t="shared" si="18"/>
        <v>房型</v>
      </c>
      <c r="AA40" s="1806">
        <f t="shared" si="15"/>
        <v>1</v>
      </c>
      <c r="AB40" s="1806">
        <f t="shared" si="16"/>
        <v>1</v>
      </c>
      <c r="AC40" s="180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06">
        <f t="shared" si="15"/>
        <v>1</v>
      </c>
      <c r="AB41" s="1806">
        <f t="shared" si="16"/>
        <v>1</v>
      </c>
      <c r="AC41" s="1806">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32"/>
      <c r="Q42" s="1805" t="str">
        <f t="shared" si="11"/>
        <v>内部装修</v>
      </c>
      <c r="R42" s="774" t="s">
        <v>21</v>
      </c>
      <c r="S42" s="775">
        <f t="shared" si="12"/>
        <v>100</v>
      </c>
      <c r="T42" s="774" t="s">
        <v>21</v>
      </c>
      <c r="U42" s="775">
        <f t="shared" si="13"/>
        <v>100</v>
      </c>
      <c r="V42" s="774" t="s">
        <v>21</v>
      </c>
      <c r="W42" s="775">
        <f t="shared" si="14"/>
        <v>100</v>
      </c>
      <c r="X42" s="1808"/>
      <c r="Y42" s="3234"/>
      <c r="Z42" s="1809" t="str">
        <f t="shared" si="18"/>
        <v>内部装修</v>
      </c>
      <c r="AA42" s="1806">
        <f t="shared" si="15"/>
        <v>1</v>
      </c>
      <c r="AB42" s="1806">
        <f t="shared" si="16"/>
        <v>1</v>
      </c>
      <c r="AC42" s="1806">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32"/>
      <c r="Q43" s="1805" t="str">
        <f t="shared" si="11"/>
        <v>内部装修维护情况</v>
      </c>
      <c r="R43" s="774" t="s">
        <v>21</v>
      </c>
      <c r="S43" s="775">
        <f t="shared" si="12"/>
        <v>100</v>
      </c>
      <c r="T43" s="774" t="s">
        <v>21</v>
      </c>
      <c r="U43" s="775">
        <f t="shared" si="13"/>
        <v>100</v>
      </c>
      <c r="V43" s="774" t="s">
        <v>21</v>
      </c>
      <c r="W43" s="775">
        <f t="shared" si="14"/>
        <v>100</v>
      </c>
      <c r="X43" s="1808"/>
      <c r="Y43" s="3234"/>
      <c r="Z43" s="1809" t="str">
        <f t="shared" si="18"/>
        <v>内部装修维护情况</v>
      </c>
      <c r="AA43" s="1806">
        <f t="shared" si="15"/>
        <v>1</v>
      </c>
      <c r="AB43" s="1806">
        <f t="shared" si="16"/>
        <v>1</v>
      </c>
      <c r="AC43" s="180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32"/>
      <c r="Q44" s="1790">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32"/>
      <c r="Q45" s="1805">
        <f t="shared" si="11"/>
        <v>111</v>
      </c>
      <c r="R45" s="774" t="s">
        <v>21</v>
      </c>
      <c r="S45" s="775">
        <f t="shared" si="12"/>
        <v>100</v>
      </c>
      <c r="T45" s="774" t="s">
        <v>21</v>
      </c>
      <c r="U45" s="775">
        <f t="shared" si="13"/>
        <v>100</v>
      </c>
      <c r="V45" s="774" t="s">
        <v>21</v>
      </c>
      <c r="W45" s="775">
        <f t="shared" si="14"/>
        <v>100</v>
      </c>
      <c r="X45" s="1808"/>
      <c r="Y45" s="3234"/>
      <c r="Z45" s="1809">
        <f t="shared" si="18"/>
        <v>111</v>
      </c>
      <c r="AA45" s="1806">
        <f t="shared" si="15"/>
        <v>1</v>
      </c>
      <c r="AB45" s="1806">
        <f t="shared" si="16"/>
        <v>1</v>
      </c>
      <c r="AC45" s="180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33"/>
      <c r="Q46" s="1805">
        <f t="shared" si="11"/>
        <v>111</v>
      </c>
      <c r="R46" s="774" t="s">
        <v>20</v>
      </c>
      <c r="S46" s="775">
        <f t="shared" si="12"/>
        <v>100</v>
      </c>
      <c r="T46" s="774" t="s">
        <v>20</v>
      </c>
      <c r="U46" s="775">
        <f t="shared" si="13"/>
        <v>100</v>
      </c>
      <c r="V46" s="774" t="s">
        <v>20</v>
      </c>
      <c r="W46" s="775">
        <f t="shared" si="14"/>
        <v>100</v>
      </c>
      <c r="X46" s="1808"/>
      <c r="Y46" s="3235"/>
      <c r="Z46" s="1809">
        <f t="shared" si="18"/>
        <v>111</v>
      </c>
      <c r="AA46" s="1806">
        <f t="shared" si="15"/>
        <v>1</v>
      </c>
      <c r="AB46" s="1806">
        <f t="shared" si="16"/>
        <v>1</v>
      </c>
      <c r="AC46" s="1806">
        <f t="shared" si="17"/>
        <v>1</v>
      </c>
    </row>
    <row r="47" spans="1:29" ht="15">
      <c r="A47" s="479" t="s">
        <v>2575</v>
      </c>
      <c r="B47" s="480"/>
      <c r="C47" s="1407" t="s">
        <v>19</v>
      </c>
      <c r="D47" s="1408"/>
      <c r="E47" s="1409"/>
      <c r="F47" s="1410"/>
      <c r="G47" s="1411"/>
      <c r="H47" s="1412"/>
      <c r="I47" s="1409"/>
      <c r="J47" s="1412"/>
      <c r="K47" s="2618"/>
      <c r="L47" s="1143"/>
      <c r="M47" s="1144"/>
      <c r="N47" s="1131"/>
      <c r="O47" s="1144"/>
      <c r="P47" s="3227" t="str">
        <f>A47</f>
        <v>成交单价（元/平方米）</v>
      </c>
      <c r="Q47" s="3227"/>
      <c r="R47" s="3228">
        <f>E47</f>
        <v>0</v>
      </c>
      <c r="S47" s="3228"/>
      <c r="T47" s="3228">
        <f>G47</f>
        <v>0</v>
      </c>
      <c r="U47" s="3228"/>
      <c r="V47" s="3228">
        <f>I47</f>
        <v>0</v>
      </c>
      <c r="W47" s="3228"/>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19"/>
      <c r="L48" s="1143"/>
      <c r="M48" s="1144"/>
      <c r="N48" s="1144"/>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0"/>
      <c r="L49" s="1143"/>
      <c r="M49" s="1144"/>
      <c r="N49" s="1144"/>
      <c r="O49" s="1144"/>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3"/>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2609</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2561</v>
      </c>
      <c r="B100" s="528" t="s">
        <v>2610</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2613</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2614</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2617</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5">
        <f>ROUNDUP((J139-1)/2,0)</f>
        <v>10</v>
      </c>
      <c r="K140" s="1095">
        <v>100</v>
      </c>
    </row>
    <row r="141" spans="1:17" ht="15">
      <c r="B141" s="1090">
        <v>4</v>
      </c>
      <c r="C141" s="1091">
        <v>102</v>
      </c>
      <c r="D141" s="1091"/>
      <c r="E141" s="1092"/>
      <c r="F141" s="1093">
        <v>101.5</v>
      </c>
      <c r="G141" s="1091"/>
      <c r="H141" s="1094"/>
      <c r="I141" s="2647" t="s">
        <v>2632</v>
      </c>
      <c r="J141" s="315">
        <v>1</v>
      </c>
      <c r="K141" s="1096">
        <f>ROUND(100+(J141-J140)*K139*100,1)</f>
        <v>96.4</v>
      </c>
    </row>
    <row r="142" spans="1:17" ht="15">
      <c r="B142" s="1090">
        <v>3</v>
      </c>
      <c r="C142" s="1091">
        <v>103</v>
      </c>
      <c r="D142" s="1091"/>
      <c r="E142" s="1092"/>
      <c r="F142" s="1093">
        <v>101</v>
      </c>
      <c r="G142" s="1091"/>
      <c r="H142" s="1094"/>
      <c r="I142" s="2647" t="s">
        <v>2633</v>
      </c>
      <c r="J142" s="315">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2640</v>
      </c>
      <c r="C1" s="1634" t="s">
        <v>2528</v>
      </c>
      <c r="D1" s="1621"/>
      <c r="E1" s="2654"/>
      <c r="F1" s="2581"/>
      <c r="G1" s="1631" t="s">
        <v>2641</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2327</v>
      </c>
      <c r="B3" s="609" t="e">
        <f ca="1">IF(C2="——",C49,ROUND(B2*10000/D3,0))</f>
        <v>#DIV/0!</v>
      </c>
      <c r="C3" s="400" t="s">
        <v>2642</v>
      </c>
      <c r="D3" s="399">
        <f>IF(D1="",'数据-汇总表'!E3,SUMIF('数据-汇总表'!$C19:$C33,D1,'数据-汇总表'!$E19:$E33))</f>
        <v>1141.77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222"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222"/>
      <c r="AC5" s="3193"/>
    </row>
    <row r="6" spans="1:29"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222"/>
      <c r="AC6" s="3194"/>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5" t="s">
        <v>2547</v>
      </c>
      <c r="Q7" s="3223"/>
      <c r="R7" s="770" t="s">
        <v>17</v>
      </c>
      <c r="S7" s="771">
        <f t="shared" ref="S7:S15" si="0">F7</f>
        <v>0</v>
      </c>
      <c r="T7" s="770" t="s">
        <v>17</v>
      </c>
      <c r="U7" s="771">
        <f t="shared" ref="U7:U15" si="1">H7</f>
        <v>0</v>
      </c>
      <c r="V7" s="770" t="s">
        <v>17</v>
      </c>
      <c r="W7" s="771">
        <f t="shared" ref="W7:W15" si="2">J7</f>
        <v>0</v>
      </c>
      <c r="X7" s="772"/>
      <c r="Y7" s="3195" t="s">
        <v>2547</v>
      </c>
      <c r="Z7" s="319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9"/>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9"/>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2558</v>
      </c>
      <c r="Q15" s="1805" t="str">
        <f t="shared" si="6"/>
        <v>商业繁华度</v>
      </c>
      <c r="R15" s="774" t="s">
        <v>17</v>
      </c>
      <c r="S15" s="775">
        <f t="shared" si="0"/>
        <v>100</v>
      </c>
      <c r="T15" s="774" t="s">
        <v>17</v>
      </c>
      <c r="U15" s="775">
        <f t="shared" si="1"/>
        <v>100</v>
      </c>
      <c r="V15" s="774" t="s">
        <v>17</v>
      </c>
      <c r="W15" s="775">
        <f t="shared" si="2"/>
        <v>100</v>
      </c>
      <c r="X15" s="1808"/>
      <c r="Y15" s="3229" t="s">
        <v>2558</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1"/>
      <c r="P16" s="3237"/>
      <c r="Q16" s="1805"/>
      <c r="R16" s="774"/>
      <c r="S16" s="775"/>
      <c r="T16" s="774"/>
      <c r="U16" s="775"/>
      <c r="V16" s="774"/>
      <c r="W16" s="775"/>
      <c r="X16" s="1808"/>
      <c r="Y16" s="3230"/>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05" t="str">
        <f>B17</f>
        <v>交通便捷度</v>
      </c>
      <c r="R17" s="774" t="s">
        <v>17</v>
      </c>
      <c r="S17" s="775">
        <f>F17</f>
        <v>100</v>
      </c>
      <c r="T17" s="774" t="s">
        <v>17</v>
      </c>
      <c r="U17" s="775">
        <f>H17</f>
        <v>100</v>
      </c>
      <c r="V17" s="774" t="s">
        <v>17</v>
      </c>
      <c r="W17" s="775">
        <f>J17</f>
        <v>100</v>
      </c>
      <c r="X17" s="1808"/>
      <c r="Y17" s="3230"/>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1"/>
      <c r="P18" s="3237"/>
      <c r="Q18" s="1805"/>
      <c r="R18" s="774"/>
      <c r="S18" s="775"/>
      <c r="T18" s="774"/>
      <c r="U18" s="775"/>
      <c r="V18" s="774"/>
      <c r="W18" s="775"/>
      <c r="X18" s="1808"/>
      <c r="Y18" s="3230"/>
      <c r="Z18" s="1809"/>
      <c r="AA18" s="1806">
        <v>1</v>
      </c>
      <c r="AB18" s="1806">
        <v>1</v>
      </c>
      <c r="AC18" s="1806">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05" t="str">
        <f>B19</f>
        <v>公共配套设施</v>
      </c>
      <c r="R19" s="774" t="s">
        <v>17</v>
      </c>
      <c r="S19" s="775">
        <f>F19</f>
        <v>100</v>
      </c>
      <c r="T19" s="774" t="s">
        <v>17</v>
      </c>
      <c r="U19" s="775">
        <f>H19</f>
        <v>100</v>
      </c>
      <c r="V19" s="774" t="s">
        <v>17</v>
      </c>
      <c r="W19" s="775">
        <f>J19</f>
        <v>100</v>
      </c>
      <c r="X19" s="1808"/>
      <c r="Y19" s="3230"/>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1"/>
      <c r="P20" s="3237"/>
      <c r="Q20" s="1805"/>
      <c r="R20" s="774"/>
      <c r="S20" s="775"/>
      <c r="T20" s="774"/>
      <c r="U20" s="775"/>
      <c r="V20" s="774"/>
      <c r="W20" s="775"/>
      <c r="X20" s="1808"/>
      <c r="Y20" s="3230"/>
      <c r="Z20" s="1809"/>
      <c r="AA20" s="1806">
        <v>1</v>
      </c>
      <c r="AB20" s="1806">
        <v>1</v>
      </c>
      <c r="AC20" s="1806">
        <v>1</v>
      </c>
    </row>
    <row r="21" spans="1:29" ht="28.5">
      <c r="A21" s="428"/>
      <c r="B21" s="1384"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05" t="str">
        <f>B21</f>
        <v>基础设施水平</v>
      </c>
      <c r="R21" s="774" t="s">
        <v>17</v>
      </c>
      <c r="S21" s="775">
        <f>F21</f>
        <v>100</v>
      </c>
      <c r="T21" s="774" t="s">
        <v>17</v>
      </c>
      <c r="U21" s="775">
        <f>H21</f>
        <v>100</v>
      </c>
      <c r="V21" s="774" t="s">
        <v>17</v>
      </c>
      <c r="W21" s="775">
        <f>J21</f>
        <v>100</v>
      </c>
      <c r="X21" s="1808"/>
      <c r="Y21" s="3230"/>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1"/>
      <c r="P22" s="3237"/>
      <c r="Q22" s="1805"/>
      <c r="R22" s="774"/>
      <c r="S22" s="775"/>
      <c r="T22" s="774"/>
      <c r="U22" s="775"/>
      <c r="V22" s="774"/>
      <c r="W22" s="775"/>
      <c r="X22" s="1808"/>
      <c r="Y22" s="3230"/>
      <c r="Z22" s="1809"/>
      <c r="AA22" s="1806">
        <v>1</v>
      </c>
      <c r="AB22" s="1806">
        <v>1</v>
      </c>
      <c r="AC22" s="1806">
        <v>1</v>
      </c>
    </row>
    <row r="23" spans="1:29" ht="57">
      <c r="A23" s="428"/>
      <c r="B23" s="451" t="s">
        <v>2099</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05" t="str">
        <f>B23</f>
        <v>自然及人文环境</v>
      </c>
      <c r="R23" s="774" t="s">
        <v>17</v>
      </c>
      <c r="S23" s="775">
        <f>F23</f>
        <v>100</v>
      </c>
      <c r="T23" s="774" t="s">
        <v>17</v>
      </c>
      <c r="U23" s="775">
        <f>H23</f>
        <v>100</v>
      </c>
      <c r="V23" s="774" t="s">
        <v>17</v>
      </c>
      <c r="W23" s="775">
        <f>J23</f>
        <v>100</v>
      </c>
      <c r="X23" s="1808"/>
      <c r="Y23" s="3230"/>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40"/>
      <c r="M24" s="1131"/>
      <c r="N24" s="1131"/>
      <c r="O24" s="1131"/>
      <c r="P24" s="3237"/>
      <c r="Q24" s="1805"/>
      <c r="R24" s="774"/>
      <c r="S24" s="775"/>
      <c r="T24" s="774"/>
      <c r="U24" s="775"/>
      <c r="V24" s="774"/>
      <c r="W24" s="775"/>
      <c r="X24" s="1808"/>
      <c r="Y24" s="3230"/>
      <c r="Z24" s="1809"/>
      <c r="AA24" s="1806">
        <v>1</v>
      </c>
      <c r="AB24" s="1806">
        <v>1</v>
      </c>
      <c r="AC24" s="180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05" t="str">
        <f t="shared" ref="Q25:Q46" si="11">B25</f>
        <v>临街状况</v>
      </c>
      <c r="R25" s="774" t="s">
        <v>17</v>
      </c>
      <c r="S25" s="775">
        <f>F25</f>
        <v>100</v>
      </c>
      <c r="T25" s="774" t="s">
        <v>17</v>
      </c>
      <c r="U25" s="775">
        <f>H25</f>
        <v>100</v>
      </c>
      <c r="V25" s="774" t="s">
        <v>17</v>
      </c>
      <c r="W25" s="775">
        <f>J25</f>
        <v>100</v>
      </c>
      <c r="X25" s="1808"/>
      <c r="Y25" s="3230"/>
      <c r="Z25" s="1809" t="str">
        <f>Q25</f>
        <v>临街状况</v>
      </c>
      <c r="AA25" s="1806">
        <f t="shared" si="3"/>
        <v>1</v>
      </c>
      <c r="AB25" s="1806">
        <f t="shared" si="4"/>
        <v>1</v>
      </c>
      <c r="AC25" s="180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05" t="str">
        <f t="shared" si="11"/>
        <v>平面位置/可视性</v>
      </c>
      <c r="R26" s="774" t="s">
        <v>17</v>
      </c>
      <c r="S26" s="775">
        <f>F26</f>
        <v>100</v>
      </c>
      <c r="T26" s="774" t="s">
        <v>17</v>
      </c>
      <c r="U26" s="775">
        <f>H26</f>
        <v>100</v>
      </c>
      <c r="V26" s="774" t="s">
        <v>17</v>
      </c>
      <c r="W26" s="775">
        <f>J26</f>
        <v>100</v>
      </c>
      <c r="X26" s="1808"/>
      <c r="Y26" s="3230"/>
      <c r="Z26" s="1809" t="str">
        <f>Q26</f>
        <v>平面位置/可视性</v>
      </c>
      <c r="AA26" s="1806">
        <f t="shared" si="3"/>
        <v>1</v>
      </c>
      <c r="AB26" s="1806">
        <f t="shared" si="4"/>
        <v>1</v>
      </c>
      <c r="AC26" s="1806">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37"/>
      <c r="Q27" s="1790" t="str">
        <f t="shared" si="11"/>
        <v>人流量</v>
      </c>
      <c r="R27" s="770" t="s">
        <v>17</v>
      </c>
      <c r="S27" s="771">
        <f>F27</f>
        <v>100</v>
      </c>
      <c r="T27" s="770" t="s">
        <v>17</v>
      </c>
      <c r="U27" s="771">
        <f>H27</f>
        <v>100</v>
      </c>
      <c r="V27" s="770" t="s">
        <v>17</v>
      </c>
      <c r="W27" s="771">
        <f>J27</f>
        <v>100</v>
      </c>
      <c r="X27" s="772"/>
      <c r="Y27" s="3230"/>
      <c r="Z27" s="55" t="str">
        <f>Q27</f>
        <v>人流量</v>
      </c>
      <c r="AA27" s="1806">
        <f>D27/F27</f>
        <v>1</v>
      </c>
      <c r="AB27" s="1806">
        <f>D27/H27</f>
        <v>1</v>
      </c>
      <c r="AC27" s="180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30"/>
      <c r="Z28" s="1809" t="str">
        <f t="shared" ref="Z28:Z46" si="15">Q28</f>
        <v>楼层</v>
      </c>
      <c r="AA28" s="1806">
        <f t="shared" si="3"/>
        <v>1</v>
      </c>
      <c r="AB28" s="1806">
        <f t="shared" si="4"/>
        <v>1</v>
      </c>
      <c r="AC28" s="18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05">
        <f t="shared" si="11"/>
        <v>111</v>
      </c>
      <c r="R29" s="774" t="s">
        <v>17</v>
      </c>
      <c r="S29" s="775">
        <f t="shared" si="12"/>
        <v>100</v>
      </c>
      <c r="T29" s="774" t="s">
        <v>17</v>
      </c>
      <c r="U29" s="775">
        <f t="shared" si="13"/>
        <v>100</v>
      </c>
      <c r="V29" s="774" t="s">
        <v>17</v>
      </c>
      <c r="W29" s="775">
        <f t="shared" si="14"/>
        <v>100</v>
      </c>
      <c r="X29" s="1808"/>
      <c r="Y29" s="3230"/>
      <c r="Z29" s="1809">
        <f t="shared" si="15"/>
        <v>111</v>
      </c>
      <c r="AA29" s="1806">
        <f t="shared" si="3"/>
        <v>1</v>
      </c>
      <c r="AB29" s="1806">
        <f t="shared" si="4"/>
        <v>1</v>
      </c>
      <c r="AC29" s="18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05">
        <f t="shared" si="11"/>
        <v>111</v>
      </c>
      <c r="R30" s="774" t="s">
        <v>17</v>
      </c>
      <c r="S30" s="775">
        <f t="shared" si="12"/>
        <v>100</v>
      </c>
      <c r="T30" s="774" t="s">
        <v>17</v>
      </c>
      <c r="U30" s="775">
        <f t="shared" si="13"/>
        <v>100</v>
      </c>
      <c r="V30" s="774" t="s">
        <v>17</v>
      </c>
      <c r="W30" s="775">
        <f t="shared" si="14"/>
        <v>100</v>
      </c>
      <c r="X30" s="1808"/>
      <c r="Y30" s="3230"/>
      <c r="Z30" s="1809">
        <f t="shared" si="15"/>
        <v>111</v>
      </c>
      <c r="AA30" s="1806">
        <f t="shared" si="3"/>
        <v>1</v>
      </c>
      <c r="AB30" s="1806">
        <f t="shared" si="4"/>
        <v>1</v>
      </c>
      <c r="AC30" s="18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05">
        <f t="shared" si="11"/>
        <v>111</v>
      </c>
      <c r="R31" s="774" t="s">
        <v>17</v>
      </c>
      <c r="S31" s="775">
        <f t="shared" si="12"/>
        <v>100</v>
      </c>
      <c r="T31" s="774" t="s">
        <v>17</v>
      </c>
      <c r="U31" s="775">
        <f t="shared" si="13"/>
        <v>100</v>
      </c>
      <c r="V31" s="774" t="s">
        <v>17</v>
      </c>
      <c r="W31" s="775">
        <f t="shared" si="14"/>
        <v>100</v>
      </c>
      <c r="X31" s="1808"/>
      <c r="Y31" s="3230"/>
      <c r="Z31" s="1809">
        <f t="shared" si="15"/>
        <v>111</v>
      </c>
      <c r="AA31" s="1806">
        <f t="shared" si="3"/>
        <v>1</v>
      </c>
      <c r="AB31" s="1806">
        <f t="shared" si="4"/>
        <v>1</v>
      </c>
      <c r="AC31" s="1806">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31" t="s">
        <v>2563</v>
      </c>
      <c r="Q32" s="1805" t="str">
        <f t="shared" si="11"/>
        <v>商业类型</v>
      </c>
      <c r="R32" s="774" t="s">
        <v>17</v>
      </c>
      <c r="S32" s="775">
        <f t="shared" si="12"/>
        <v>100</v>
      </c>
      <c r="T32" s="774" t="s">
        <v>17</v>
      </c>
      <c r="U32" s="775">
        <f t="shared" si="13"/>
        <v>100</v>
      </c>
      <c r="V32" s="774" t="s">
        <v>17</v>
      </c>
      <c r="W32" s="775">
        <f t="shared" si="14"/>
        <v>100</v>
      </c>
      <c r="X32" s="1808"/>
      <c r="Y32" s="3234" t="s">
        <v>2563</v>
      </c>
      <c r="Z32" s="1809" t="str">
        <f t="shared" si="15"/>
        <v>商业类型</v>
      </c>
      <c r="AA32" s="1806">
        <f t="shared" si="3"/>
        <v>1</v>
      </c>
      <c r="AB32" s="1806">
        <f t="shared" si="4"/>
        <v>1</v>
      </c>
      <c r="AC32" s="180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06" t="e">
        <f t="shared" si="3"/>
        <v>#N/A</v>
      </c>
      <c r="AB33" s="1806" t="e">
        <f t="shared" si="4"/>
        <v>#N/A</v>
      </c>
      <c r="AC33" s="1806"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32"/>
      <c r="Q34" s="1805" t="str">
        <f t="shared" si="11"/>
        <v>建筑结构</v>
      </c>
      <c r="R34" s="774" t="s">
        <v>17</v>
      </c>
      <c r="S34" s="775">
        <f t="shared" si="12"/>
        <v>100</v>
      </c>
      <c r="T34" s="774" t="s">
        <v>17</v>
      </c>
      <c r="U34" s="775">
        <f t="shared" si="13"/>
        <v>100</v>
      </c>
      <c r="V34" s="774" t="s">
        <v>17</v>
      </c>
      <c r="W34" s="775">
        <f t="shared" si="14"/>
        <v>100</v>
      </c>
      <c r="X34" s="1808"/>
      <c r="Y34" s="3234"/>
      <c r="Z34" s="1809" t="str">
        <f t="shared" si="15"/>
        <v>建筑结构</v>
      </c>
      <c r="AA34" s="1806">
        <f t="shared" si="3"/>
        <v>1</v>
      </c>
      <c r="AB34" s="1806">
        <f t="shared" si="4"/>
        <v>1</v>
      </c>
      <c r="AC34" s="1806">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32"/>
      <c r="Q35" s="1805" t="str">
        <f t="shared" si="11"/>
        <v>公共部分装修</v>
      </c>
      <c r="R35" s="774" t="s">
        <v>17</v>
      </c>
      <c r="S35" s="775">
        <f t="shared" si="12"/>
        <v>100</v>
      </c>
      <c r="T35" s="774" t="s">
        <v>17</v>
      </c>
      <c r="U35" s="775">
        <f t="shared" si="13"/>
        <v>100</v>
      </c>
      <c r="V35" s="774" t="s">
        <v>17</v>
      </c>
      <c r="W35" s="775">
        <f t="shared" si="14"/>
        <v>100</v>
      </c>
      <c r="X35" s="1808"/>
      <c r="Y35" s="3234"/>
      <c r="Z35" s="1809" t="str">
        <f t="shared" si="15"/>
        <v>公共部分装修</v>
      </c>
      <c r="AA35" s="1806">
        <f t="shared" si="3"/>
        <v>1</v>
      </c>
      <c r="AB35" s="1806">
        <f t="shared" si="4"/>
        <v>1</v>
      </c>
      <c r="AC35" s="180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05" t="str">
        <f t="shared" si="11"/>
        <v>成新度</v>
      </c>
      <c r="R36" s="774" t="s">
        <v>17</v>
      </c>
      <c r="S36" s="775" t="e">
        <f t="shared" si="12"/>
        <v>#N/A</v>
      </c>
      <c r="T36" s="774" t="s">
        <v>17</v>
      </c>
      <c r="U36" s="775" t="e">
        <f t="shared" si="13"/>
        <v>#N/A</v>
      </c>
      <c r="V36" s="774" t="s">
        <v>17</v>
      </c>
      <c r="W36" s="775" t="e">
        <f t="shared" si="14"/>
        <v>#N/A</v>
      </c>
      <c r="X36" s="1808"/>
      <c r="Y36" s="3234"/>
      <c r="Z36" s="1809" t="str">
        <f t="shared" si="15"/>
        <v>成新度</v>
      </c>
      <c r="AA36" s="1806" t="e">
        <f t="shared" si="3"/>
        <v>#N/A</v>
      </c>
      <c r="AB36" s="1806" t="e">
        <f t="shared" si="4"/>
        <v>#N/A</v>
      </c>
      <c r="AC36" s="1806"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32"/>
      <c r="Q37" s="1790"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32" t="s">
        <v>2563</v>
      </c>
      <c r="Q38" s="1805" t="str">
        <f t="shared" si="11"/>
        <v>业态</v>
      </c>
      <c r="R38" s="774" t="s">
        <v>17</v>
      </c>
      <c r="S38" s="775">
        <f t="shared" si="12"/>
        <v>100</v>
      </c>
      <c r="T38" s="774" t="s">
        <v>17</v>
      </c>
      <c r="U38" s="775">
        <f t="shared" si="13"/>
        <v>100</v>
      </c>
      <c r="V38" s="774" t="s">
        <v>17</v>
      </c>
      <c r="W38" s="775">
        <f t="shared" si="14"/>
        <v>100</v>
      </c>
      <c r="X38" s="1808"/>
      <c r="Y38" s="3234" t="s">
        <v>2563</v>
      </c>
      <c r="Z38" s="1809" t="str">
        <f t="shared" si="15"/>
        <v>业态</v>
      </c>
      <c r="AA38" s="1806">
        <f t="shared" si="3"/>
        <v>1</v>
      </c>
      <c r="AB38" s="1806">
        <f t="shared" si="4"/>
        <v>1</v>
      </c>
      <c r="AC38" s="1806">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32"/>
      <c r="Q39" s="1805" t="str">
        <f t="shared" si="11"/>
        <v>层高</v>
      </c>
      <c r="R39" s="774" t="s">
        <v>17</v>
      </c>
      <c r="S39" s="775">
        <f t="shared" si="12"/>
        <v>100</v>
      </c>
      <c r="T39" s="774" t="s">
        <v>17</v>
      </c>
      <c r="U39" s="775">
        <f t="shared" si="13"/>
        <v>100</v>
      </c>
      <c r="V39" s="774" t="s">
        <v>17</v>
      </c>
      <c r="W39" s="775">
        <f t="shared" si="14"/>
        <v>100</v>
      </c>
      <c r="X39" s="1808"/>
      <c r="Y39" s="3234"/>
      <c r="Z39" s="1809" t="str">
        <f t="shared" si="15"/>
        <v>层高</v>
      </c>
      <c r="AA39" s="1806">
        <f t="shared" si="3"/>
        <v>1</v>
      </c>
      <c r="AB39" s="1806">
        <f t="shared" si="4"/>
        <v>1</v>
      </c>
      <c r="AC39" s="180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05" t="str">
        <f t="shared" si="11"/>
        <v>单套建筑面积</v>
      </c>
      <c r="R40" s="774" t="s">
        <v>17</v>
      </c>
      <c r="S40" s="775">
        <f t="shared" si="12"/>
        <v>100</v>
      </c>
      <c r="T40" s="774" t="s">
        <v>17</v>
      </c>
      <c r="U40" s="775">
        <f t="shared" si="13"/>
        <v>100</v>
      </c>
      <c r="V40" s="774" t="s">
        <v>17</v>
      </c>
      <c r="W40" s="775">
        <f t="shared" si="14"/>
        <v>100</v>
      </c>
      <c r="X40" s="1808"/>
      <c r="Y40" s="3234"/>
      <c r="Z40" s="1809" t="str">
        <f t="shared" si="15"/>
        <v>单套建筑面积</v>
      </c>
      <c r="AA40" s="1806">
        <f t="shared" si="3"/>
        <v>1</v>
      </c>
      <c r="AB40" s="1806">
        <f t="shared" si="4"/>
        <v>1</v>
      </c>
      <c r="AC40" s="1806">
        <f t="shared" si="5"/>
        <v>1</v>
      </c>
    </row>
    <row r="41" spans="1:29" s="471" customFormat="1" ht="15">
      <c r="A41" s="468"/>
      <c r="B41" s="180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06">
        <f t="shared" si="3"/>
        <v>1</v>
      </c>
      <c r="AB41" s="1806">
        <f t="shared" si="4"/>
        <v>1</v>
      </c>
      <c r="AC41" s="1806">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32"/>
      <c r="Q42" s="1805" t="str">
        <f t="shared" si="11"/>
        <v>内部装修</v>
      </c>
      <c r="R42" s="774" t="s">
        <v>17</v>
      </c>
      <c r="S42" s="775">
        <f t="shared" si="12"/>
        <v>100</v>
      </c>
      <c r="T42" s="774" t="s">
        <v>17</v>
      </c>
      <c r="U42" s="775">
        <f t="shared" si="13"/>
        <v>100</v>
      </c>
      <c r="V42" s="774" t="s">
        <v>17</v>
      </c>
      <c r="W42" s="775">
        <f t="shared" si="14"/>
        <v>100</v>
      </c>
      <c r="X42" s="1808"/>
      <c r="Y42" s="3234"/>
      <c r="Z42" s="1809" t="str">
        <f t="shared" si="15"/>
        <v>内部装修</v>
      </c>
      <c r="AA42" s="1806">
        <f t="shared" si="3"/>
        <v>1</v>
      </c>
      <c r="AB42" s="1806">
        <f t="shared" si="4"/>
        <v>1</v>
      </c>
      <c r="AC42" s="1806">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32"/>
      <c r="Q43" s="1805" t="str">
        <f t="shared" si="11"/>
        <v>内部装修维护情况</v>
      </c>
      <c r="R43" s="774" t="s">
        <v>17</v>
      </c>
      <c r="S43" s="775">
        <f t="shared" si="12"/>
        <v>100</v>
      </c>
      <c r="T43" s="774" t="s">
        <v>17</v>
      </c>
      <c r="U43" s="775">
        <f t="shared" si="13"/>
        <v>100</v>
      </c>
      <c r="V43" s="774" t="s">
        <v>17</v>
      </c>
      <c r="W43" s="775">
        <f t="shared" si="14"/>
        <v>100</v>
      </c>
      <c r="X43" s="1808"/>
      <c r="Y43" s="3234"/>
      <c r="Z43" s="1809" t="str">
        <f t="shared" si="15"/>
        <v>内部装修维护情况</v>
      </c>
      <c r="AA43" s="1806">
        <f t="shared" si="3"/>
        <v>1</v>
      </c>
      <c r="AB43" s="1806">
        <f t="shared" si="4"/>
        <v>1</v>
      </c>
      <c r="AC43" s="18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0">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05">
        <f t="shared" si="11"/>
        <v>111</v>
      </c>
      <c r="R45" s="774" t="s">
        <v>17</v>
      </c>
      <c r="S45" s="775">
        <f t="shared" si="12"/>
        <v>100</v>
      </c>
      <c r="T45" s="774" t="s">
        <v>17</v>
      </c>
      <c r="U45" s="775">
        <f t="shared" si="13"/>
        <v>100</v>
      </c>
      <c r="V45" s="774" t="s">
        <v>17</v>
      </c>
      <c r="W45" s="775">
        <f t="shared" si="14"/>
        <v>100</v>
      </c>
      <c r="X45" s="1808"/>
      <c r="Y45" s="3234"/>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05">
        <f t="shared" si="11"/>
        <v>111</v>
      </c>
      <c r="R46" s="774" t="s">
        <v>17</v>
      </c>
      <c r="S46" s="775">
        <f t="shared" si="12"/>
        <v>100</v>
      </c>
      <c r="T46" s="774" t="s">
        <v>17</v>
      </c>
      <c r="U46" s="775">
        <f t="shared" si="13"/>
        <v>100</v>
      </c>
      <c r="V46" s="774" t="s">
        <v>17</v>
      </c>
      <c r="W46" s="775">
        <f t="shared" si="14"/>
        <v>100</v>
      </c>
      <c r="X46" s="1808"/>
      <c r="Y46" s="3235"/>
      <c r="Z46" s="1809">
        <f t="shared" si="15"/>
        <v>111</v>
      </c>
      <c r="AA46" s="1806">
        <f t="shared" si="3"/>
        <v>1</v>
      </c>
      <c r="AB46" s="1806">
        <f t="shared" si="4"/>
        <v>1</v>
      </c>
      <c r="AC46" s="1806">
        <f t="shared" si="5"/>
        <v>1</v>
      </c>
    </row>
    <row r="47" spans="1:29" ht="15">
      <c r="A47" s="479" t="s">
        <v>2575</v>
      </c>
      <c r="B47" s="480"/>
      <c r="C47" s="1407" t="s">
        <v>1</v>
      </c>
      <c r="D47" s="1408"/>
      <c r="E47" s="1409"/>
      <c r="F47" s="1410"/>
      <c r="G47" s="1411"/>
      <c r="H47" s="1412"/>
      <c r="I47" s="1409"/>
      <c r="J47" s="1412"/>
      <c r="K47" s="783"/>
      <c r="L47" s="1143"/>
      <c r="M47" s="1144"/>
      <c r="N47" s="1131"/>
      <c r="O47" s="1144"/>
      <c r="P47" s="3227" t="str">
        <f>A47</f>
        <v>成交单价（元/平方米）</v>
      </c>
      <c r="Q47" s="3227"/>
      <c r="R47" s="3222">
        <f>E47</f>
        <v>0</v>
      </c>
      <c r="S47" s="3222"/>
      <c r="T47" s="3222">
        <f>G47</f>
        <v>0</v>
      </c>
      <c r="U47" s="3222"/>
      <c r="V47" s="3222">
        <f>I47</f>
        <v>0</v>
      </c>
      <c r="W47" s="3222"/>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2561</v>
      </c>
      <c r="B100" s="528" t="s">
        <v>2679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2614</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2680</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2681</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2682</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L52" sqref="L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3155</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1390</v>
      </c>
      <c r="B2" s="1418">
        <f>IF(C2="——",ROUND(C50*D3/10000,0),ROUND(C50*D3/10000,0)-D2)</f>
        <v>0</v>
      </c>
      <c r="C2" s="2583" t="s">
        <v>70</v>
      </c>
      <c r="D2" s="1365" t="e">
        <f ca="1">SUMIF(INDIRECT("'"&amp;F2&amp;"'"&amp;"!A:A"),"承租人权益价值",INDIRECT("'"&amp;F2&amp;"'"&amp;"!c:c"))</f>
        <v>#REF!</v>
      </c>
      <c r="E2" s="2964" t="s">
        <v>3157</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8.3000000000000007</v>
      </c>
      <c r="C3" s="400" t="s">
        <v>2532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210" t="s">
        <v>2534</v>
      </c>
      <c r="D4" s="3211"/>
      <c r="E4" s="3212" t="s">
        <v>2535</v>
      </c>
      <c r="F4" s="3213"/>
      <c r="G4" s="3210" t="s">
        <v>2536</v>
      </c>
      <c r="H4" s="3211"/>
      <c r="I4" s="3210" t="s">
        <v>2537</v>
      </c>
      <c r="J4" s="3211"/>
      <c r="K4" s="610" t="s">
        <v>2538</v>
      </c>
      <c r="L4" s="1130"/>
      <c r="M4" s="1131"/>
      <c r="N4" s="1131"/>
      <c r="O4" s="1131"/>
      <c r="P4" s="3249" t="s">
        <v>2539</v>
      </c>
      <c r="Q4" s="3250"/>
      <c r="R4" s="3243" t="s">
        <v>2535</v>
      </c>
      <c r="S4" s="3244"/>
      <c r="T4" s="3243" t="s">
        <v>2536</v>
      </c>
      <c r="U4" s="3244"/>
      <c r="V4" s="3242" t="s">
        <v>2537</v>
      </c>
      <c r="W4" s="3242"/>
      <c r="X4" s="2963"/>
      <c r="Y4" s="3243" t="s">
        <v>2539</v>
      </c>
      <c r="Z4" s="3244"/>
      <c r="AA4" s="3245" t="s">
        <v>2535</v>
      </c>
      <c r="AB4" s="3245" t="s">
        <v>2536</v>
      </c>
      <c r="AC4" s="3246" t="s">
        <v>2537</v>
      </c>
    </row>
    <row r="5" spans="1:29" ht="15">
      <c r="A5" s="404"/>
      <c r="B5" s="405"/>
      <c r="C5" s="3253" t="s">
        <v>3147</v>
      </c>
      <c r="D5" s="3204"/>
      <c r="E5" s="3254" t="s">
        <v>3152</v>
      </c>
      <c r="F5" s="3202"/>
      <c r="G5" s="3253" t="s">
        <v>3153</v>
      </c>
      <c r="H5" s="3204"/>
      <c r="I5" s="3254" t="s">
        <v>3152</v>
      </c>
      <c r="J5" s="3202"/>
      <c r="K5" s="610"/>
      <c r="L5" s="1130"/>
      <c r="M5" s="1131"/>
      <c r="N5" s="1131"/>
      <c r="O5" s="1131"/>
      <c r="P5" s="3251"/>
      <c r="Q5" s="3217"/>
      <c r="R5" s="3199"/>
      <c r="S5" s="3200"/>
      <c r="T5" s="3199"/>
      <c r="U5" s="3200"/>
      <c r="V5" s="3222"/>
      <c r="W5" s="3222"/>
      <c r="X5" s="2958"/>
      <c r="Y5" s="3199"/>
      <c r="Z5" s="3200"/>
      <c r="AA5" s="3193"/>
      <c r="AB5" s="3193"/>
      <c r="AC5" s="3247"/>
    </row>
    <row r="6" spans="1:29" ht="15.75" thickBot="1">
      <c r="A6" s="406"/>
      <c r="B6" s="407"/>
      <c r="C6" s="3255" t="s">
        <v>3104</v>
      </c>
      <c r="D6" s="3206"/>
      <c r="E6" s="3256" t="s">
        <v>3104</v>
      </c>
      <c r="F6" s="3208"/>
      <c r="G6" s="3255" t="s">
        <v>3104</v>
      </c>
      <c r="H6" s="3206"/>
      <c r="I6" s="3256" t="s">
        <v>3104</v>
      </c>
      <c r="J6" s="3208"/>
      <c r="K6" s="610" t="s">
        <v>2545</v>
      </c>
      <c r="L6" s="1130"/>
      <c r="M6" s="1131"/>
      <c r="N6" s="1131"/>
      <c r="O6" s="1131"/>
      <c r="P6" s="3252"/>
      <c r="Q6" s="3219"/>
      <c r="R6" s="3199"/>
      <c r="S6" s="3200"/>
      <c r="T6" s="3220"/>
      <c r="U6" s="3221"/>
      <c r="V6" s="3222"/>
      <c r="W6" s="3222"/>
      <c r="X6" s="2958"/>
      <c r="Y6" s="3220"/>
      <c r="Z6" s="3221"/>
      <c r="AA6" s="3194"/>
      <c r="AB6" s="3194"/>
      <c r="AC6" s="3248"/>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43586</v>
      </c>
      <c r="J7" s="411">
        <f>SUMIF(59:59,YEAR(I7)&amp;"-"&amp;MONTH(I7),60:60)</f>
        <v>100</v>
      </c>
      <c r="K7" s="611"/>
      <c r="L7" s="1132"/>
      <c r="M7" s="1133"/>
      <c r="N7" s="1133"/>
      <c r="O7" s="1133"/>
      <c r="P7" s="3241" t="s">
        <v>2547</v>
      </c>
      <c r="Q7" s="3223"/>
      <c r="R7" s="770" t="s">
        <v>17</v>
      </c>
      <c r="S7" s="771">
        <f t="shared" ref="S7:S15" si="0">F7</f>
        <v>100</v>
      </c>
      <c r="T7" s="770" t="s">
        <v>17</v>
      </c>
      <c r="U7" s="771">
        <f t="shared" ref="U7:U15" si="1">H7</f>
        <v>100</v>
      </c>
      <c r="V7" s="770" t="s">
        <v>17</v>
      </c>
      <c r="W7" s="771">
        <f t="shared" ref="W7:W15" si="2">J7</f>
        <v>100</v>
      </c>
      <c r="X7" s="772"/>
      <c r="Y7" s="3195" t="s">
        <v>2547</v>
      </c>
      <c r="Z7" s="3196"/>
      <c r="AA7" s="773">
        <f>D7/F7</f>
        <v>1</v>
      </c>
      <c r="AB7" s="773">
        <f>D7/H7</f>
        <v>1</v>
      </c>
      <c r="AC7" s="2668">
        <f>D7/J7</f>
        <v>1</v>
      </c>
    </row>
    <row r="8" spans="1:29" s="117" customFormat="1" ht="15.75" thickBot="1">
      <c r="A8" s="408" t="s">
        <v>2548</v>
      </c>
      <c r="B8" s="409"/>
      <c r="C8" s="414" t="s">
        <v>2585</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41" t="s">
        <v>2550</v>
      </c>
      <c r="Q8" s="3196"/>
      <c r="R8" s="770" t="s">
        <v>17</v>
      </c>
      <c r="S8" s="771">
        <f t="shared" si="0"/>
        <v>100</v>
      </c>
      <c r="T8" s="770" t="s">
        <v>17</v>
      </c>
      <c r="U8" s="771">
        <f t="shared" si="1"/>
        <v>100</v>
      </c>
      <c r="V8" s="770" t="s">
        <v>17</v>
      </c>
      <c r="W8" s="771">
        <f t="shared" si="2"/>
        <v>100</v>
      </c>
      <c r="X8" s="772"/>
      <c r="Y8" s="3195" t="s">
        <v>2550</v>
      </c>
      <c r="Z8" s="3196"/>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9" t="s">
        <v>2553</v>
      </c>
      <c r="Q9" s="2955" t="str">
        <f t="shared" ref="Q9:Q15" si="6">B9</f>
        <v>用途</v>
      </c>
      <c r="R9" s="770" t="s">
        <v>17</v>
      </c>
      <c r="S9" s="771">
        <f t="shared" si="0"/>
        <v>100</v>
      </c>
      <c r="T9" s="770" t="s">
        <v>17</v>
      </c>
      <c r="U9" s="771">
        <f t="shared" si="1"/>
        <v>100</v>
      </c>
      <c r="V9" s="770" t="s">
        <v>17</v>
      </c>
      <c r="W9" s="771">
        <f t="shared" si="2"/>
        <v>100</v>
      </c>
      <c r="X9" s="772"/>
      <c r="Y9" s="3042" t="s">
        <v>2554</v>
      </c>
      <c r="Z9" s="2956" t="str">
        <f t="shared" ref="Z9:Z15" si="7">Q9</f>
        <v>用途</v>
      </c>
      <c r="AA9" s="773">
        <f t="shared" si="3"/>
        <v>1</v>
      </c>
      <c r="AB9" s="773">
        <f t="shared" si="4"/>
        <v>1</v>
      </c>
      <c r="AC9" s="2668">
        <f t="shared" si="5"/>
        <v>1</v>
      </c>
    </row>
    <row r="10" spans="1:29" s="427" customFormat="1" ht="27">
      <c r="A10" s="421"/>
      <c r="B10" s="2957"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9"/>
      <c r="Q10" s="2955" t="str">
        <f t="shared" si="6"/>
        <v>土地使用年限（年）</v>
      </c>
      <c r="R10" s="770" t="s">
        <v>17</v>
      </c>
      <c r="S10" s="771">
        <f t="shared" si="0"/>
        <v>100</v>
      </c>
      <c r="T10" s="770" t="s">
        <v>17</v>
      </c>
      <c r="U10" s="771">
        <f t="shared" si="1"/>
        <v>100</v>
      </c>
      <c r="V10" s="770" t="s">
        <v>17</v>
      </c>
      <c r="W10" s="771">
        <f t="shared" si="2"/>
        <v>100</v>
      </c>
      <c r="X10" s="772"/>
      <c r="Y10" s="3042"/>
      <c r="Z10" s="2956" t="str">
        <f t="shared" si="7"/>
        <v>土地使用年限（年）</v>
      </c>
      <c r="AA10" s="773">
        <f t="shared" si="3"/>
        <v>1</v>
      </c>
      <c r="AB10" s="773">
        <f t="shared" si="4"/>
        <v>1</v>
      </c>
      <c r="AC10" s="2668">
        <f t="shared" si="5"/>
        <v>1</v>
      </c>
    </row>
    <row r="11" spans="1:29" ht="15.75" thickBot="1">
      <c r="A11" s="428"/>
      <c r="B11" s="295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9"/>
      <c r="Q11" s="2955" t="str">
        <f t="shared" si="6"/>
        <v>容积率</v>
      </c>
      <c r="R11" s="770" t="s">
        <v>17</v>
      </c>
      <c r="S11" s="771">
        <f t="shared" si="0"/>
        <v>100</v>
      </c>
      <c r="T11" s="770" t="s">
        <v>17</v>
      </c>
      <c r="U11" s="771">
        <f t="shared" si="1"/>
        <v>100</v>
      </c>
      <c r="V11" s="770" t="s">
        <v>17</v>
      </c>
      <c r="W11" s="771">
        <f t="shared" si="2"/>
        <v>100</v>
      </c>
      <c r="X11" s="772"/>
      <c r="Y11" s="3042"/>
      <c r="Z11" s="2956"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9"/>
      <c r="Q12" s="2955">
        <f t="shared" si="6"/>
        <v>111</v>
      </c>
      <c r="R12" s="770" t="s">
        <v>17</v>
      </c>
      <c r="S12" s="771">
        <f t="shared" si="0"/>
        <v>100</v>
      </c>
      <c r="T12" s="770" t="s">
        <v>17</v>
      </c>
      <c r="U12" s="771">
        <f t="shared" si="1"/>
        <v>100</v>
      </c>
      <c r="V12" s="770" t="s">
        <v>17</v>
      </c>
      <c r="W12" s="771">
        <f t="shared" si="2"/>
        <v>100</v>
      </c>
      <c r="X12" s="772"/>
      <c r="Y12" s="3042"/>
      <c r="Z12" s="2956">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9"/>
      <c r="Q13" s="2955">
        <f t="shared" si="6"/>
        <v>111</v>
      </c>
      <c r="R13" s="770" t="s">
        <v>17</v>
      </c>
      <c r="S13" s="771">
        <f t="shared" si="0"/>
        <v>100</v>
      </c>
      <c r="T13" s="770" t="s">
        <v>17</v>
      </c>
      <c r="U13" s="771">
        <f t="shared" si="1"/>
        <v>100</v>
      </c>
      <c r="V13" s="770" t="s">
        <v>17</v>
      </c>
      <c r="W13" s="771">
        <f t="shared" si="2"/>
        <v>100</v>
      </c>
      <c r="X13" s="772"/>
      <c r="Y13" s="3042"/>
      <c r="Z13" s="2956">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9"/>
      <c r="Q14" s="2955">
        <f t="shared" si="6"/>
        <v>111</v>
      </c>
      <c r="R14" s="770" t="s">
        <v>17</v>
      </c>
      <c r="S14" s="771">
        <f t="shared" si="0"/>
        <v>100</v>
      </c>
      <c r="T14" s="770" t="s">
        <v>17</v>
      </c>
      <c r="U14" s="771">
        <f t="shared" si="1"/>
        <v>100</v>
      </c>
      <c r="V14" s="770" t="s">
        <v>17</v>
      </c>
      <c r="W14" s="771">
        <f t="shared" si="2"/>
        <v>100</v>
      </c>
      <c r="X14" s="772"/>
      <c r="Y14" s="3042"/>
      <c r="Z14" s="2956">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36" t="s">
        <v>2558</v>
      </c>
      <c r="Q15" s="2961" t="str">
        <f t="shared" si="6"/>
        <v>办公集聚程度</v>
      </c>
      <c r="R15" s="774" t="s">
        <v>17</v>
      </c>
      <c r="S15" s="775">
        <f t="shared" si="0"/>
        <v>100</v>
      </c>
      <c r="T15" s="774" t="s">
        <v>17</v>
      </c>
      <c r="U15" s="775">
        <f t="shared" si="1"/>
        <v>100</v>
      </c>
      <c r="V15" s="774" t="s">
        <v>17</v>
      </c>
      <c r="W15" s="775">
        <f t="shared" si="2"/>
        <v>100</v>
      </c>
      <c r="X15" s="2958"/>
      <c r="Y15" s="3229" t="s">
        <v>2558</v>
      </c>
      <c r="Z15" s="2959" t="str">
        <f t="shared" si="7"/>
        <v>办公集聚程度</v>
      </c>
      <c r="AA15" s="2962">
        <f t="shared" si="3"/>
        <v>1</v>
      </c>
      <c r="AB15" s="2962">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37"/>
      <c r="Q16" s="2961"/>
      <c r="R16" s="774"/>
      <c r="S16" s="775"/>
      <c r="T16" s="774"/>
      <c r="U16" s="775"/>
      <c r="V16" s="774"/>
      <c r="W16" s="775"/>
      <c r="X16" s="2958"/>
      <c r="Y16" s="3230"/>
      <c r="Z16" s="2959"/>
      <c r="AA16" s="2962">
        <v>1</v>
      </c>
      <c r="AB16" s="2962">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37"/>
      <c r="Q17" s="2961" t="str">
        <f>B17</f>
        <v>交通便捷度</v>
      </c>
      <c r="R17" s="774" t="s">
        <v>17</v>
      </c>
      <c r="S17" s="775">
        <f>F17</f>
        <v>100</v>
      </c>
      <c r="T17" s="774" t="s">
        <v>17</v>
      </c>
      <c r="U17" s="775">
        <f>H17</f>
        <v>100</v>
      </c>
      <c r="V17" s="774" t="s">
        <v>17</v>
      </c>
      <c r="W17" s="775">
        <f>J17</f>
        <v>100</v>
      </c>
      <c r="X17" s="2958"/>
      <c r="Y17" s="3230"/>
      <c r="Z17" s="2959" t="str">
        <f>Q17</f>
        <v>交通便捷度</v>
      </c>
      <c r="AA17" s="2962">
        <f t="shared" si="3"/>
        <v>1</v>
      </c>
      <c r="AB17" s="2962">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37"/>
      <c r="Q18" s="2961"/>
      <c r="R18" s="774"/>
      <c r="S18" s="775"/>
      <c r="T18" s="774"/>
      <c r="U18" s="775"/>
      <c r="V18" s="774"/>
      <c r="W18" s="775"/>
      <c r="X18" s="2958"/>
      <c r="Y18" s="3230"/>
      <c r="Z18" s="2959"/>
      <c r="AA18" s="2962">
        <v>1</v>
      </c>
      <c r="AB18" s="2962">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37"/>
      <c r="Q19" s="2961" t="str">
        <f>B19</f>
        <v>公共配套设施</v>
      </c>
      <c r="R19" s="774" t="s">
        <v>17</v>
      </c>
      <c r="S19" s="775">
        <f>F19</f>
        <v>100</v>
      </c>
      <c r="T19" s="774" t="s">
        <v>17</v>
      </c>
      <c r="U19" s="775">
        <f>H19</f>
        <v>100</v>
      </c>
      <c r="V19" s="774" t="s">
        <v>17</v>
      </c>
      <c r="W19" s="775">
        <f>J19</f>
        <v>100</v>
      </c>
      <c r="X19" s="2958"/>
      <c r="Y19" s="3230"/>
      <c r="Z19" s="2959" t="str">
        <f>Q19</f>
        <v>公共配套设施</v>
      </c>
      <c r="AA19" s="2962">
        <f t="shared" si="3"/>
        <v>1</v>
      </c>
      <c r="AB19" s="2962">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37"/>
      <c r="Q20" s="2961"/>
      <c r="R20" s="774"/>
      <c r="S20" s="775"/>
      <c r="T20" s="774"/>
      <c r="U20" s="775"/>
      <c r="V20" s="774"/>
      <c r="W20" s="775"/>
      <c r="X20" s="2958"/>
      <c r="Y20" s="3230"/>
      <c r="Z20" s="2959"/>
      <c r="AA20" s="2962">
        <v>1</v>
      </c>
      <c r="AB20" s="2962">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37"/>
      <c r="Q21" s="2961" t="str">
        <f>B21</f>
        <v>基础设施水平</v>
      </c>
      <c r="R21" s="774" t="s">
        <v>17</v>
      </c>
      <c r="S21" s="775">
        <f>F21</f>
        <v>100</v>
      </c>
      <c r="T21" s="774" t="s">
        <v>17</v>
      </c>
      <c r="U21" s="775">
        <f>H21</f>
        <v>100</v>
      </c>
      <c r="V21" s="774" t="s">
        <v>17</v>
      </c>
      <c r="W21" s="775">
        <f>J21</f>
        <v>100</v>
      </c>
      <c r="X21" s="2958"/>
      <c r="Y21" s="3230"/>
      <c r="Z21" s="2959" t="str">
        <f>Q21</f>
        <v>基础设施水平</v>
      </c>
      <c r="AA21" s="2962">
        <f t="shared" ref="AA21" si="8">D21/F21</f>
        <v>1</v>
      </c>
      <c r="AB21" s="2962">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37"/>
      <c r="Q22" s="2961"/>
      <c r="R22" s="774"/>
      <c r="S22" s="775"/>
      <c r="T22" s="774"/>
      <c r="U22" s="775"/>
      <c r="V22" s="774"/>
      <c r="W22" s="775"/>
      <c r="X22" s="2958"/>
      <c r="Y22" s="3230"/>
      <c r="Z22" s="2959"/>
      <c r="AA22" s="2962">
        <v>1</v>
      </c>
      <c r="AB22" s="2962">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0"/>
      <c r="M23" s="1131"/>
      <c r="N23" s="1131"/>
      <c r="O23" s="1131"/>
      <c r="P23" s="3237"/>
      <c r="Q23" s="2961" t="str">
        <f>B23</f>
        <v>环境质量</v>
      </c>
      <c r="R23" s="774" t="s">
        <v>17</v>
      </c>
      <c r="S23" s="775">
        <f>F23</f>
        <v>100</v>
      </c>
      <c r="T23" s="774" t="s">
        <v>17</v>
      </c>
      <c r="U23" s="775">
        <f>H23</f>
        <v>100</v>
      </c>
      <c r="V23" s="774" t="s">
        <v>17</v>
      </c>
      <c r="W23" s="775">
        <f>J23</f>
        <v>100</v>
      </c>
      <c r="X23" s="2958"/>
      <c r="Y23" s="3230"/>
      <c r="Z23" s="2959" t="str">
        <f>Q23</f>
        <v>环境质量</v>
      </c>
      <c r="AA23" s="2962">
        <f t="shared" si="3"/>
        <v>1</v>
      </c>
      <c r="AB23" s="2962">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37"/>
      <c r="Q24" s="2961"/>
      <c r="R24" s="774"/>
      <c r="S24" s="775"/>
      <c r="T24" s="774"/>
      <c r="U24" s="775"/>
      <c r="V24" s="774"/>
      <c r="W24" s="775"/>
      <c r="X24" s="2958"/>
      <c r="Y24" s="3230"/>
      <c r="Z24" s="2959"/>
      <c r="AA24" s="2962">
        <v>1</v>
      </c>
      <c r="AB24" s="2962">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37"/>
      <c r="Q25" s="2961" t="str">
        <f>B25</f>
        <v>毗邻道路的类型与等级</v>
      </c>
      <c r="R25" s="774" t="s">
        <v>17</v>
      </c>
      <c r="S25" s="775">
        <f>F25</f>
        <v>100</v>
      </c>
      <c r="T25" s="774" t="s">
        <v>17</v>
      </c>
      <c r="U25" s="775">
        <f>H25</f>
        <v>100</v>
      </c>
      <c r="V25" s="774" t="s">
        <v>17</v>
      </c>
      <c r="W25" s="775">
        <f>J25</f>
        <v>100</v>
      </c>
      <c r="X25" s="2958"/>
      <c r="Y25" s="3230"/>
      <c r="Z25" s="2959" t="str">
        <f>Q25</f>
        <v>毗邻道路的类型与等级</v>
      </c>
      <c r="AA25" s="2962">
        <f t="shared" si="3"/>
        <v>1</v>
      </c>
      <c r="AB25" s="2962">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37"/>
      <c r="Q26" s="2961"/>
      <c r="R26" s="774"/>
      <c r="S26" s="775"/>
      <c r="T26" s="774"/>
      <c r="U26" s="775"/>
      <c r="V26" s="774"/>
      <c r="W26" s="775"/>
      <c r="X26" s="2958"/>
      <c r="Y26" s="3230"/>
      <c r="Z26" s="2959"/>
      <c r="AA26" s="2962">
        <v>1</v>
      </c>
      <c r="AB26" s="2962">
        <v>1</v>
      </c>
      <c r="AC26" s="2671">
        <v>1</v>
      </c>
    </row>
    <row r="27" spans="1:29" ht="15.75" thickBot="1">
      <c r="A27" s="428"/>
      <c r="B27" s="632" t="s">
        <v>2657</v>
      </c>
      <c r="C27" s="634" t="s">
        <v>3111</v>
      </c>
      <c r="D27" s="435">
        <v>100</v>
      </c>
      <c r="E27" s="2968" t="s">
        <v>3112</v>
      </c>
      <c r="F27" s="435">
        <f>SUMIF(89:89,E27,90:90)-SUMIF(89:89,C27,90:90)+100</f>
        <v>95</v>
      </c>
      <c r="G27" s="2968" t="s">
        <v>3112</v>
      </c>
      <c r="H27" s="435">
        <f>SUMIF(89:89,G27,90:90)-SUMIF(89:89,C27,90:90)+100</f>
        <v>95</v>
      </c>
      <c r="I27" s="2968" t="s">
        <v>3112</v>
      </c>
      <c r="J27" s="435">
        <f>SUMIF(89:89,I27,90:90)-SUMIF(89:89,C27,90:90)+100</f>
        <v>95</v>
      </c>
      <c r="K27" s="612">
        <v>5</v>
      </c>
      <c r="L27" s="1140"/>
      <c r="M27" s="1131"/>
      <c r="N27" s="1131"/>
      <c r="O27" s="1131"/>
      <c r="P27" s="3237"/>
      <c r="Q27" s="2961" t="str">
        <f t="shared" ref="Q27:Q47" si="11">B27</f>
        <v>楼层</v>
      </c>
      <c r="R27" s="774" t="s">
        <v>17</v>
      </c>
      <c r="S27" s="775">
        <f>F27</f>
        <v>95</v>
      </c>
      <c r="T27" s="774" t="s">
        <v>17</v>
      </c>
      <c r="U27" s="775">
        <f>H27</f>
        <v>95</v>
      </c>
      <c r="V27" s="774" t="s">
        <v>17</v>
      </c>
      <c r="W27" s="775">
        <f>J27</f>
        <v>95</v>
      </c>
      <c r="X27" s="2958"/>
      <c r="Y27" s="3230"/>
      <c r="Z27" s="2959" t="str">
        <f>Q27</f>
        <v>楼层</v>
      </c>
      <c r="AA27" s="2962">
        <f t="shared" si="3"/>
        <v>1.0526315789473684</v>
      </c>
      <c r="AB27" s="2962">
        <f t="shared" si="4"/>
        <v>1.0526315789473684</v>
      </c>
      <c r="AC27" s="2671">
        <f t="shared" si="5"/>
        <v>1.0526315789473684</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7"/>
      <c r="Q28" s="2955" t="str">
        <f t="shared" si="11"/>
        <v>朝向</v>
      </c>
      <c r="R28" s="770" t="s">
        <v>17</v>
      </c>
      <c r="S28" s="771">
        <f>F28</f>
        <v>100</v>
      </c>
      <c r="T28" s="770" t="s">
        <v>17</v>
      </c>
      <c r="U28" s="771">
        <f>H28</f>
        <v>100</v>
      </c>
      <c r="V28" s="770" t="s">
        <v>17</v>
      </c>
      <c r="W28" s="771">
        <f>J28</f>
        <v>100</v>
      </c>
      <c r="X28" s="772"/>
      <c r="Y28" s="3230"/>
      <c r="Z28" s="2956" t="str">
        <f>Q28</f>
        <v>朝向</v>
      </c>
      <c r="AA28" s="2962">
        <f>D28/F28</f>
        <v>1</v>
      </c>
      <c r="AB28" s="2962">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7"/>
      <c r="Q29" s="2961">
        <f t="shared" si="11"/>
        <v>111</v>
      </c>
      <c r="R29" s="774" t="s">
        <v>17</v>
      </c>
      <c r="S29" s="775">
        <f t="shared" ref="S29:S47" si="12">F29</f>
        <v>100</v>
      </c>
      <c r="T29" s="774" t="s">
        <v>17</v>
      </c>
      <c r="U29" s="775">
        <f t="shared" ref="U29:U47" si="13">H29</f>
        <v>100</v>
      </c>
      <c r="V29" s="774" t="s">
        <v>17</v>
      </c>
      <c r="W29" s="775">
        <f t="shared" ref="W29:W47" si="14">J29</f>
        <v>100</v>
      </c>
      <c r="X29" s="2958"/>
      <c r="Y29" s="3230"/>
      <c r="Z29" s="2959">
        <f t="shared" ref="Z29:Z47" si="15">Q29</f>
        <v>111</v>
      </c>
      <c r="AA29" s="2962">
        <f t="shared" si="3"/>
        <v>1</v>
      </c>
      <c r="AB29" s="2962">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7"/>
      <c r="Q30" s="2961">
        <f t="shared" si="11"/>
        <v>111</v>
      </c>
      <c r="R30" s="774" t="s">
        <v>17</v>
      </c>
      <c r="S30" s="775">
        <f t="shared" si="12"/>
        <v>100</v>
      </c>
      <c r="T30" s="774" t="s">
        <v>17</v>
      </c>
      <c r="U30" s="775">
        <f t="shared" si="13"/>
        <v>100</v>
      </c>
      <c r="V30" s="774" t="s">
        <v>17</v>
      </c>
      <c r="W30" s="775">
        <f t="shared" si="14"/>
        <v>100</v>
      </c>
      <c r="X30" s="2958"/>
      <c r="Y30" s="3230"/>
      <c r="Z30" s="2959">
        <f t="shared" si="15"/>
        <v>111</v>
      </c>
      <c r="AA30" s="2962">
        <f t="shared" si="3"/>
        <v>1</v>
      </c>
      <c r="AB30" s="2962">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7"/>
      <c r="Q31" s="2961">
        <f t="shared" si="11"/>
        <v>111</v>
      </c>
      <c r="R31" s="774" t="s">
        <v>17</v>
      </c>
      <c r="S31" s="775">
        <f t="shared" si="12"/>
        <v>100</v>
      </c>
      <c r="T31" s="774" t="s">
        <v>17</v>
      </c>
      <c r="U31" s="775">
        <f t="shared" si="13"/>
        <v>100</v>
      </c>
      <c r="V31" s="774" t="s">
        <v>17</v>
      </c>
      <c r="W31" s="775">
        <f t="shared" si="14"/>
        <v>100</v>
      </c>
      <c r="X31" s="2958"/>
      <c r="Y31" s="3230"/>
      <c r="Z31" s="2959">
        <f t="shared" si="15"/>
        <v>111</v>
      </c>
      <c r="AA31" s="2962">
        <f t="shared" si="3"/>
        <v>1</v>
      </c>
      <c r="AB31" s="2962">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7"/>
      <c r="Q32" s="2961">
        <f t="shared" si="11"/>
        <v>111</v>
      </c>
      <c r="R32" s="774" t="s">
        <v>17</v>
      </c>
      <c r="S32" s="775">
        <f t="shared" si="12"/>
        <v>100</v>
      </c>
      <c r="T32" s="774" t="s">
        <v>17</v>
      </c>
      <c r="U32" s="775">
        <f t="shared" si="13"/>
        <v>100</v>
      </c>
      <c r="V32" s="774" t="s">
        <v>17</v>
      </c>
      <c r="W32" s="775">
        <f t="shared" si="14"/>
        <v>100</v>
      </c>
      <c r="X32" s="2958"/>
      <c r="Y32" s="3230"/>
      <c r="Z32" s="2959">
        <f t="shared" si="15"/>
        <v>111</v>
      </c>
      <c r="AA32" s="2962">
        <f t="shared" si="3"/>
        <v>1</v>
      </c>
      <c r="AB32" s="2962">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231" t="s">
        <v>2563</v>
      </c>
      <c r="Q33" s="2961" t="str">
        <f t="shared" si="11"/>
        <v>建筑类型</v>
      </c>
      <c r="R33" s="774" t="s">
        <v>17</v>
      </c>
      <c r="S33" s="775">
        <f t="shared" si="12"/>
        <v>100</v>
      </c>
      <c r="T33" s="774" t="s">
        <v>17</v>
      </c>
      <c r="U33" s="775">
        <f t="shared" si="13"/>
        <v>100</v>
      </c>
      <c r="V33" s="774" t="s">
        <v>17</v>
      </c>
      <c r="W33" s="775">
        <f t="shared" si="14"/>
        <v>100</v>
      </c>
      <c r="X33" s="2958"/>
      <c r="Y33" s="3234" t="s">
        <v>2563</v>
      </c>
      <c r="Z33" s="2959" t="str">
        <f t="shared" si="15"/>
        <v>建筑类型</v>
      </c>
      <c r="AA33" s="2962">
        <f t="shared" si="3"/>
        <v>1</v>
      </c>
      <c r="AB33" s="2962">
        <f t="shared" si="4"/>
        <v>1</v>
      </c>
      <c r="AC33" s="2671">
        <f t="shared" si="5"/>
        <v>1</v>
      </c>
    </row>
    <row r="34" spans="1:29" s="471" customFormat="1" ht="15">
      <c r="A34" s="468"/>
      <c r="B34" s="2957" t="s">
        <v>2564</v>
      </c>
      <c r="C34" s="469">
        <f>'比较法-办公'!C34</f>
        <v>264000</v>
      </c>
      <c r="D34" s="136">
        <v>100</v>
      </c>
      <c r="E34" s="430">
        <f>C34</f>
        <v>264000</v>
      </c>
      <c r="F34" s="425">
        <f>LOOKUP(E34,104:104,105:105)-LOOKUP(C34,104:104,105:105)+100</f>
        <v>100</v>
      </c>
      <c r="G34" s="429">
        <f>C34</f>
        <v>264000</v>
      </c>
      <c r="H34" s="136">
        <f>LOOKUP(G34,104:104,105:105)-LOOKUP(C34,104:104,105:105)+100</f>
        <v>100</v>
      </c>
      <c r="I34" s="429">
        <f>C34</f>
        <v>264000</v>
      </c>
      <c r="J34" s="136">
        <f>LOOKUP(I34,104:104,105:105)-LOOKUP(C34,104:104,105:105)+100</f>
        <v>100</v>
      </c>
      <c r="K34" s="613"/>
      <c r="L34" s="1138"/>
      <c r="M34" s="1141"/>
      <c r="N34" s="1141"/>
      <c r="O34" s="1141"/>
      <c r="P34" s="3232"/>
      <c r="Q34" s="776" t="str">
        <f t="shared" si="11"/>
        <v>项目建筑规模</v>
      </c>
      <c r="R34" s="777" t="s">
        <v>17</v>
      </c>
      <c r="S34" s="778">
        <f t="shared" si="12"/>
        <v>100</v>
      </c>
      <c r="T34" s="777" t="s">
        <v>17</v>
      </c>
      <c r="U34" s="778">
        <f t="shared" si="13"/>
        <v>100</v>
      </c>
      <c r="V34" s="777" t="s">
        <v>17</v>
      </c>
      <c r="W34" s="778">
        <f t="shared" si="14"/>
        <v>100</v>
      </c>
      <c r="X34" s="779"/>
      <c r="Y34" s="3234"/>
      <c r="Z34" s="780" t="str">
        <f t="shared" si="15"/>
        <v>项目建筑规模</v>
      </c>
      <c r="AA34" s="2962">
        <f t="shared" si="3"/>
        <v>1</v>
      </c>
      <c r="AB34" s="2962">
        <f t="shared" si="4"/>
        <v>1</v>
      </c>
      <c r="AC34" s="2671">
        <f t="shared" si="5"/>
        <v>1</v>
      </c>
    </row>
    <row r="35" spans="1:29" ht="15">
      <c r="A35" s="472"/>
      <c r="B35" s="2957"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32"/>
      <c r="Q35" s="2961" t="str">
        <f t="shared" si="11"/>
        <v>建筑结构</v>
      </c>
      <c r="R35" s="774" t="s">
        <v>17</v>
      </c>
      <c r="S35" s="775">
        <f t="shared" si="12"/>
        <v>100</v>
      </c>
      <c r="T35" s="774" t="s">
        <v>17</v>
      </c>
      <c r="U35" s="775">
        <f t="shared" si="13"/>
        <v>100</v>
      </c>
      <c r="V35" s="774" t="s">
        <v>17</v>
      </c>
      <c r="W35" s="775">
        <f t="shared" si="14"/>
        <v>100</v>
      </c>
      <c r="X35" s="2958"/>
      <c r="Y35" s="3234"/>
      <c r="Z35" s="2959" t="str">
        <f t="shared" si="15"/>
        <v>建筑结构</v>
      </c>
      <c r="AA35" s="2962">
        <f t="shared" si="3"/>
        <v>1</v>
      </c>
      <c r="AB35" s="2962">
        <f t="shared" si="4"/>
        <v>1</v>
      </c>
      <c r="AC35" s="2671">
        <f t="shared" si="5"/>
        <v>1</v>
      </c>
    </row>
    <row r="36" spans="1:29" ht="15">
      <c r="A36" s="472"/>
      <c r="B36" s="2957"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32"/>
      <c r="Q36" s="2961" t="str">
        <f t="shared" si="11"/>
        <v>公共部分装修</v>
      </c>
      <c r="R36" s="774" t="s">
        <v>17</v>
      </c>
      <c r="S36" s="775">
        <f t="shared" si="12"/>
        <v>100</v>
      </c>
      <c r="T36" s="774" t="s">
        <v>17</v>
      </c>
      <c r="U36" s="775">
        <f t="shared" si="13"/>
        <v>100</v>
      </c>
      <c r="V36" s="774" t="s">
        <v>17</v>
      </c>
      <c r="W36" s="775">
        <f t="shared" si="14"/>
        <v>100</v>
      </c>
      <c r="X36" s="2958"/>
      <c r="Y36" s="3234"/>
      <c r="Z36" s="2959" t="str">
        <f t="shared" si="15"/>
        <v>公共部分装修</v>
      </c>
      <c r="AA36" s="2962">
        <f t="shared" si="3"/>
        <v>1</v>
      </c>
      <c r="AB36" s="2962">
        <f t="shared" si="4"/>
        <v>1</v>
      </c>
      <c r="AC36" s="2671">
        <f t="shared" si="5"/>
        <v>1</v>
      </c>
    </row>
    <row r="37" spans="1:29" ht="15">
      <c r="A37" s="472"/>
      <c r="B37" s="2957" t="s">
        <v>2660</v>
      </c>
      <c r="C37" s="474">
        <v>0.76</v>
      </c>
      <c r="D37" s="435">
        <v>100</v>
      </c>
      <c r="E37" s="474">
        <v>0.76</v>
      </c>
      <c r="F37" s="461">
        <f>LOOKUP(E37,111:111,112:112)-LOOKUP(C37,111:111,112:112)+100</f>
        <v>100</v>
      </c>
      <c r="G37" s="474">
        <v>0.8</v>
      </c>
      <c r="H37" s="461">
        <f>LOOKUP(G37,111:111,112:112)-LOOKUP(C37,111:111,112:112)+100</f>
        <v>102</v>
      </c>
      <c r="I37" s="474">
        <v>0.76</v>
      </c>
      <c r="J37" s="435">
        <f>LOOKUP(I37,111:111,112:112)-LOOKUP(C37,111:111,112:112)+100</f>
        <v>100</v>
      </c>
      <c r="K37" s="612">
        <v>2</v>
      </c>
      <c r="L37" s="1140"/>
      <c r="M37" s="1131"/>
      <c r="N37" s="1131"/>
      <c r="O37" s="1131"/>
      <c r="P37" s="3232"/>
      <c r="Q37" s="2961" t="str">
        <f t="shared" si="11"/>
        <v>成新度</v>
      </c>
      <c r="R37" s="774" t="s">
        <v>17</v>
      </c>
      <c r="S37" s="775">
        <f t="shared" si="12"/>
        <v>100</v>
      </c>
      <c r="T37" s="774" t="s">
        <v>17</v>
      </c>
      <c r="U37" s="775">
        <f t="shared" si="13"/>
        <v>102</v>
      </c>
      <c r="V37" s="774" t="s">
        <v>17</v>
      </c>
      <c r="W37" s="775">
        <f t="shared" si="14"/>
        <v>100</v>
      </c>
      <c r="X37" s="2958"/>
      <c r="Y37" s="3234"/>
      <c r="Z37" s="2959" t="str">
        <f t="shared" si="15"/>
        <v>成新度</v>
      </c>
      <c r="AA37" s="2962">
        <f t="shared" si="3"/>
        <v>1</v>
      </c>
      <c r="AB37" s="2962">
        <f t="shared" si="4"/>
        <v>0.98039215686274506</v>
      </c>
      <c r="AC37" s="2671">
        <f t="shared" si="5"/>
        <v>1</v>
      </c>
    </row>
    <row r="38" spans="1:29" s="117" customFormat="1" ht="15">
      <c r="A38" s="473"/>
      <c r="B38" s="2957"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32"/>
      <c r="Q38" s="2955" t="str">
        <f t="shared" si="11"/>
        <v>写字楼等级</v>
      </c>
      <c r="R38" s="770" t="s">
        <v>17</v>
      </c>
      <c r="S38" s="771">
        <f t="shared" si="12"/>
        <v>100</v>
      </c>
      <c r="T38" s="770" t="s">
        <v>17</v>
      </c>
      <c r="U38" s="771">
        <f t="shared" si="13"/>
        <v>100</v>
      </c>
      <c r="V38" s="770" t="s">
        <v>17</v>
      </c>
      <c r="W38" s="771">
        <f t="shared" si="14"/>
        <v>100</v>
      </c>
      <c r="X38" s="772"/>
      <c r="Y38" s="3234"/>
      <c r="Z38" s="2956" t="str">
        <f t="shared" si="15"/>
        <v>写字楼等级</v>
      </c>
      <c r="AA38" s="773">
        <f t="shared" si="3"/>
        <v>1</v>
      </c>
      <c r="AB38" s="773">
        <f t="shared" si="4"/>
        <v>1</v>
      </c>
      <c r="AC38" s="2668">
        <f t="shared" si="5"/>
        <v>1</v>
      </c>
    </row>
    <row r="39" spans="1:29" ht="15">
      <c r="A39" s="472"/>
      <c r="B39" s="2957"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32" t="s">
        <v>2563</v>
      </c>
      <c r="Q39" s="2961" t="str">
        <f t="shared" si="11"/>
        <v>物业管理</v>
      </c>
      <c r="R39" s="774" t="s">
        <v>17</v>
      </c>
      <c r="S39" s="775">
        <f t="shared" si="12"/>
        <v>100</v>
      </c>
      <c r="T39" s="774" t="s">
        <v>17</v>
      </c>
      <c r="U39" s="775">
        <f t="shared" si="13"/>
        <v>100</v>
      </c>
      <c r="V39" s="774" t="s">
        <v>17</v>
      </c>
      <c r="W39" s="775">
        <f t="shared" si="14"/>
        <v>100</v>
      </c>
      <c r="X39" s="2958"/>
      <c r="Y39" s="3234" t="s">
        <v>2563</v>
      </c>
      <c r="Z39" s="2959" t="str">
        <f t="shared" si="15"/>
        <v>物业管理</v>
      </c>
      <c r="AA39" s="2962">
        <f t="shared" si="3"/>
        <v>1</v>
      </c>
      <c r="AB39" s="2962">
        <f t="shared" si="4"/>
        <v>1</v>
      </c>
      <c r="AC39" s="2671">
        <f t="shared" si="5"/>
        <v>1</v>
      </c>
    </row>
    <row r="40" spans="1:29" ht="15">
      <c r="A40" s="472"/>
      <c r="B40" s="2957"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32"/>
      <c r="Q40" s="2961" t="str">
        <f t="shared" si="11"/>
        <v>市政基础设施</v>
      </c>
      <c r="R40" s="774" t="s">
        <v>17</v>
      </c>
      <c r="S40" s="775">
        <f t="shared" si="12"/>
        <v>100</v>
      </c>
      <c r="T40" s="774" t="s">
        <v>17</v>
      </c>
      <c r="U40" s="775">
        <f t="shared" si="13"/>
        <v>100</v>
      </c>
      <c r="V40" s="774" t="s">
        <v>17</v>
      </c>
      <c r="W40" s="775">
        <f t="shared" si="14"/>
        <v>100</v>
      </c>
      <c r="X40" s="2958"/>
      <c r="Y40" s="3234"/>
      <c r="Z40" s="2959" t="str">
        <f t="shared" si="15"/>
        <v>市政基础设施</v>
      </c>
      <c r="AA40" s="2962">
        <f t="shared" si="3"/>
        <v>1</v>
      </c>
      <c r="AB40" s="2962">
        <f t="shared" si="4"/>
        <v>1</v>
      </c>
      <c r="AC40" s="2671">
        <f t="shared" si="5"/>
        <v>1</v>
      </c>
    </row>
    <row r="41" spans="1:29" ht="15">
      <c r="A41" s="472"/>
      <c r="B41" s="2957"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32"/>
      <c r="Q41" s="2961" t="str">
        <f t="shared" si="11"/>
        <v>层高</v>
      </c>
      <c r="R41" s="774" t="s">
        <v>17</v>
      </c>
      <c r="S41" s="775">
        <f t="shared" si="12"/>
        <v>100</v>
      </c>
      <c r="T41" s="774" t="s">
        <v>17</v>
      </c>
      <c r="U41" s="775">
        <f t="shared" si="13"/>
        <v>100</v>
      </c>
      <c r="V41" s="774" t="s">
        <v>17</v>
      </c>
      <c r="W41" s="775">
        <f t="shared" si="14"/>
        <v>100</v>
      </c>
      <c r="X41" s="2958"/>
      <c r="Y41" s="3234"/>
      <c r="Z41" s="2959" t="str">
        <f t="shared" si="15"/>
        <v>层高</v>
      </c>
      <c r="AA41" s="2962">
        <f t="shared" si="3"/>
        <v>1</v>
      </c>
      <c r="AB41" s="2962">
        <f t="shared" si="4"/>
        <v>1</v>
      </c>
      <c r="AC41" s="2671">
        <f t="shared" si="5"/>
        <v>1</v>
      </c>
    </row>
    <row r="42" spans="1:29" s="471" customFormat="1" ht="15">
      <c r="A42" s="468"/>
      <c r="B42" s="2960" t="s">
        <v>2694</v>
      </c>
      <c r="C42" s="434" t="s">
        <v>3121</v>
      </c>
      <c r="D42" s="435">
        <v>100</v>
      </c>
      <c r="E42" s="2968" t="s">
        <v>3162</v>
      </c>
      <c r="F42" s="461">
        <f>SUMIF(121:121,E42,122:122)-SUMIF(121:121,C42,122:122)+100</f>
        <v>106</v>
      </c>
      <c r="G42" s="2968" t="s">
        <v>3167</v>
      </c>
      <c r="H42" s="435">
        <f>SUMIF(121:121,G42,122:122)-SUMIF(121:121,C42,122:122)+100</f>
        <v>104</v>
      </c>
      <c r="I42" s="2968" t="s">
        <v>3165</v>
      </c>
      <c r="J42" s="435">
        <f>SUMIF(121:121,I42,122:122)-SUMIF(121:121,C42,122:122)+100</f>
        <v>98</v>
      </c>
      <c r="K42" s="613"/>
      <c r="L42" s="1138"/>
      <c r="M42" s="1141"/>
      <c r="N42" s="1141"/>
      <c r="O42" s="1141"/>
      <c r="P42" s="3232"/>
      <c r="Q42" s="776" t="str">
        <f t="shared" si="11"/>
        <v>单套建筑面积</v>
      </c>
      <c r="R42" s="777" t="s">
        <v>17</v>
      </c>
      <c r="S42" s="778">
        <f t="shared" si="12"/>
        <v>106</v>
      </c>
      <c r="T42" s="777" t="s">
        <v>17</v>
      </c>
      <c r="U42" s="778">
        <f t="shared" si="13"/>
        <v>104</v>
      </c>
      <c r="V42" s="777" t="s">
        <v>17</v>
      </c>
      <c r="W42" s="778">
        <f t="shared" si="14"/>
        <v>98</v>
      </c>
      <c r="X42" s="779"/>
      <c r="Y42" s="3234"/>
      <c r="Z42" s="780" t="str">
        <f t="shared" si="15"/>
        <v>单套建筑面积</v>
      </c>
      <c r="AA42" s="2962">
        <f t="shared" si="3"/>
        <v>0.94339622641509435</v>
      </c>
      <c r="AB42" s="2962">
        <f t="shared" si="4"/>
        <v>0.96153846153846156</v>
      </c>
      <c r="AC42" s="2671">
        <f t="shared" si="5"/>
        <v>1.0204081632653061</v>
      </c>
    </row>
    <row r="43" spans="1:29" ht="15">
      <c r="A43" s="472"/>
      <c r="B43" s="2957" t="s">
        <v>2666</v>
      </c>
      <c r="C43" s="460" t="s">
        <v>3125</v>
      </c>
      <c r="D43" s="435">
        <v>100</v>
      </c>
      <c r="E43" s="460" t="s">
        <v>3125</v>
      </c>
      <c r="F43" s="461">
        <f>SUMIF(123:123,E43,124:124)-SUMIF(123:123,C43,124:124)+100</f>
        <v>100</v>
      </c>
      <c r="G43" s="460" t="s">
        <v>3127</v>
      </c>
      <c r="H43" s="435">
        <f>SUMIF(123:123,G43,124:124)-SUMIF(123:123,C43,124:124)+100</f>
        <v>97</v>
      </c>
      <c r="I43" s="460" t="s">
        <v>3127</v>
      </c>
      <c r="J43" s="435">
        <f>SUMIF(123:123,I43,124:124)-SUMIF(123:123,C43,124:124)+100</f>
        <v>97</v>
      </c>
      <c r="K43" s="612">
        <v>3</v>
      </c>
      <c r="L43" s="1140"/>
      <c r="M43" s="1131"/>
      <c r="N43" s="1131"/>
      <c r="O43" s="1131"/>
      <c r="P43" s="3232"/>
      <c r="Q43" s="2961" t="str">
        <f t="shared" si="11"/>
        <v>内部装修</v>
      </c>
      <c r="R43" s="774" t="s">
        <v>17</v>
      </c>
      <c r="S43" s="775">
        <f t="shared" si="12"/>
        <v>100</v>
      </c>
      <c r="T43" s="774" t="s">
        <v>17</v>
      </c>
      <c r="U43" s="775">
        <f t="shared" si="13"/>
        <v>97</v>
      </c>
      <c r="V43" s="774" t="s">
        <v>17</v>
      </c>
      <c r="W43" s="775">
        <f t="shared" si="14"/>
        <v>97</v>
      </c>
      <c r="X43" s="2958"/>
      <c r="Y43" s="3234"/>
      <c r="Z43" s="2959" t="str">
        <f t="shared" si="15"/>
        <v>内部装修</v>
      </c>
      <c r="AA43" s="2962">
        <f t="shared" si="3"/>
        <v>1</v>
      </c>
      <c r="AB43" s="2962">
        <f t="shared" si="4"/>
        <v>1.0309278350515463</v>
      </c>
      <c r="AC43" s="2671">
        <f t="shared" si="5"/>
        <v>1.0309278350515463</v>
      </c>
    </row>
    <row r="44" spans="1:29" ht="15">
      <c r="A44" s="472"/>
      <c r="B44" s="2957"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32"/>
      <c r="Q44" s="2961" t="str">
        <f t="shared" si="11"/>
        <v>内部装修维护情况</v>
      </c>
      <c r="R44" s="774" t="s">
        <v>17</v>
      </c>
      <c r="S44" s="775">
        <f t="shared" si="12"/>
        <v>100</v>
      </c>
      <c r="T44" s="774" t="s">
        <v>17</v>
      </c>
      <c r="U44" s="775">
        <f t="shared" si="13"/>
        <v>100</v>
      </c>
      <c r="V44" s="774" t="s">
        <v>17</v>
      </c>
      <c r="W44" s="775">
        <f t="shared" si="14"/>
        <v>100</v>
      </c>
      <c r="X44" s="2958"/>
      <c r="Y44" s="3234"/>
      <c r="Z44" s="2959" t="str">
        <f t="shared" si="15"/>
        <v>内部装修维护情况</v>
      </c>
      <c r="AA44" s="2962">
        <f t="shared" si="3"/>
        <v>1</v>
      </c>
      <c r="AB44" s="2962">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2955">
        <f t="shared" si="11"/>
        <v>111</v>
      </c>
      <c r="R45" s="770" t="s">
        <v>17</v>
      </c>
      <c r="S45" s="771">
        <f t="shared" si="12"/>
        <v>100</v>
      </c>
      <c r="T45" s="770" t="s">
        <v>17</v>
      </c>
      <c r="U45" s="771">
        <f t="shared" si="13"/>
        <v>100</v>
      </c>
      <c r="V45" s="770" t="s">
        <v>17</v>
      </c>
      <c r="W45" s="771">
        <f t="shared" si="14"/>
        <v>100</v>
      </c>
      <c r="X45" s="772"/>
      <c r="Y45" s="3234"/>
      <c r="Z45" s="2956">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2961">
        <f t="shared" si="11"/>
        <v>111</v>
      </c>
      <c r="R46" s="774" t="s">
        <v>17</v>
      </c>
      <c r="S46" s="775">
        <f t="shared" si="12"/>
        <v>100</v>
      </c>
      <c r="T46" s="774" t="s">
        <v>17</v>
      </c>
      <c r="U46" s="775">
        <f t="shared" si="13"/>
        <v>100</v>
      </c>
      <c r="V46" s="774" t="s">
        <v>17</v>
      </c>
      <c r="W46" s="775">
        <f t="shared" si="14"/>
        <v>100</v>
      </c>
      <c r="X46" s="2958"/>
      <c r="Y46" s="3234"/>
      <c r="Z46" s="2959">
        <f t="shared" si="15"/>
        <v>111</v>
      </c>
      <c r="AA46" s="2962">
        <f t="shared" si="3"/>
        <v>1</v>
      </c>
      <c r="AB46" s="296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2961">
        <f t="shared" si="11"/>
        <v>111</v>
      </c>
      <c r="R47" s="774" t="s">
        <v>17</v>
      </c>
      <c r="S47" s="775">
        <f t="shared" si="12"/>
        <v>100</v>
      </c>
      <c r="T47" s="774" t="s">
        <v>17</v>
      </c>
      <c r="U47" s="775">
        <f t="shared" si="13"/>
        <v>100</v>
      </c>
      <c r="V47" s="774" t="s">
        <v>17</v>
      </c>
      <c r="W47" s="775">
        <f t="shared" si="14"/>
        <v>100</v>
      </c>
      <c r="X47" s="2958"/>
      <c r="Y47" s="3235"/>
      <c r="Z47" s="2959">
        <f t="shared" si="15"/>
        <v>111</v>
      </c>
      <c r="AA47" s="2962">
        <f t="shared" si="3"/>
        <v>1</v>
      </c>
      <c r="AB47" s="2962">
        <f t="shared" si="4"/>
        <v>1</v>
      </c>
      <c r="AC47" s="2671">
        <f t="shared" si="5"/>
        <v>1</v>
      </c>
    </row>
    <row r="48" spans="1:29" ht="15">
      <c r="A48" s="479" t="s">
        <v>2575</v>
      </c>
      <c r="B48" s="480"/>
      <c r="C48" s="1407" t="s">
        <v>1</v>
      </c>
      <c r="D48" s="1408"/>
      <c r="E48" s="1409">
        <v>7.5</v>
      </c>
      <c r="F48" s="1410"/>
      <c r="G48" s="1411">
        <v>8.5</v>
      </c>
      <c r="H48" s="1412"/>
      <c r="I48" s="1409">
        <v>8</v>
      </c>
      <c r="J48" s="485"/>
      <c r="K48" s="783"/>
      <c r="L48" s="1143"/>
      <c r="M48" s="1131"/>
      <c r="N48" s="1131"/>
      <c r="O48" s="1131"/>
      <c r="P48" s="3209" t="str">
        <f>A48</f>
        <v>成交单价（元/平方米）</v>
      </c>
      <c r="Q48" s="3227"/>
      <c r="R48" s="3228">
        <f>E48</f>
        <v>7.5</v>
      </c>
      <c r="S48" s="3228"/>
      <c r="T48" s="3228">
        <f>G48</f>
        <v>8.5</v>
      </c>
      <c r="U48" s="3228"/>
      <c r="V48" s="3228">
        <f>I48</f>
        <v>8</v>
      </c>
      <c r="W48" s="3228"/>
      <c r="X48" s="446"/>
      <c r="Y48" s="781"/>
      <c r="Z48" s="446"/>
      <c r="AA48" s="446"/>
      <c r="AB48" s="446"/>
      <c r="AC48" s="630"/>
    </row>
    <row r="49" spans="1:29" ht="15.75" thickBot="1">
      <c r="A49" s="486" t="s">
        <v>2576</v>
      </c>
      <c r="B49" s="487"/>
      <c r="C49" s="1413">
        <f>R50</f>
        <v>8.3000000000000007</v>
      </c>
      <c r="D49" s="1414"/>
      <c r="E49" s="1415">
        <f>R49</f>
        <v>7.4</v>
      </c>
      <c r="F49" s="1415"/>
      <c r="G49" s="1413">
        <f>T49</f>
        <v>8.6999999999999993</v>
      </c>
      <c r="H49" s="1414"/>
      <c r="I49" s="1415">
        <f>V49</f>
        <v>8.9</v>
      </c>
      <c r="J49" s="489"/>
      <c r="K49" s="784"/>
      <c r="L49" s="1143"/>
      <c r="M49" s="1131"/>
      <c r="N49" s="1131"/>
      <c r="O49" s="1131"/>
      <c r="P49" s="3209" t="str">
        <f>A49</f>
        <v>比较价值（元/平方米）</v>
      </c>
      <c r="Q49" s="3227"/>
      <c r="R49" s="3228">
        <f>IF(F1="售价",ROUND(PRODUCT(R48,AA7:AA47),0),ROUND(PRODUCT(R48,AA7:AA47),1))</f>
        <v>7.4</v>
      </c>
      <c r="S49" s="3228"/>
      <c r="T49" s="3228">
        <f>IF(F1="售价",ROUND(PRODUCT(T48,AB7:AB47),0),ROUND(PRODUCT(T48,AB7:AB47),1))</f>
        <v>8.6999999999999993</v>
      </c>
      <c r="U49" s="3228"/>
      <c r="V49" s="3228">
        <f>IF(F1="售价",ROUND(PRODUCT(V48,AC7:AC47),0),ROUND(PRODUCT(V48,AC7:AC47),1))</f>
        <v>8.9</v>
      </c>
      <c r="W49" s="3228"/>
      <c r="X49" s="446"/>
      <c r="Y49" s="446"/>
      <c r="Z49" s="446"/>
      <c r="AA49" s="446"/>
      <c r="AB49" s="446"/>
      <c r="AC49" s="630"/>
    </row>
    <row r="50" spans="1:29" ht="15.75" thickBot="1">
      <c r="A50" s="492" t="s">
        <v>2577</v>
      </c>
      <c r="B50" s="493"/>
      <c r="C50" s="1417">
        <f>R50</f>
        <v>8.3000000000000007</v>
      </c>
      <c r="D50" s="1417"/>
      <c r="E50" s="1417"/>
      <c r="F50" s="1417"/>
      <c r="G50" s="1417"/>
      <c r="H50" s="1417"/>
      <c r="I50" s="1417"/>
      <c r="J50" s="494"/>
      <c r="K50" s="785"/>
      <c r="L50" s="1143"/>
      <c r="M50" s="1131"/>
      <c r="N50" s="1131"/>
      <c r="O50" s="1131"/>
      <c r="P50" s="3238" t="str">
        <f>A50</f>
        <v>估价对象XX用房的比较价值（楼面单价，元/平方米）</v>
      </c>
      <c r="Q50" s="3239"/>
      <c r="R50" s="3240">
        <f>IF(F1="售价",ROUND(AVERAGE(R49:V49),0),ROUND(AVERAGE(R49:V49),1))</f>
        <v>8.3000000000000007</v>
      </c>
      <c r="S50" s="3240"/>
      <c r="T50" s="3240"/>
      <c r="U50" s="3240"/>
      <c r="V50" s="3240"/>
      <c r="W50" s="3240"/>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1.3513513513513375E-2</v>
      </c>
      <c r="F53" s="500" t="str">
        <f>IF(OR(E53&gt;=0.3,E53&lt;=-0.3),"超过30%","")</f>
        <v/>
      </c>
      <c r="G53" s="499">
        <f>IF(G48&lt;G49,G49/G48-1,G48/G49-1)</f>
        <v>2.3529411764705799E-2</v>
      </c>
      <c r="H53" s="500" t="str">
        <f>IF(OR(G53&gt;=0.3,G53&lt;=-0.3),"超过30%","")</f>
        <v/>
      </c>
      <c r="I53" s="499">
        <f>IF(I48&lt;I49,I49/I48-1,I48/I49-1)</f>
        <v>0.11250000000000004</v>
      </c>
      <c r="J53" s="500" t="str">
        <f>IF(OR(I53&gt;=0.3,I53&lt;=-0.3),"超过30%","")</f>
        <v/>
      </c>
      <c r="K53" s="1105"/>
      <c r="L53" s="1106"/>
      <c r="M53" s="1144"/>
      <c r="N53" s="1144"/>
      <c r="O53" s="1144"/>
    </row>
    <row r="54" spans="1:29" ht="13.5" customHeight="1">
      <c r="A54" s="1144"/>
      <c r="B54" s="1144"/>
      <c r="C54" s="497" t="s">
        <v>2579</v>
      </c>
      <c r="D54" s="501"/>
      <c r="E54" s="499">
        <f>IF(E49&lt;G49,G49/E49-1,E49/G49-1)</f>
        <v>0.17567567567567544</v>
      </c>
      <c r="F54" s="500" t="str">
        <f>IF(OR(E54&gt;=0.2,E54&lt;=-0.2),"超过20%","")</f>
        <v/>
      </c>
      <c r="G54" s="499">
        <f>IF(G49&lt;I49,I49/G49-1,G49/I49-1)</f>
        <v>2.2988505747126631E-2</v>
      </c>
      <c r="H54" s="500" t="str">
        <f>IF(OR(G54&gt;=0.2,G54&lt;=-0.2),"超过20%","")</f>
        <v/>
      </c>
      <c r="I54" s="499">
        <f>IF(I49&lt;E49,E49/I49-1,I49/E49-1)</f>
        <v>0.20270270270270263</v>
      </c>
      <c r="J54" s="500" t="str">
        <f>IF(OR(I54&gt;=0.2,I54&lt;=-0.2),"超过20%","")</f>
        <v>超过20%</v>
      </c>
      <c r="K54" s="1105"/>
      <c r="L54" s="1106"/>
      <c r="M54" s="1144"/>
      <c r="N54" s="1144"/>
      <c r="O54" s="1144"/>
    </row>
    <row r="55" spans="1:29" s="502" customFormat="1" ht="13.5" customHeight="1">
      <c r="A55" s="1145"/>
      <c r="B55" s="1145"/>
      <c r="C55" s="497" t="s">
        <v>2580</v>
      </c>
      <c r="D55" s="501"/>
      <c r="E55" s="499">
        <f>IF(E48&lt;G48,G48/E48-1,E48/G48-1)</f>
        <v>0.1333333333333333</v>
      </c>
      <c r="F55" s="500" t="str">
        <f>IF(OR(E55&gt;=0.3,E55&lt;=-0.3),"超过30%","")</f>
        <v/>
      </c>
      <c r="G55" s="499">
        <f>IF(G48&lt;I48,I48/G48-1,G48/I48-1)</f>
        <v>6.25E-2</v>
      </c>
      <c r="H55" s="500" t="str">
        <f>IF(OR(G55&gt;=0.3,G55&lt;=-0.3),"超过30%","")</f>
        <v/>
      </c>
      <c r="I55" s="499">
        <f>IF(I48&lt;E48,E48/I48-1,I48/E48-1)</f>
        <v>6.6666666666666652E-2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C60-0.5</f>
        <v>99.5</v>
      </c>
      <c r="E60" s="512">
        <f t="shared" ref="E60:J60" si="17">D60-0.5</f>
        <v>99</v>
      </c>
      <c r="F60" s="512">
        <f t="shared" si="17"/>
        <v>98.5</v>
      </c>
      <c r="G60" s="512">
        <f t="shared" si="17"/>
        <v>98</v>
      </c>
      <c r="H60" s="512">
        <f t="shared" si="17"/>
        <v>97.5</v>
      </c>
      <c r="I60" s="512">
        <f t="shared" si="17"/>
        <v>97</v>
      </c>
      <c r="J60" s="512">
        <f t="shared" si="17"/>
        <v>96.5</v>
      </c>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2585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8">D69&amp;"（含）"&amp;"-"&amp;E69</f>
        <v>1（含）-2</v>
      </c>
      <c r="E68" s="547" t="str">
        <f t="shared" si="18"/>
        <v>2（含）-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9">C70-$K11</f>
        <v>98</v>
      </c>
      <c r="E70" s="544">
        <f t="shared" si="19"/>
        <v>96</v>
      </c>
      <c r="F70" s="544">
        <f t="shared" si="19"/>
        <v>94</v>
      </c>
      <c r="G70" s="544">
        <f t="shared" si="19"/>
        <v>92</v>
      </c>
      <c r="H70" s="544">
        <f t="shared" si="19"/>
        <v>90</v>
      </c>
      <c r="I70" s="544">
        <f t="shared" si="19"/>
        <v>88</v>
      </c>
      <c r="J70" s="544">
        <f t="shared" si="19"/>
        <v>86</v>
      </c>
      <c r="K70" s="544">
        <f t="shared" si="19"/>
        <v>84</v>
      </c>
      <c r="L70" s="544">
        <f t="shared" si="19"/>
        <v>82</v>
      </c>
      <c r="M70" s="545">
        <f t="shared" si="19"/>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20">C88-$K25</f>
        <v>98.5</v>
      </c>
      <c r="E88" s="544">
        <f t="shared" si="20"/>
        <v>97</v>
      </c>
      <c r="F88" s="544">
        <f t="shared" si="20"/>
        <v>95.5</v>
      </c>
      <c r="G88" s="544">
        <f t="shared" si="20"/>
        <v>94</v>
      </c>
      <c r="H88" s="544">
        <f t="shared" si="20"/>
        <v>92.5</v>
      </c>
      <c r="I88" s="544">
        <f t="shared" si="20"/>
        <v>91</v>
      </c>
      <c r="J88" s="544">
        <f t="shared" si="20"/>
        <v>89.5</v>
      </c>
      <c r="K88" s="544">
        <f t="shared" si="20"/>
        <v>88</v>
      </c>
      <c r="L88" s="544">
        <f t="shared" si="20"/>
        <v>86.5</v>
      </c>
      <c r="M88" s="544">
        <f t="shared" si="20"/>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1">D90-$K27</f>
        <v>90</v>
      </c>
      <c r="F90" s="544">
        <f t="shared" si="21"/>
        <v>85</v>
      </c>
      <c r="G90" s="544">
        <f t="shared" si="21"/>
        <v>80</v>
      </c>
      <c r="H90" s="544">
        <f t="shared" si="21"/>
        <v>75</v>
      </c>
      <c r="I90" s="544">
        <f t="shared" si="21"/>
        <v>70</v>
      </c>
      <c r="J90" s="544">
        <f t="shared" si="21"/>
        <v>65</v>
      </c>
      <c r="K90" s="544">
        <f t="shared" si="21"/>
        <v>60</v>
      </c>
      <c r="L90" s="544">
        <f t="shared" si="21"/>
        <v>55</v>
      </c>
      <c r="M90" s="544">
        <f t="shared" si="21"/>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3">C102-$K33</f>
        <v>98.5</v>
      </c>
      <c r="E102" s="544">
        <f t="shared" si="23"/>
        <v>97</v>
      </c>
      <c r="F102" s="544">
        <f t="shared" si="23"/>
        <v>95.5</v>
      </c>
      <c r="G102" s="544">
        <f t="shared" si="23"/>
        <v>94</v>
      </c>
      <c r="H102" s="544">
        <f t="shared" si="23"/>
        <v>92.5</v>
      </c>
      <c r="I102" s="544">
        <f t="shared" si="23"/>
        <v>91</v>
      </c>
      <c r="J102" s="544">
        <f t="shared" si="23"/>
        <v>89.5</v>
      </c>
      <c r="K102" s="544">
        <f t="shared" si="23"/>
        <v>88</v>
      </c>
      <c r="L102" s="544">
        <f t="shared" si="23"/>
        <v>86.5</v>
      </c>
      <c r="M102" s="545">
        <f t="shared" si="23"/>
        <v>85</v>
      </c>
      <c r="N102" s="1153"/>
      <c r="O102" s="1153"/>
      <c r="P102" s="2681"/>
      <c r="Q102" s="504"/>
    </row>
    <row r="103" spans="1:17" ht="29.25" thickTop="1">
      <c r="A103" s="534"/>
      <c r="B103" s="538" t="s">
        <v>2611</v>
      </c>
      <c r="C103" s="578" t="str">
        <f>C104&amp;"(含)"&amp;"-"&amp;D104</f>
        <v>100(含)-500</v>
      </c>
      <c r="D103" s="578" t="str">
        <f t="shared" ref="D103:L103" si="24">D104&amp;"(含)"&amp;"-"&amp;E104</f>
        <v>500(含)-2000</v>
      </c>
      <c r="E103" s="578" t="str">
        <f t="shared" si="24"/>
        <v>2000(含)-5000</v>
      </c>
      <c r="F103" s="578" t="str">
        <f t="shared" si="24"/>
        <v>5000(含)-10000</v>
      </c>
      <c r="G103" s="578" t="str">
        <f t="shared" si="24"/>
        <v>10000(含)-15000</v>
      </c>
      <c r="H103" s="578" t="str">
        <f t="shared" si="24"/>
        <v>15000(含)-</v>
      </c>
      <c r="I103" s="578" t="str">
        <f t="shared" si="24"/>
        <v>(含)-</v>
      </c>
      <c r="J103" s="578" t="str">
        <f t="shared" si="24"/>
        <v>(含)-</v>
      </c>
      <c r="K103" s="578" t="str">
        <f t="shared" si="24"/>
        <v>(含)-</v>
      </c>
      <c r="L103" s="578" t="str">
        <f t="shared" si="24"/>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8">D114-$K38</f>
        <v>92</v>
      </c>
      <c r="F114" s="544">
        <f t="shared" si="28"/>
        <v>88</v>
      </c>
      <c r="G114" s="544">
        <f t="shared" si="28"/>
        <v>84</v>
      </c>
      <c r="H114" s="544">
        <f t="shared" si="28"/>
        <v>80</v>
      </c>
      <c r="I114" s="544">
        <f t="shared" si="28"/>
        <v>76</v>
      </c>
      <c r="J114" s="544">
        <f t="shared" si="28"/>
        <v>72</v>
      </c>
      <c r="K114" s="544">
        <f t="shared" si="28"/>
        <v>68</v>
      </c>
      <c r="L114" s="544">
        <f t="shared" si="28"/>
        <v>64</v>
      </c>
      <c r="M114" s="544">
        <f t="shared" si="28"/>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30">D120-$K41</f>
        <v>97</v>
      </c>
      <c r="F120" s="544">
        <f t="shared" si="30"/>
        <v>95.5</v>
      </c>
      <c r="G120" s="544">
        <f t="shared" si="30"/>
        <v>94</v>
      </c>
      <c r="H120" s="544">
        <f t="shared" si="30"/>
        <v>92.5</v>
      </c>
      <c r="I120" s="544">
        <f t="shared" si="30"/>
        <v>91</v>
      </c>
      <c r="J120" s="544">
        <f t="shared" si="30"/>
        <v>89.5</v>
      </c>
      <c r="K120" s="544">
        <f t="shared" si="30"/>
        <v>88</v>
      </c>
      <c r="L120" s="544">
        <f t="shared" si="30"/>
        <v>86.5</v>
      </c>
      <c r="M120" s="544">
        <f t="shared" si="30"/>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55"/>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1">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3129</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97</v>
      </c>
      <c r="E124" s="544">
        <f t="shared" si="32"/>
        <v>94</v>
      </c>
      <c r="F124" s="544">
        <f t="shared" si="32"/>
        <v>91</v>
      </c>
      <c r="G124" s="544">
        <f t="shared" si="32"/>
        <v>88</v>
      </c>
      <c r="H124" s="544">
        <f t="shared" si="32"/>
        <v>85</v>
      </c>
      <c r="I124" s="544">
        <f t="shared" si="32"/>
        <v>82</v>
      </c>
      <c r="J124" s="544">
        <f t="shared" si="32"/>
        <v>79</v>
      </c>
      <c r="K124" s="544">
        <f t="shared" si="32"/>
        <v>76</v>
      </c>
      <c r="L124" s="544">
        <f t="shared" si="32"/>
        <v>73</v>
      </c>
      <c r="M124" s="545">
        <f t="shared" si="32"/>
        <v>70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43" sqref="L4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3114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488</v>
      </c>
      <c r="C2" s="2583" t="s">
        <v>70</v>
      </c>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47123</v>
      </c>
      <c r="C3" s="400" t="s">
        <v>2642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49" t="s">
        <v>2649</v>
      </c>
      <c r="Q4" s="3250"/>
      <c r="R4" s="3243" t="s">
        <v>2645</v>
      </c>
      <c r="S4" s="3244"/>
      <c r="T4" s="3243" t="s">
        <v>2646</v>
      </c>
      <c r="U4" s="3244"/>
      <c r="V4" s="3242" t="s">
        <v>2647</v>
      </c>
      <c r="W4" s="3242"/>
      <c r="X4" s="2667"/>
      <c r="Y4" s="3243" t="s">
        <v>2649</v>
      </c>
      <c r="Z4" s="3244"/>
      <c r="AA4" s="3245" t="s">
        <v>2645</v>
      </c>
      <c r="AB4" s="3245" t="s">
        <v>2646</v>
      </c>
      <c r="AC4" s="3246" t="s">
        <v>2647</v>
      </c>
    </row>
    <row r="5" spans="1:29" ht="15">
      <c r="A5" s="404"/>
      <c r="B5" s="405"/>
      <c r="C5" s="3253" t="s">
        <v>3147</v>
      </c>
      <c r="D5" s="3204"/>
      <c r="E5" s="3254" t="s">
        <v>3152</v>
      </c>
      <c r="F5" s="3202"/>
      <c r="G5" s="3254" t="s">
        <v>3152</v>
      </c>
      <c r="H5" s="3202"/>
      <c r="I5" s="3254" t="s">
        <v>3152</v>
      </c>
      <c r="J5" s="3202"/>
      <c r="K5" s="610"/>
      <c r="L5" s="1130"/>
      <c r="M5" s="1131"/>
      <c r="N5" s="1131"/>
      <c r="O5" s="1131"/>
      <c r="P5" s="3251"/>
      <c r="Q5" s="3217"/>
      <c r="R5" s="3199"/>
      <c r="S5" s="3200"/>
      <c r="T5" s="3199"/>
      <c r="U5" s="3200"/>
      <c r="V5" s="3222"/>
      <c r="W5" s="3222"/>
      <c r="X5" s="1808"/>
      <c r="Y5" s="3199"/>
      <c r="Z5" s="3200"/>
      <c r="AA5" s="3193"/>
      <c r="AB5" s="3193"/>
      <c r="AC5" s="3247"/>
    </row>
    <row r="6" spans="1:29" ht="15.75" thickBot="1">
      <c r="A6" s="406"/>
      <c r="B6" s="407"/>
      <c r="C6" s="3255" t="s">
        <v>3148</v>
      </c>
      <c r="D6" s="3206"/>
      <c r="E6" s="3256" t="s">
        <v>3104</v>
      </c>
      <c r="F6" s="3208"/>
      <c r="G6" s="3255" t="s">
        <v>3146</v>
      </c>
      <c r="H6" s="3206"/>
      <c r="I6" s="3256" t="s">
        <v>3104</v>
      </c>
      <c r="J6" s="3208"/>
      <c r="K6" s="610" t="s">
        <v>2545</v>
      </c>
      <c r="L6" s="1130"/>
      <c r="M6" s="1131"/>
      <c r="N6" s="1131"/>
      <c r="O6" s="1131"/>
      <c r="P6" s="3252"/>
      <c r="Q6" s="3219"/>
      <c r="R6" s="3199"/>
      <c r="S6" s="3200"/>
      <c r="T6" s="3220"/>
      <c r="U6" s="3221"/>
      <c r="V6" s="3222"/>
      <c r="W6" s="3222"/>
      <c r="X6" s="1808"/>
      <c r="Y6" s="3220"/>
      <c r="Z6" s="3221"/>
      <c r="AA6" s="3194"/>
      <c r="AB6" s="3194"/>
      <c r="AC6" s="3248"/>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43556</v>
      </c>
      <c r="J7" s="411">
        <f>SUMIF(59:59,YEAR(I7)&amp;"-"&amp;MONTH(I7),60:60)</f>
        <v>100</v>
      </c>
      <c r="K7" s="611"/>
      <c r="L7" s="1132"/>
      <c r="M7" s="1133"/>
      <c r="N7" s="1133"/>
      <c r="O7" s="1133"/>
      <c r="P7" s="3241" t="s">
        <v>2547</v>
      </c>
      <c r="Q7" s="3223"/>
      <c r="R7" s="770" t="s">
        <v>17</v>
      </c>
      <c r="S7" s="771">
        <f t="shared" ref="S7:S15" si="0">F7</f>
        <v>100</v>
      </c>
      <c r="T7" s="770" t="s">
        <v>17</v>
      </c>
      <c r="U7" s="771">
        <f t="shared" ref="U7:U15" si="1">H7</f>
        <v>100</v>
      </c>
      <c r="V7" s="770" t="s">
        <v>17</v>
      </c>
      <c r="W7" s="771">
        <f t="shared" ref="W7:W15" si="2">J7</f>
        <v>100</v>
      </c>
      <c r="X7" s="772"/>
      <c r="Y7" s="3195" t="s">
        <v>2547</v>
      </c>
      <c r="Z7" s="3196"/>
      <c r="AA7" s="773">
        <f>D7/F7</f>
        <v>1</v>
      </c>
      <c r="AB7" s="773">
        <f>D7/H7</f>
        <v>1</v>
      </c>
      <c r="AC7" s="2668">
        <f>D7/J7</f>
        <v>1</v>
      </c>
    </row>
    <row r="8" spans="1:29" s="117" customFormat="1" ht="15.75" thickBot="1">
      <c r="A8" s="408" t="s">
        <v>2548</v>
      </c>
      <c r="B8" s="409"/>
      <c r="C8" s="414" t="s">
        <v>2650</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41" t="s">
        <v>2550</v>
      </c>
      <c r="Q8" s="3196"/>
      <c r="R8" s="770" t="s">
        <v>17</v>
      </c>
      <c r="S8" s="771">
        <f t="shared" si="0"/>
        <v>100</v>
      </c>
      <c r="T8" s="770" t="s">
        <v>17</v>
      </c>
      <c r="U8" s="771">
        <f t="shared" si="1"/>
        <v>100</v>
      </c>
      <c r="V8" s="770" t="s">
        <v>17</v>
      </c>
      <c r="W8" s="771">
        <f t="shared" si="2"/>
        <v>100</v>
      </c>
      <c r="X8" s="772"/>
      <c r="Y8" s="3195" t="s">
        <v>2550</v>
      </c>
      <c r="Z8" s="3196"/>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9"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2668">
        <f t="shared" si="5"/>
        <v>1</v>
      </c>
    </row>
    <row r="10" spans="1:29" s="427" customFormat="1" ht="27">
      <c r="A10" s="421"/>
      <c r="B10" s="422"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9"/>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68">
        <f t="shared" si="5"/>
        <v>1</v>
      </c>
    </row>
    <row r="11" spans="1:29" ht="15.75" thickBot="1">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9"/>
      <c r="Q11" s="1790" t="str">
        <f t="shared" si="6"/>
        <v>容积率</v>
      </c>
      <c r="R11" s="770" t="s">
        <v>17</v>
      </c>
      <c r="S11" s="771">
        <f t="shared" si="0"/>
        <v>100</v>
      </c>
      <c r="T11" s="770" t="s">
        <v>17</v>
      </c>
      <c r="U11" s="771">
        <f t="shared" si="1"/>
        <v>100</v>
      </c>
      <c r="V11" s="770" t="s">
        <v>17</v>
      </c>
      <c r="W11" s="771">
        <f t="shared" si="2"/>
        <v>100</v>
      </c>
      <c r="X11" s="772"/>
      <c r="Y11" s="3042"/>
      <c r="Z11" s="55"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9"/>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9"/>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9"/>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36" t="s">
        <v>2558</v>
      </c>
      <c r="Q15" s="1805" t="str">
        <f t="shared" si="6"/>
        <v>办公集聚程度</v>
      </c>
      <c r="R15" s="774" t="s">
        <v>17</v>
      </c>
      <c r="S15" s="775">
        <f t="shared" si="0"/>
        <v>100</v>
      </c>
      <c r="T15" s="774" t="s">
        <v>17</v>
      </c>
      <c r="U15" s="775">
        <f t="shared" si="1"/>
        <v>100</v>
      </c>
      <c r="V15" s="774" t="s">
        <v>17</v>
      </c>
      <c r="W15" s="775">
        <f t="shared" si="2"/>
        <v>100</v>
      </c>
      <c r="X15" s="1808"/>
      <c r="Y15" s="3229" t="s">
        <v>2558</v>
      </c>
      <c r="Z15" s="1809" t="str">
        <f t="shared" si="7"/>
        <v>办公集聚程度</v>
      </c>
      <c r="AA15" s="1806">
        <f t="shared" si="3"/>
        <v>1</v>
      </c>
      <c r="AB15" s="1806">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37"/>
      <c r="Q16" s="1805"/>
      <c r="R16" s="774"/>
      <c r="S16" s="775"/>
      <c r="T16" s="774"/>
      <c r="U16" s="775"/>
      <c r="V16" s="774"/>
      <c r="W16" s="775"/>
      <c r="X16" s="1808"/>
      <c r="Y16" s="3230"/>
      <c r="Z16" s="1809"/>
      <c r="AA16" s="1806">
        <v>1</v>
      </c>
      <c r="AB16" s="1806">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37"/>
      <c r="Q17" s="1805" t="str">
        <f>B17</f>
        <v>交通便捷度</v>
      </c>
      <c r="R17" s="774" t="s">
        <v>17</v>
      </c>
      <c r="S17" s="775">
        <f>F17</f>
        <v>100</v>
      </c>
      <c r="T17" s="774" t="s">
        <v>17</v>
      </c>
      <c r="U17" s="775">
        <f>H17</f>
        <v>100</v>
      </c>
      <c r="V17" s="774" t="s">
        <v>17</v>
      </c>
      <c r="W17" s="775">
        <f>J17</f>
        <v>100</v>
      </c>
      <c r="X17" s="1808"/>
      <c r="Y17" s="3230"/>
      <c r="Z17" s="1809" t="str">
        <f>Q17</f>
        <v>交通便捷度</v>
      </c>
      <c r="AA17" s="1806">
        <f t="shared" si="3"/>
        <v>1</v>
      </c>
      <c r="AB17" s="1806">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37"/>
      <c r="Q18" s="1805"/>
      <c r="R18" s="774"/>
      <c r="S18" s="775"/>
      <c r="T18" s="774"/>
      <c r="U18" s="775"/>
      <c r="V18" s="774"/>
      <c r="W18" s="775"/>
      <c r="X18" s="1808"/>
      <c r="Y18" s="3230"/>
      <c r="Z18" s="1809"/>
      <c r="AA18" s="1806">
        <v>1</v>
      </c>
      <c r="AB18" s="1806">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37"/>
      <c r="Q19" s="1805" t="str">
        <f>B19</f>
        <v>公共配套设施</v>
      </c>
      <c r="R19" s="774" t="s">
        <v>17</v>
      </c>
      <c r="S19" s="775">
        <f>F19</f>
        <v>100</v>
      </c>
      <c r="T19" s="774" t="s">
        <v>17</v>
      </c>
      <c r="U19" s="775">
        <f>H19</f>
        <v>100</v>
      </c>
      <c r="V19" s="774" t="s">
        <v>17</v>
      </c>
      <c r="W19" s="775">
        <f>J19</f>
        <v>100</v>
      </c>
      <c r="X19" s="1808"/>
      <c r="Y19" s="3230"/>
      <c r="Z19" s="1809" t="str">
        <f>Q19</f>
        <v>公共配套设施</v>
      </c>
      <c r="AA19" s="1806">
        <f t="shared" si="3"/>
        <v>1</v>
      </c>
      <c r="AB19" s="1806">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37"/>
      <c r="Q20" s="1805"/>
      <c r="R20" s="774"/>
      <c r="S20" s="775"/>
      <c r="T20" s="774"/>
      <c r="U20" s="775"/>
      <c r="V20" s="774"/>
      <c r="W20" s="775"/>
      <c r="X20" s="1808"/>
      <c r="Y20" s="3230"/>
      <c r="Z20" s="1809"/>
      <c r="AA20" s="1806">
        <v>1</v>
      </c>
      <c r="AB20" s="1806">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37"/>
      <c r="Q21" s="1805" t="str">
        <f>B21</f>
        <v>基础设施水平</v>
      </c>
      <c r="R21" s="774" t="s">
        <v>17</v>
      </c>
      <c r="S21" s="775">
        <f>F21</f>
        <v>100</v>
      </c>
      <c r="T21" s="774" t="s">
        <v>17</v>
      </c>
      <c r="U21" s="775">
        <f>H21</f>
        <v>100</v>
      </c>
      <c r="V21" s="774" t="s">
        <v>17</v>
      </c>
      <c r="W21" s="775">
        <f>J21</f>
        <v>100</v>
      </c>
      <c r="X21" s="1808"/>
      <c r="Y21" s="3230"/>
      <c r="Z21" s="1809" t="str">
        <f>Q21</f>
        <v>基础设施水平</v>
      </c>
      <c r="AA21" s="1806">
        <f t="shared" ref="AA21" si="8">D21/F21</f>
        <v>1</v>
      </c>
      <c r="AB21" s="1806">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37"/>
      <c r="Q22" s="1805"/>
      <c r="R22" s="774"/>
      <c r="S22" s="775"/>
      <c r="T22" s="774"/>
      <c r="U22" s="775"/>
      <c r="V22" s="774"/>
      <c r="W22" s="775"/>
      <c r="X22" s="1808"/>
      <c r="Y22" s="3230"/>
      <c r="Z22" s="1809"/>
      <c r="AA22" s="1806">
        <v>1</v>
      </c>
      <c r="AB22" s="1806">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t="s">
        <v>3156</v>
      </c>
      <c r="H23" s="450">
        <f>SUMIF(85:85,G24,86:86)-SUMIF(85:85,C24,86:86)+100</f>
        <v>100</v>
      </c>
      <c r="I23" s="452"/>
      <c r="J23" s="450">
        <f>SUMIF(85:85,I24,86:86)-SUMIF(85:85,C24,86:86)+100</f>
        <v>100</v>
      </c>
      <c r="K23" s="614">
        <v>1.5</v>
      </c>
      <c r="L23" s="1140"/>
      <c r="M23" s="1131"/>
      <c r="N23" s="1131"/>
      <c r="O23" s="1131"/>
      <c r="P23" s="3237"/>
      <c r="Q23" s="1805" t="str">
        <f>B23</f>
        <v>环境质量</v>
      </c>
      <c r="R23" s="774" t="s">
        <v>17</v>
      </c>
      <c r="S23" s="775">
        <f>F23</f>
        <v>100</v>
      </c>
      <c r="T23" s="774" t="s">
        <v>17</v>
      </c>
      <c r="U23" s="775">
        <f>H23</f>
        <v>100</v>
      </c>
      <c r="V23" s="774" t="s">
        <v>17</v>
      </c>
      <c r="W23" s="775">
        <f>J23</f>
        <v>100</v>
      </c>
      <c r="X23" s="1808"/>
      <c r="Y23" s="3230"/>
      <c r="Z23" s="1809" t="str">
        <f>Q23</f>
        <v>环境质量</v>
      </c>
      <c r="AA23" s="1806">
        <f t="shared" si="3"/>
        <v>1</v>
      </c>
      <c r="AB23" s="1806">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37"/>
      <c r="Q24" s="1805"/>
      <c r="R24" s="774"/>
      <c r="S24" s="775"/>
      <c r="T24" s="774"/>
      <c r="U24" s="775"/>
      <c r="V24" s="774"/>
      <c r="W24" s="775"/>
      <c r="X24" s="1808"/>
      <c r="Y24" s="3230"/>
      <c r="Z24" s="1809"/>
      <c r="AA24" s="1806">
        <v>1</v>
      </c>
      <c r="AB24" s="1806">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37"/>
      <c r="Q25" s="1805" t="str">
        <f>B25</f>
        <v>毗邻道路的类型与等级</v>
      </c>
      <c r="R25" s="774" t="s">
        <v>17</v>
      </c>
      <c r="S25" s="775">
        <f>F25</f>
        <v>100</v>
      </c>
      <c r="T25" s="774" t="s">
        <v>17</v>
      </c>
      <c r="U25" s="775">
        <f>H25</f>
        <v>100</v>
      </c>
      <c r="V25" s="774" t="s">
        <v>17</v>
      </c>
      <c r="W25" s="775">
        <f>J25</f>
        <v>100</v>
      </c>
      <c r="X25" s="1808"/>
      <c r="Y25" s="3230"/>
      <c r="Z25" s="1809" t="str">
        <f>Q25</f>
        <v>毗邻道路的类型与等级</v>
      </c>
      <c r="AA25" s="1806">
        <f t="shared" si="3"/>
        <v>1</v>
      </c>
      <c r="AB25" s="1806">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37"/>
      <c r="Q26" s="1805"/>
      <c r="R26" s="774"/>
      <c r="S26" s="775"/>
      <c r="T26" s="774"/>
      <c r="U26" s="775"/>
      <c r="V26" s="774"/>
      <c r="W26" s="775"/>
      <c r="X26" s="1808"/>
      <c r="Y26" s="3230"/>
      <c r="Z26" s="1809"/>
      <c r="AA26" s="1806">
        <v>1</v>
      </c>
      <c r="AB26" s="1806">
        <v>1</v>
      </c>
      <c r="AC26" s="2671">
        <v>1</v>
      </c>
    </row>
    <row r="27" spans="1:29" ht="15.75" thickBot="1">
      <c r="A27" s="428"/>
      <c r="B27" s="632" t="s">
        <v>2657</v>
      </c>
      <c r="C27" s="634" t="s">
        <v>3111</v>
      </c>
      <c r="D27" s="435">
        <v>100</v>
      </c>
      <c r="E27" s="616" t="s">
        <v>3111</v>
      </c>
      <c r="F27" s="435">
        <f>SUMIF(89:89,E27,90:90)-SUMIF(89:89,C27,90:90)+100</f>
        <v>100</v>
      </c>
      <c r="G27" s="634" t="s">
        <v>3111</v>
      </c>
      <c r="H27" s="435">
        <f>SUMIF(89:89,G27,90:90)-SUMIF(89:89,C27,90:90)+100</f>
        <v>100</v>
      </c>
      <c r="I27" s="616" t="s">
        <v>3111</v>
      </c>
      <c r="J27" s="435">
        <f>SUMIF(89:89,I27,90:90)-SUMIF(89:89,C27,90:90)+100</f>
        <v>100</v>
      </c>
      <c r="K27" s="612">
        <v>5</v>
      </c>
      <c r="L27" s="1140"/>
      <c r="M27" s="1131"/>
      <c r="N27" s="1131"/>
      <c r="O27" s="1131"/>
      <c r="P27" s="3237"/>
      <c r="Q27" s="1805" t="str">
        <f t="shared" ref="Q27:Q47" si="11">B27</f>
        <v>楼层</v>
      </c>
      <c r="R27" s="774" t="s">
        <v>17</v>
      </c>
      <c r="S27" s="775">
        <f>F27</f>
        <v>100</v>
      </c>
      <c r="T27" s="774" t="s">
        <v>17</v>
      </c>
      <c r="U27" s="775">
        <f>H27</f>
        <v>100</v>
      </c>
      <c r="V27" s="774" t="s">
        <v>17</v>
      </c>
      <c r="W27" s="775">
        <f>J27</f>
        <v>100</v>
      </c>
      <c r="X27" s="1808"/>
      <c r="Y27" s="3230"/>
      <c r="Z27" s="1809" t="str">
        <f>Q27</f>
        <v>楼层</v>
      </c>
      <c r="AA27" s="1806">
        <f t="shared" si="3"/>
        <v>1</v>
      </c>
      <c r="AB27" s="1806">
        <f t="shared" si="4"/>
        <v>1</v>
      </c>
      <c r="AC27" s="2671">
        <f t="shared" si="5"/>
        <v>1</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7"/>
      <c r="Q28" s="1790" t="str">
        <f t="shared" si="11"/>
        <v>朝向</v>
      </c>
      <c r="R28" s="770" t="s">
        <v>17</v>
      </c>
      <c r="S28" s="771">
        <f>F28</f>
        <v>100</v>
      </c>
      <c r="T28" s="770" t="s">
        <v>17</v>
      </c>
      <c r="U28" s="771">
        <f>H28</f>
        <v>100</v>
      </c>
      <c r="V28" s="770" t="s">
        <v>17</v>
      </c>
      <c r="W28" s="771">
        <f>J28</f>
        <v>100</v>
      </c>
      <c r="X28" s="772"/>
      <c r="Y28" s="3230"/>
      <c r="Z28" s="55" t="str">
        <f>Q28</f>
        <v>朝向</v>
      </c>
      <c r="AA28" s="1806">
        <f>D28/F28</f>
        <v>1</v>
      </c>
      <c r="AB28" s="1806">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7"/>
      <c r="Q29" s="1805">
        <f t="shared" si="11"/>
        <v>111</v>
      </c>
      <c r="R29" s="774" t="s">
        <v>17</v>
      </c>
      <c r="S29" s="775">
        <f t="shared" ref="S29:S47" si="12">F29</f>
        <v>100</v>
      </c>
      <c r="T29" s="774" t="s">
        <v>17</v>
      </c>
      <c r="U29" s="775">
        <f t="shared" ref="U29:U47" si="13">H29</f>
        <v>100</v>
      </c>
      <c r="V29" s="774" t="s">
        <v>17</v>
      </c>
      <c r="W29" s="775">
        <f t="shared" ref="W29:W47" si="14">J29</f>
        <v>100</v>
      </c>
      <c r="X29" s="1808"/>
      <c r="Y29" s="3230"/>
      <c r="Z29" s="1809">
        <f t="shared" ref="Z29:Z47" si="15">Q29</f>
        <v>111</v>
      </c>
      <c r="AA29" s="1806">
        <f t="shared" si="3"/>
        <v>1</v>
      </c>
      <c r="AB29" s="1806">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7"/>
      <c r="Q30" s="1805">
        <f t="shared" si="11"/>
        <v>111</v>
      </c>
      <c r="R30" s="774" t="s">
        <v>17</v>
      </c>
      <c r="S30" s="775">
        <f t="shared" si="12"/>
        <v>100</v>
      </c>
      <c r="T30" s="774" t="s">
        <v>17</v>
      </c>
      <c r="U30" s="775">
        <f t="shared" si="13"/>
        <v>100</v>
      </c>
      <c r="V30" s="774" t="s">
        <v>17</v>
      </c>
      <c r="W30" s="775">
        <f t="shared" si="14"/>
        <v>100</v>
      </c>
      <c r="X30" s="1808"/>
      <c r="Y30" s="3230"/>
      <c r="Z30" s="1809">
        <f t="shared" si="15"/>
        <v>111</v>
      </c>
      <c r="AA30" s="1806">
        <f t="shared" si="3"/>
        <v>1</v>
      </c>
      <c r="AB30" s="1806">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7"/>
      <c r="Q31" s="1805">
        <f t="shared" si="11"/>
        <v>111</v>
      </c>
      <c r="R31" s="774" t="s">
        <v>17</v>
      </c>
      <c r="S31" s="775">
        <f t="shared" si="12"/>
        <v>100</v>
      </c>
      <c r="T31" s="774" t="s">
        <v>17</v>
      </c>
      <c r="U31" s="775">
        <f t="shared" si="13"/>
        <v>100</v>
      </c>
      <c r="V31" s="774" t="s">
        <v>17</v>
      </c>
      <c r="W31" s="775">
        <f t="shared" si="14"/>
        <v>100</v>
      </c>
      <c r="X31" s="1808"/>
      <c r="Y31" s="3230"/>
      <c r="Z31" s="1809">
        <f t="shared" si="15"/>
        <v>111</v>
      </c>
      <c r="AA31" s="1806">
        <f t="shared" si="3"/>
        <v>1</v>
      </c>
      <c r="AB31" s="1806">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7"/>
      <c r="Q32" s="1805">
        <f t="shared" si="11"/>
        <v>111</v>
      </c>
      <c r="R32" s="774" t="s">
        <v>17</v>
      </c>
      <c r="S32" s="775">
        <f t="shared" si="12"/>
        <v>100</v>
      </c>
      <c r="T32" s="774" t="s">
        <v>17</v>
      </c>
      <c r="U32" s="775">
        <f t="shared" si="13"/>
        <v>100</v>
      </c>
      <c r="V32" s="774" t="s">
        <v>17</v>
      </c>
      <c r="W32" s="775">
        <f t="shared" si="14"/>
        <v>100</v>
      </c>
      <c r="X32" s="1808"/>
      <c r="Y32" s="3230"/>
      <c r="Z32" s="1809">
        <f t="shared" si="15"/>
        <v>111</v>
      </c>
      <c r="AA32" s="1806">
        <f t="shared" si="3"/>
        <v>1</v>
      </c>
      <c r="AB32" s="1806">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231" t="s">
        <v>2563</v>
      </c>
      <c r="Q33" s="1805" t="str">
        <f t="shared" si="11"/>
        <v>建筑类型</v>
      </c>
      <c r="R33" s="774" t="s">
        <v>17</v>
      </c>
      <c r="S33" s="775">
        <f t="shared" si="12"/>
        <v>100</v>
      </c>
      <c r="T33" s="774" t="s">
        <v>17</v>
      </c>
      <c r="U33" s="775">
        <f t="shared" si="13"/>
        <v>100</v>
      </c>
      <c r="V33" s="774" t="s">
        <v>17</v>
      </c>
      <c r="W33" s="775">
        <f t="shared" si="14"/>
        <v>100</v>
      </c>
      <c r="X33" s="1808"/>
      <c r="Y33" s="3234" t="s">
        <v>2563</v>
      </c>
      <c r="Z33" s="1809" t="str">
        <f t="shared" si="15"/>
        <v>建筑类型</v>
      </c>
      <c r="AA33" s="1806">
        <f t="shared" si="3"/>
        <v>1</v>
      </c>
      <c r="AB33" s="1806">
        <f t="shared" si="4"/>
        <v>1</v>
      </c>
      <c r="AC33" s="2671">
        <f t="shared" si="5"/>
        <v>1</v>
      </c>
    </row>
    <row r="34" spans="1:29" s="471" customFormat="1" ht="15">
      <c r="A34" s="468"/>
      <c r="B34" s="422" t="s">
        <v>2564</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38"/>
      <c r="M34" s="1141"/>
      <c r="N34" s="1141"/>
      <c r="O34" s="1141"/>
      <c r="P34" s="3232"/>
      <c r="Q34" s="776" t="str">
        <f t="shared" si="11"/>
        <v>项目建筑规模</v>
      </c>
      <c r="R34" s="777" t="s">
        <v>17</v>
      </c>
      <c r="S34" s="778">
        <f t="shared" si="12"/>
        <v>100</v>
      </c>
      <c r="T34" s="777" t="s">
        <v>17</v>
      </c>
      <c r="U34" s="778">
        <f t="shared" si="13"/>
        <v>100</v>
      </c>
      <c r="V34" s="777" t="s">
        <v>17</v>
      </c>
      <c r="W34" s="778">
        <f t="shared" si="14"/>
        <v>100</v>
      </c>
      <c r="X34" s="779"/>
      <c r="Y34" s="3234"/>
      <c r="Z34" s="780" t="str">
        <f t="shared" si="15"/>
        <v>项目建筑规模</v>
      </c>
      <c r="AA34" s="1806">
        <f t="shared" si="3"/>
        <v>1</v>
      </c>
      <c r="AB34" s="1806">
        <f t="shared" si="4"/>
        <v>1</v>
      </c>
      <c r="AC34" s="2671">
        <f t="shared" si="5"/>
        <v>1</v>
      </c>
    </row>
    <row r="35" spans="1:29" ht="15">
      <c r="A35" s="472"/>
      <c r="B35" s="422"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32"/>
      <c r="Q35" s="1805" t="str">
        <f t="shared" si="11"/>
        <v>建筑结构</v>
      </c>
      <c r="R35" s="774" t="s">
        <v>17</v>
      </c>
      <c r="S35" s="775">
        <f t="shared" si="12"/>
        <v>100</v>
      </c>
      <c r="T35" s="774" t="s">
        <v>17</v>
      </c>
      <c r="U35" s="775">
        <f t="shared" si="13"/>
        <v>100</v>
      </c>
      <c r="V35" s="774" t="s">
        <v>17</v>
      </c>
      <c r="W35" s="775">
        <f t="shared" si="14"/>
        <v>100</v>
      </c>
      <c r="X35" s="1808"/>
      <c r="Y35" s="3234"/>
      <c r="Z35" s="1809" t="str">
        <f t="shared" si="15"/>
        <v>建筑结构</v>
      </c>
      <c r="AA35" s="1806">
        <f t="shared" si="3"/>
        <v>1</v>
      </c>
      <c r="AB35" s="1806">
        <f t="shared" si="4"/>
        <v>1</v>
      </c>
      <c r="AC35" s="2671">
        <f t="shared" si="5"/>
        <v>1</v>
      </c>
    </row>
    <row r="36" spans="1:29" ht="15">
      <c r="A36" s="472"/>
      <c r="B36" s="422"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32"/>
      <c r="Q36" s="1805" t="str">
        <f t="shared" si="11"/>
        <v>公共部分装修</v>
      </c>
      <c r="R36" s="774" t="s">
        <v>17</v>
      </c>
      <c r="S36" s="775">
        <f t="shared" si="12"/>
        <v>100</v>
      </c>
      <c r="T36" s="774" t="s">
        <v>17</v>
      </c>
      <c r="U36" s="775">
        <f t="shared" si="13"/>
        <v>100</v>
      </c>
      <c r="V36" s="774" t="s">
        <v>17</v>
      </c>
      <c r="W36" s="775">
        <f t="shared" si="14"/>
        <v>100</v>
      </c>
      <c r="X36" s="1808"/>
      <c r="Y36" s="3234"/>
      <c r="Z36" s="1809" t="str">
        <f t="shared" si="15"/>
        <v>公共部分装修</v>
      </c>
      <c r="AA36" s="1806">
        <f t="shared" si="3"/>
        <v>1</v>
      </c>
      <c r="AB36" s="1806">
        <f t="shared" si="4"/>
        <v>1</v>
      </c>
      <c r="AC36" s="2671">
        <f t="shared" si="5"/>
        <v>1</v>
      </c>
    </row>
    <row r="37" spans="1:29" ht="15">
      <c r="A37" s="472"/>
      <c r="B37" s="422" t="s">
        <v>2660</v>
      </c>
      <c r="C37" s="474">
        <v>0.76</v>
      </c>
      <c r="D37" s="435">
        <v>100</v>
      </c>
      <c r="E37" s="474">
        <v>0.76</v>
      </c>
      <c r="F37" s="461">
        <f>LOOKUP(E37,111:111,112:112)-LOOKUP(C37,111:111,112:112)+100</f>
        <v>100</v>
      </c>
      <c r="G37" s="474">
        <v>0.76</v>
      </c>
      <c r="H37" s="461">
        <f>LOOKUP(G37,111:111,112:112)-LOOKUP(C37,111:111,112:112)+100</f>
        <v>100</v>
      </c>
      <c r="I37" s="474">
        <v>0.76</v>
      </c>
      <c r="J37" s="435">
        <f>LOOKUP(I37,111:111,112:112)-LOOKUP(C37,111:111,112:112)+100</f>
        <v>100</v>
      </c>
      <c r="K37" s="612">
        <v>2</v>
      </c>
      <c r="L37" s="1140"/>
      <c r="M37" s="1131"/>
      <c r="N37" s="1131"/>
      <c r="O37" s="1131"/>
      <c r="P37" s="3232"/>
      <c r="Q37" s="1805" t="str">
        <f t="shared" si="11"/>
        <v>成新度</v>
      </c>
      <c r="R37" s="774" t="s">
        <v>17</v>
      </c>
      <c r="S37" s="775">
        <f t="shared" si="12"/>
        <v>100</v>
      </c>
      <c r="T37" s="774" t="s">
        <v>17</v>
      </c>
      <c r="U37" s="775">
        <f t="shared" si="13"/>
        <v>100</v>
      </c>
      <c r="V37" s="774" t="s">
        <v>17</v>
      </c>
      <c r="W37" s="775">
        <f t="shared" si="14"/>
        <v>100</v>
      </c>
      <c r="X37" s="1808"/>
      <c r="Y37" s="3234"/>
      <c r="Z37" s="1809" t="str">
        <f t="shared" si="15"/>
        <v>成新度</v>
      </c>
      <c r="AA37" s="1806">
        <f t="shared" si="3"/>
        <v>1</v>
      </c>
      <c r="AB37" s="1806">
        <f t="shared" si="4"/>
        <v>1</v>
      </c>
      <c r="AC37" s="2671">
        <f t="shared" si="5"/>
        <v>1</v>
      </c>
    </row>
    <row r="38" spans="1:29" s="117" customFormat="1" ht="15">
      <c r="A38" s="473"/>
      <c r="B38" s="422"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32"/>
      <c r="Q38" s="1790"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68">
        <f t="shared" si="5"/>
        <v>1</v>
      </c>
    </row>
    <row r="39" spans="1:29" ht="15">
      <c r="A39" s="472"/>
      <c r="B39" s="422"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32" t="s">
        <v>2563</v>
      </c>
      <c r="Q39" s="1805" t="str">
        <f t="shared" si="11"/>
        <v>物业管理</v>
      </c>
      <c r="R39" s="774" t="s">
        <v>17</v>
      </c>
      <c r="S39" s="775">
        <f t="shared" si="12"/>
        <v>100</v>
      </c>
      <c r="T39" s="774" t="s">
        <v>17</v>
      </c>
      <c r="U39" s="775">
        <f t="shared" si="13"/>
        <v>100</v>
      </c>
      <c r="V39" s="774" t="s">
        <v>17</v>
      </c>
      <c r="W39" s="775">
        <f t="shared" si="14"/>
        <v>100</v>
      </c>
      <c r="X39" s="1808"/>
      <c r="Y39" s="3234" t="s">
        <v>2563</v>
      </c>
      <c r="Z39" s="1809" t="str">
        <f t="shared" si="15"/>
        <v>物业管理</v>
      </c>
      <c r="AA39" s="1806">
        <f t="shared" si="3"/>
        <v>1</v>
      </c>
      <c r="AB39" s="1806">
        <f t="shared" si="4"/>
        <v>1</v>
      </c>
      <c r="AC39" s="2671">
        <f t="shared" si="5"/>
        <v>1</v>
      </c>
    </row>
    <row r="40" spans="1:29" ht="15">
      <c r="A40" s="472"/>
      <c r="B40" s="422"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32"/>
      <c r="Q40" s="1805" t="str">
        <f t="shared" si="11"/>
        <v>市政基础设施</v>
      </c>
      <c r="R40" s="774" t="s">
        <v>17</v>
      </c>
      <c r="S40" s="775">
        <f t="shared" si="12"/>
        <v>100</v>
      </c>
      <c r="T40" s="774" t="s">
        <v>17</v>
      </c>
      <c r="U40" s="775">
        <f t="shared" si="13"/>
        <v>100</v>
      </c>
      <c r="V40" s="774" t="s">
        <v>17</v>
      </c>
      <c r="W40" s="775">
        <f t="shared" si="14"/>
        <v>100</v>
      </c>
      <c r="X40" s="1808"/>
      <c r="Y40" s="3234"/>
      <c r="Z40" s="1809" t="str">
        <f t="shared" si="15"/>
        <v>市政基础设施</v>
      </c>
      <c r="AA40" s="1806">
        <f t="shared" si="3"/>
        <v>1</v>
      </c>
      <c r="AB40" s="1806">
        <f t="shared" si="4"/>
        <v>1</v>
      </c>
      <c r="AC40" s="2671">
        <f t="shared" si="5"/>
        <v>1</v>
      </c>
    </row>
    <row r="41" spans="1:29" ht="15">
      <c r="A41" s="472"/>
      <c r="B41" s="422"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32"/>
      <c r="Q41" s="1805" t="str">
        <f t="shared" si="11"/>
        <v>层高</v>
      </c>
      <c r="R41" s="774" t="s">
        <v>17</v>
      </c>
      <c r="S41" s="775">
        <f t="shared" si="12"/>
        <v>100</v>
      </c>
      <c r="T41" s="774" t="s">
        <v>17</v>
      </c>
      <c r="U41" s="775">
        <f t="shared" si="13"/>
        <v>100</v>
      </c>
      <c r="V41" s="774" t="s">
        <v>17</v>
      </c>
      <c r="W41" s="775">
        <f t="shared" si="14"/>
        <v>100</v>
      </c>
      <c r="X41" s="1808"/>
      <c r="Y41" s="3234"/>
      <c r="Z41" s="1809" t="str">
        <f t="shared" si="15"/>
        <v>层高</v>
      </c>
      <c r="AA41" s="1806">
        <f t="shared" si="3"/>
        <v>1</v>
      </c>
      <c r="AB41" s="1806">
        <f t="shared" si="4"/>
        <v>1</v>
      </c>
      <c r="AC41" s="2671">
        <f t="shared" si="5"/>
        <v>1</v>
      </c>
    </row>
    <row r="42" spans="1:29" s="471" customFormat="1" ht="15">
      <c r="A42" s="468"/>
      <c r="B42" s="1807" t="s">
        <v>2694</v>
      </c>
      <c r="C42" s="434" t="s">
        <v>3121</v>
      </c>
      <c r="D42" s="435">
        <v>100</v>
      </c>
      <c r="E42" s="434" t="s">
        <v>3151</v>
      </c>
      <c r="F42" s="461">
        <f>SUMIF(121:121,E42,122:122)-SUMIF(121:121,C42,122:122)+100</f>
        <v>100</v>
      </c>
      <c r="G42" s="434" t="s">
        <v>3154</v>
      </c>
      <c r="H42" s="435">
        <f>SUMIF(121:121,G42,122:122)-SUMIF(121:121,C42,122:122)+100</f>
        <v>100</v>
      </c>
      <c r="I42" s="2968" t="s">
        <v>3121</v>
      </c>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06">
        <f t="shared" si="3"/>
        <v>1</v>
      </c>
      <c r="AB42" s="1806">
        <f t="shared" si="4"/>
        <v>1</v>
      </c>
      <c r="AC42" s="2671">
        <f t="shared" si="5"/>
        <v>1</v>
      </c>
    </row>
    <row r="43" spans="1:29" ht="15">
      <c r="A43" s="472"/>
      <c r="B43" s="422" t="s">
        <v>2666</v>
      </c>
      <c r="C43" s="460" t="s">
        <v>3125</v>
      </c>
      <c r="D43" s="435">
        <v>100</v>
      </c>
      <c r="E43" s="460" t="s">
        <v>3125</v>
      </c>
      <c r="F43" s="461">
        <f>SUMIF(123:123,E43,124:124)-SUMIF(123:123,C43,124:124)+100</f>
        <v>100</v>
      </c>
      <c r="G43" s="460" t="s">
        <v>3127</v>
      </c>
      <c r="H43" s="435">
        <f>SUMIF(123:123,G43,124:124)-SUMIF(123:123,C43,124:124)+100</f>
        <v>95</v>
      </c>
      <c r="I43" s="2970" t="s">
        <v>3125</v>
      </c>
      <c r="J43" s="435">
        <f>SUMIF(123:123,I43,124:124)-SUMIF(123:123,C43,124:124)+100</f>
        <v>100</v>
      </c>
      <c r="K43" s="2971">
        <v>5</v>
      </c>
      <c r="L43" s="1140"/>
      <c r="M43" s="1131"/>
      <c r="N43" s="1131"/>
      <c r="O43" s="1131"/>
      <c r="P43" s="3232"/>
      <c r="Q43" s="1805" t="str">
        <f t="shared" si="11"/>
        <v>内部装修</v>
      </c>
      <c r="R43" s="774" t="s">
        <v>17</v>
      </c>
      <c r="S43" s="775">
        <f t="shared" si="12"/>
        <v>100</v>
      </c>
      <c r="T43" s="774" t="s">
        <v>17</v>
      </c>
      <c r="U43" s="775">
        <f t="shared" si="13"/>
        <v>95</v>
      </c>
      <c r="V43" s="774" t="s">
        <v>17</v>
      </c>
      <c r="W43" s="775">
        <f t="shared" si="14"/>
        <v>100</v>
      </c>
      <c r="X43" s="1808"/>
      <c r="Y43" s="3234"/>
      <c r="Z43" s="1809" t="str">
        <f t="shared" si="15"/>
        <v>内部装修</v>
      </c>
      <c r="AA43" s="1806">
        <f t="shared" si="3"/>
        <v>1</v>
      </c>
      <c r="AB43" s="1806">
        <f t="shared" si="4"/>
        <v>1.0526315789473684</v>
      </c>
      <c r="AC43" s="2671">
        <f t="shared" si="5"/>
        <v>1</v>
      </c>
    </row>
    <row r="44" spans="1:29" ht="15.75" thickBot="1">
      <c r="A44" s="472"/>
      <c r="B44" s="422"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32"/>
      <c r="Q44" s="1805" t="str">
        <f t="shared" si="11"/>
        <v>内部装修维护情况</v>
      </c>
      <c r="R44" s="774" t="s">
        <v>17</v>
      </c>
      <c r="S44" s="775">
        <f t="shared" si="12"/>
        <v>100</v>
      </c>
      <c r="T44" s="774" t="s">
        <v>17</v>
      </c>
      <c r="U44" s="775">
        <f t="shared" si="13"/>
        <v>100</v>
      </c>
      <c r="V44" s="774" t="s">
        <v>17</v>
      </c>
      <c r="W44" s="775">
        <f t="shared" si="14"/>
        <v>100</v>
      </c>
      <c r="X44" s="1808"/>
      <c r="Y44" s="3234"/>
      <c r="Z44" s="1809" t="str">
        <f t="shared" si="15"/>
        <v>内部装修维护情况</v>
      </c>
      <c r="AA44" s="1806">
        <f t="shared" si="3"/>
        <v>1</v>
      </c>
      <c r="AB44" s="1806">
        <f t="shared" si="4"/>
        <v>1</v>
      </c>
      <c r="AC44" s="2671">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0">
        <f t="shared" si="11"/>
        <v>111</v>
      </c>
      <c r="R45" s="770" t="s">
        <v>17</v>
      </c>
      <c r="S45" s="771">
        <f t="shared" si="12"/>
        <v>100</v>
      </c>
      <c r="T45" s="770" t="s">
        <v>17</v>
      </c>
      <c r="U45" s="771">
        <f t="shared" si="13"/>
        <v>100</v>
      </c>
      <c r="V45" s="770" t="s">
        <v>17</v>
      </c>
      <c r="W45" s="771">
        <f t="shared" si="14"/>
        <v>100</v>
      </c>
      <c r="X45" s="772"/>
      <c r="Y45" s="3234"/>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05">
        <f t="shared" si="11"/>
        <v>111</v>
      </c>
      <c r="R46" s="774" t="s">
        <v>17</v>
      </c>
      <c r="S46" s="775">
        <f t="shared" si="12"/>
        <v>100</v>
      </c>
      <c r="T46" s="774" t="s">
        <v>17</v>
      </c>
      <c r="U46" s="775">
        <f t="shared" si="13"/>
        <v>100</v>
      </c>
      <c r="V46" s="774" t="s">
        <v>17</v>
      </c>
      <c r="W46" s="775">
        <f t="shared" si="14"/>
        <v>100</v>
      </c>
      <c r="X46" s="1808"/>
      <c r="Y46" s="3234"/>
      <c r="Z46" s="1809">
        <f t="shared" si="15"/>
        <v>111</v>
      </c>
      <c r="AA46" s="1806">
        <f t="shared" si="3"/>
        <v>1</v>
      </c>
      <c r="AB46" s="1806">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05">
        <f t="shared" si="11"/>
        <v>111</v>
      </c>
      <c r="R47" s="774" t="s">
        <v>17</v>
      </c>
      <c r="S47" s="775">
        <f t="shared" si="12"/>
        <v>100</v>
      </c>
      <c r="T47" s="774" t="s">
        <v>17</v>
      </c>
      <c r="U47" s="775">
        <f t="shared" si="13"/>
        <v>100</v>
      </c>
      <c r="V47" s="774" t="s">
        <v>17</v>
      </c>
      <c r="W47" s="775">
        <f t="shared" si="14"/>
        <v>100</v>
      </c>
      <c r="X47" s="1808"/>
      <c r="Y47" s="3235"/>
      <c r="Z47" s="1809">
        <f t="shared" si="15"/>
        <v>111</v>
      </c>
      <c r="AA47" s="1806">
        <f t="shared" si="3"/>
        <v>1</v>
      </c>
      <c r="AB47" s="1806">
        <f t="shared" si="4"/>
        <v>1</v>
      </c>
      <c r="AC47" s="2671">
        <f t="shared" si="5"/>
        <v>1</v>
      </c>
    </row>
    <row r="48" spans="1:29" ht="15">
      <c r="A48" s="479" t="s">
        <v>2575</v>
      </c>
      <c r="B48" s="480"/>
      <c r="C48" s="1407" t="s">
        <v>1</v>
      </c>
      <c r="D48" s="1408"/>
      <c r="E48" s="1409">
        <v>46000</v>
      </c>
      <c r="F48" s="1410"/>
      <c r="G48" s="1411">
        <v>45000</v>
      </c>
      <c r="H48" s="1412"/>
      <c r="I48" s="2969">
        <v>48000</v>
      </c>
      <c r="J48" s="485"/>
      <c r="K48" s="783"/>
      <c r="L48" s="1143"/>
      <c r="M48" s="1131"/>
      <c r="N48" s="1131"/>
      <c r="O48" s="1131"/>
      <c r="P48" s="3209" t="str">
        <f>A48</f>
        <v>成交单价（元/平方米）</v>
      </c>
      <c r="Q48" s="3227"/>
      <c r="R48" s="3228">
        <f>E48</f>
        <v>46000</v>
      </c>
      <c r="S48" s="3228"/>
      <c r="T48" s="3228">
        <f>G48</f>
        <v>45000</v>
      </c>
      <c r="U48" s="3228"/>
      <c r="V48" s="3228">
        <f>I48</f>
        <v>48000</v>
      </c>
      <c r="W48" s="3228"/>
      <c r="X48" s="446"/>
      <c r="Y48" s="781"/>
      <c r="Z48" s="446"/>
      <c r="AA48" s="446"/>
      <c r="AB48" s="446"/>
      <c r="AC48" s="630"/>
    </row>
    <row r="49" spans="1:29" ht="15.75" thickBot="1">
      <c r="A49" s="486" t="s">
        <v>2667</v>
      </c>
      <c r="B49" s="487"/>
      <c r="C49" s="1413">
        <f>R50</f>
        <v>47123</v>
      </c>
      <c r="D49" s="1414"/>
      <c r="E49" s="1415">
        <f>R49</f>
        <v>46000</v>
      </c>
      <c r="F49" s="1415"/>
      <c r="G49" s="1413">
        <f>T49</f>
        <v>47368</v>
      </c>
      <c r="H49" s="1414"/>
      <c r="I49" s="1415">
        <f>V49</f>
        <v>48000</v>
      </c>
      <c r="J49" s="489"/>
      <c r="K49" s="784"/>
      <c r="L49" s="1143"/>
      <c r="M49" s="1131"/>
      <c r="N49" s="1131"/>
      <c r="O49" s="1131"/>
      <c r="P49" s="3209" t="str">
        <f>A49</f>
        <v>比较价值（元/平方米）</v>
      </c>
      <c r="Q49" s="3227"/>
      <c r="R49" s="3228">
        <f>IF(F1="售价",ROUND(PRODUCT(R48,AA7:AA47),0),ROUND(PRODUCT(R48,AA7:AA47),1))</f>
        <v>46000</v>
      </c>
      <c r="S49" s="3228"/>
      <c r="T49" s="3228">
        <f>IF(F1="售价",ROUND(PRODUCT(T48,AB7:AB47),0),ROUND(PRODUCT(T48,AB7:AB47),1))</f>
        <v>47368</v>
      </c>
      <c r="U49" s="3228"/>
      <c r="V49" s="3228">
        <f>IF(F1="售价",ROUND(PRODUCT(V48,AC7:AC47),0),ROUND(PRODUCT(V48,AC7:AC47),1))</f>
        <v>48000</v>
      </c>
      <c r="W49" s="3228"/>
      <c r="X49" s="446"/>
      <c r="Y49" s="446"/>
      <c r="Z49" s="446"/>
      <c r="AA49" s="446"/>
      <c r="AB49" s="446"/>
      <c r="AC49" s="630"/>
    </row>
    <row r="50" spans="1:29" ht="15.75" thickBot="1">
      <c r="A50" s="492" t="s">
        <v>2668</v>
      </c>
      <c r="B50" s="493"/>
      <c r="C50" s="1417">
        <f>R50</f>
        <v>47123</v>
      </c>
      <c r="D50" s="1417"/>
      <c r="E50" s="1417"/>
      <c r="F50" s="1417"/>
      <c r="G50" s="1417"/>
      <c r="H50" s="1417"/>
      <c r="I50" s="1417"/>
      <c r="J50" s="494"/>
      <c r="K50" s="785"/>
      <c r="L50" s="1143"/>
      <c r="M50" s="1131"/>
      <c r="N50" s="1131"/>
      <c r="O50" s="1131"/>
      <c r="P50" s="3238" t="str">
        <f>A50</f>
        <v>估价对象XX用房的比较价值（楼面单价，元/平方米）</v>
      </c>
      <c r="Q50" s="3239"/>
      <c r="R50" s="3240">
        <f>IF(F1="售价",ROUND(AVERAGE(R49:V49),0),ROUND(AVERAGE(R49:V49),1))</f>
        <v>47123</v>
      </c>
      <c r="S50" s="3240"/>
      <c r="T50" s="3240"/>
      <c r="U50" s="3240"/>
      <c r="V50" s="3240"/>
      <c r="W50" s="3240"/>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5.2622222222222126E-2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2670</v>
      </c>
      <c r="D54" s="501"/>
      <c r="E54" s="499">
        <f>IF(E49&lt;G49,G49/E49-1,E49/G49-1)</f>
        <v>2.9739130434782712E-2</v>
      </c>
      <c r="F54" s="500" t="str">
        <f>IF(OR(E54&gt;=0.2,E54&lt;=-0.2),"超过20%","")</f>
        <v/>
      </c>
      <c r="G54" s="499">
        <f>IF(G49&lt;I49,I49/G49-1,G49/I49-1)</f>
        <v>1.3342340820807319E-2</v>
      </c>
      <c r="H54" s="500" t="str">
        <f>IF(OR(G54&gt;=0.2,G54&lt;=-0.2),"超过20%","")</f>
        <v/>
      </c>
      <c r="I54" s="499">
        <f>IF(I49&lt;E49,E49/I49-1,I49/E49-1)</f>
        <v>4.3478260869565188E-2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2.2222222222222143E-2</v>
      </c>
      <c r="F55" s="500" t="str">
        <f>IF(OR(E55&gt;=0.3,E55&lt;=-0.3),"超过30%","")</f>
        <v/>
      </c>
      <c r="G55" s="499">
        <f>IF(G48&lt;I48,I48/G48-1,G48/I48-1)</f>
        <v>6.6666666666666652E-2</v>
      </c>
      <c r="H55" s="500" t="str">
        <f>IF(OR(G55&gt;=0.3,G55&lt;=-0.3),"超过30%","")</f>
        <v/>
      </c>
      <c r="I55" s="499">
        <f>IF(I48&lt;E48,E48/I48-1,I48/E48-1)</f>
        <v>4.3478260869565188E-2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f>
        <v>100</v>
      </c>
      <c r="E60" s="512">
        <f>D60</f>
        <v>100</v>
      </c>
      <c r="F60" s="512">
        <f>C60</f>
        <v>100</v>
      </c>
      <c r="G60" s="512"/>
      <c r="H60" s="512"/>
      <c r="I60" s="512"/>
      <c r="J60" s="512"/>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3"/>
      <c r="O102" s="1153"/>
      <c r="P102" s="2681"/>
      <c r="Q102" s="504"/>
    </row>
    <row r="103" spans="1:17" ht="29.25" thickTop="1">
      <c r="A103" s="534"/>
      <c r="B103" s="538" t="s">
        <v>2611</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83"/>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0">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3145</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1">C124-$K43</f>
        <v>95</v>
      </c>
      <c r="E124" s="544">
        <f t="shared" si="31"/>
        <v>90</v>
      </c>
      <c r="F124" s="544">
        <f t="shared" si="31"/>
        <v>85</v>
      </c>
      <c r="G124" s="544">
        <f t="shared" si="31"/>
        <v>80</v>
      </c>
      <c r="H124" s="544">
        <f t="shared" si="31"/>
        <v>75</v>
      </c>
      <c r="I124" s="544">
        <f t="shared" si="31"/>
        <v>70</v>
      </c>
      <c r="J124" s="544">
        <f t="shared" si="31"/>
        <v>65</v>
      </c>
      <c r="K124" s="544">
        <f t="shared" si="31"/>
        <v>60</v>
      </c>
      <c r="L124" s="544">
        <f t="shared" si="31"/>
        <v>55</v>
      </c>
      <c r="M124" s="545">
        <f t="shared" si="31"/>
        <v>50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准信智慧消防股份有限公司：</v>
      </c>
    </row>
    <row r="4" spans="1:1" ht="36">
      <c r="A4" s="1943" t="str">
        <f>"受贵公司委托，我公司对"&amp;项目基本情况!S1&amp;"进行了预评估。"</f>
        <v>受贵公司委托，我公司对北京市西城区西直门外大街1号院2号楼17层19C5-19C13房地产抵押价值进行了预评估。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2019年5月7日（评估专业人员实地查勘之日）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本次评估采用的主估价方法为比较法和收益法。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2700</v>
      </c>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1141.77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5" t="s">
        <v>2547</v>
      </c>
      <c r="Q7" s="3223"/>
      <c r="R7" s="770" t="s">
        <v>17</v>
      </c>
      <c r="S7" s="771">
        <f t="shared" ref="S7:S15" si="0">F7</f>
        <v>0</v>
      </c>
      <c r="T7" s="770" t="s">
        <v>17</v>
      </c>
      <c r="U7" s="771">
        <f t="shared" ref="U7:U15" si="1">H7</f>
        <v>0</v>
      </c>
      <c r="V7" s="770" t="s">
        <v>17</v>
      </c>
      <c r="W7" s="771">
        <f t="shared" ref="W7:W15" si="2">J7</f>
        <v>0</v>
      </c>
      <c r="X7" s="772"/>
      <c r="Y7" s="3195" t="s">
        <v>2547</v>
      </c>
      <c r="Z7" s="319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7"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7"/>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7"/>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27"/>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27"/>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9" t="s">
        <v>2558</v>
      </c>
      <c r="Q15" s="1805" t="str">
        <f t="shared" si="6"/>
        <v>产业集聚程度</v>
      </c>
      <c r="R15" s="774" t="s">
        <v>17</v>
      </c>
      <c r="S15" s="775">
        <f t="shared" si="0"/>
        <v>100</v>
      </c>
      <c r="T15" s="774" t="s">
        <v>17</v>
      </c>
      <c r="U15" s="775">
        <f t="shared" si="1"/>
        <v>100</v>
      </c>
      <c r="V15" s="774" t="s">
        <v>17</v>
      </c>
      <c r="W15" s="775">
        <f t="shared" si="2"/>
        <v>100</v>
      </c>
      <c r="X15" s="1808"/>
      <c r="Y15" s="3229" t="s">
        <v>2558</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9"/>
      <c r="P16" s="3230"/>
      <c r="Q16" s="1805"/>
      <c r="R16" s="774"/>
      <c r="S16" s="775"/>
      <c r="T16" s="774"/>
      <c r="U16" s="775"/>
      <c r="V16" s="774"/>
      <c r="W16" s="775"/>
      <c r="X16" s="1808"/>
      <c r="Y16" s="3230"/>
      <c r="Z16" s="1809"/>
      <c r="AA16" s="1806">
        <v>1</v>
      </c>
      <c r="AB16" s="1806">
        <v>1</v>
      </c>
      <c r="AC16" s="1806">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0"/>
      <c r="Q17" s="1805" t="str">
        <f>B17</f>
        <v>交通便捷度</v>
      </c>
      <c r="R17" s="774" t="s">
        <v>17</v>
      </c>
      <c r="S17" s="775">
        <f>F17</f>
        <v>100</v>
      </c>
      <c r="T17" s="774" t="s">
        <v>17</v>
      </c>
      <c r="U17" s="775">
        <f>H17</f>
        <v>100</v>
      </c>
      <c r="V17" s="774" t="s">
        <v>17</v>
      </c>
      <c r="W17" s="775">
        <f>J17</f>
        <v>100</v>
      </c>
      <c r="X17" s="1808"/>
      <c r="Y17" s="3230"/>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9"/>
      <c r="P18" s="3230"/>
      <c r="Q18" s="1805"/>
      <c r="R18" s="774"/>
      <c r="S18" s="775"/>
      <c r="T18" s="774"/>
      <c r="U18" s="775"/>
      <c r="V18" s="774"/>
      <c r="W18" s="775"/>
      <c r="X18" s="1808"/>
      <c r="Y18" s="3230"/>
      <c r="Z18" s="1809"/>
      <c r="AA18" s="1806">
        <v>1</v>
      </c>
      <c r="AB18" s="1806">
        <v>1</v>
      </c>
      <c r="AC18" s="1806">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0"/>
      <c r="Q19" s="1805" t="str">
        <f>B19</f>
        <v>公共配套设施</v>
      </c>
      <c r="R19" s="774" t="s">
        <v>17</v>
      </c>
      <c r="S19" s="775">
        <f>F19</f>
        <v>100</v>
      </c>
      <c r="T19" s="774" t="s">
        <v>17</v>
      </c>
      <c r="U19" s="775">
        <f>H19</f>
        <v>100</v>
      </c>
      <c r="V19" s="774" t="s">
        <v>17</v>
      </c>
      <c r="W19" s="775">
        <f>J19</f>
        <v>100</v>
      </c>
      <c r="X19" s="1808"/>
      <c r="Y19" s="3230"/>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9"/>
      <c r="P20" s="3230"/>
      <c r="Q20" s="1805"/>
      <c r="R20" s="774"/>
      <c r="S20" s="775"/>
      <c r="T20" s="774"/>
      <c r="U20" s="775"/>
      <c r="V20" s="774"/>
      <c r="W20" s="775"/>
      <c r="X20" s="1808"/>
      <c r="Y20" s="3230"/>
      <c r="Z20" s="1809"/>
      <c r="AA20" s="1806">
        <v>1</v>
      </c>
      <c r="AB20" s="1806">
        <v>1</v>
      </c>
      <c r="AC20" s="1806">
        <v>1</v>
      </c>
    </row>
    <row r="21" spans="1:29" ht="28.5">
      <c r="A21" s="428"/>
      <c r="B21" s="1384"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0"/>
      <c r="Q21" s="1805" t="str">
        <f>B21</f>
        <v>基础设施水平</v>
      </c>
      <c r="R21" s="774" t="s">
        <v>17</v>
      </c>
      <c r="S21" s="775">
        <f>F21</f>
        <v>100</v>
      </c>
      <c r="T21" s="774" t="s">
        <v>17</v>
      </c>
      <c r="U21" s="775">
        <f>H21</f>
        <v>100</v>
      </c>
      <c r="V21" s="774" t="s">
        <v>17</v>
      </c>
      <c r="W21" s="775">
        <f>J21</f>
        <v>100</v>
      </c>
      <c r="X21" s="1808"/>
      <c r="Y21" s="3230"/>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9"/>
      <c r="P22" s="3230"/>
      <c r="Q22" s="1805"/>
      <c r="R22" s="774"/>
      <c r="S22" s="775"/>
      <c r="T22" s="774"/>
      <c r="U22" s="775"/>
      <c r="V22" s="774"/>
      <c r="W22" s="775"/>
      <c r="X22" s="1808"/>
      <c r="Y22" s="3230"/>
      <c r="Z22" s="1809"/>
      <c r="AA22" s="1806">
        <v>1</v>
      </c>
      <c r="AB22" s="1806">
        <v>1</v>
      </c>
      <c r="AC22" s="1806">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0"/>
      <c r="Q23" s="1805" t="str">
        <f>B23</f>
        <v>环境质量</v>
      </c>
      <c r="R23" s="774" t="s">
        <v>17</v>
      </c>
      <c r="S23" s="775">
        <f>F23</f>
        <v>100</v>
      </c>
      <c r="T23" s="774" t="s">
        <v>17</v>
      </c>
      <c r="U23" s="775">
        <f>H23</f>
        <v>100</v>
      </c>
      <c r="V23" s="774" t="s">
        <v>17</v>
      </c>
      <c r="W23" s="775">
        <f>J23</f>
        <v>100</v>
      </c>
      <c r="X23" s="1808"/>
      <c r="Y23" s="3230"/>
      <c r="Z23" s="1809" t="str">
        <f>Q23</f>
        <v>环境质量</v>
      </c>
      <c r="AA23" s="1806">
        <f t="shared" si="3"/>
        <v>1</v>
      </c>
      <c r="AB23" s="1806">
        <f t="shared" si="4"/>
        <v>1</v>
      </c>
      <c r="AC23" s="1806">
        <f t="shared" si="5"/>
        <v>1</v>
      </c>
    </row>
    <row r="24" spans="1:29" ht="15">
      <c r="A24" s="428"/>
      <c r="B24" s="1384"/>
      <c r="C24" s="447"/>
      <c r="D24" s="448"/>
      <c r="E24" s="2602"/>
      <c r="F24" s="449"/>
      <c r="G24" s="2601"/>
      <c r="H24" s="448"/>
      <c r="I24" s="2602"/>
      <c r="J24" s="448"/>
      <c r="K24" s="615"/>
      <c r="L24" s="1140"/>
      <c r="M24" s="1131"/>
      <c r="N24" s="1131"/>
      <c r="O24" s="1139"/>
      <c r="P24" s="3230"/>
      <c r="Q24" s="1805"/>
      <c r="R24" s="774"/>
      <c r="S24" s="775"/>
      <c r="T24" s="774"/>
      <c r="U24" s="775"/>
      <c r="V24" s="774"/>
      <c r="W24" s="775"/>
      <c r="X24" s="1808"/>
      <c r="Y24" s="3230"/>
      <c r="Z24" s="1809"/>
      <c r="AA24" s="1806">
        <v>1</v>
      </c>
      <c r="AB24" s="1806">
        <v>1</v>
      </c>
      <c r="AC24" s="180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0"/>
      <c r="Q25" s="1805">
        <f>B25</f>
        <v>111</v>
      </c>
      <c r="R25" s="774" t="s">
        <v>17</v>
      </c>
      <c r="S25" s="775">
        <f>F25</f>
        <v>100</v>
      </c>
      <c r="T25" s="774" t="s">
        <v>17</v>
      </c>
      <c r="U25" s="775">
        <f>H25</f>
        <v>100</v>
      </c>
      <c r="V25" s="774" t="s">
        <v>17</v>
      </c>
      <c r="W25" s="775">
        <f>J25</f>
        <v>100</v>
      </c>
      <c r="X25" s="1808"/>
      <c r="Y25" s="3230"/>
      <c r="Z25" s="1809">
        <f>Q25</f>
        <v>111</v>
      </c>
      <c r="AA25" s="1806">
        <f t="shared" si="3"/>
        <v>1</v>
      </c>
      <c r="AB25" s="1806">
        <f t="shared" si="4"/>
        <v>1</v>
      </c>
      <c r="AC25" s="180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0"/>
      <c r="Q26" s="1805">
        <f t="shared" ref="Q26:Q40" si="11">B26</f>
        <v>111</v>
      </c>
      <c r="R26" s="774" t="s">
        <v>17</v>
      </c>
      <c r="S26" s="775">
        <f>F26</f>
        <v>100</v>
      </c>
      <c r="T26" s="774" t="s">
        <v>17</v>
      </c>
      <c r="U26" s="775">
        <f>H26</f>
        <v>100</v>
      </c>
      <c r="V26" s="774" t="s">
        <v>17</v>
      </c>
      <c r="W26" s="775">
        <f>J26</f>
        <v>100</v>
      </c>
      <c r="X26" s="1808"/>
      <c r="Y26" s="3230"/>
      <c r="Z26" s="1809">
        <f>Q26</f>
        <v>111</v>
      </c>
      <c r="AA26" s="1806">
        <f t="shared" si="3"/>
        <v>1</v>
      </c>
      <c r="AB26" s="1806">
        <f t="shared" si="4"/>
        <v>1</v>
      </c>
      <c r="AC26" s="180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0"/>
      <c r="Q27" s="1790">
        <f t="shared" si="11"/>
        <v>111</v>
      </c>
      <c r="R27" s="770" t="s">
        <v>17</v>
      </c>
      <c r="S27" s="771">
        <f>F27</f>
        <v>100</v>
      </c>
      <c r="T27" s="770" t="s">
        <v>17</v>
      </c>
      <c r="U27" s="771">
        <f>H27</f>
        <v>100</v>
      </c>
      <c r="V27" s="770" t="s">
        <v>17</v>
      </c>
      <c r="W27" s="771">
        <f>J27</f>
        <v>100</v>
      </c>
      <c r="X27" s="772"/>
      <c r="Y27" s="3230"/>
      <c r="Z27" s="55">
        <f>Q27</f>
        <v>111</v>
      </c>
      <c r="AA27" s="1806">
        <f>D27/F27</f>
        <v>1</v>
      </c>
      <c r="AB27" s="1806">
        <f>D27/H27</f>
        <v>1</v>
      </c>
      <c r="AC27" s="180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0"/>
      <c r="Q28" s="1805">
        <f t="shared" si="11"/>
        <v>111</v>
      </c>
      <c r="R28" s="774" t="s">
        <v>17</v>
      </c>
      <c r="S28" s="775">
        <f t="shared" ref="S28:S40" si="12">F28</f>
        <v>100</v>
      </c>
      <c r="T28" s="774" t="s">
        <v>17</v>
      </c>
      <c r="U28" s="775">
        <f t="shared" ref="U28:U40" si="13">H28</f>
        <v>100</v>
      </c>
      <c r="V28" s="774" t="s">
        <v>17</v>
      </c>
      <c r="W28" s="775">
        <f t="shared" ref="W28:W40" si="14">J28</f>
        <v>100</v>
      </c>
      <c r="X28" s="1808"/>
      <c r="Y28" s="3230"/>
      <c r="Z28" s="1809">
        <f t="shared" ref="Z28:Z40" si="15">Q28</f>
        <v>111</v>
      </c>
      <c r="AA28" s="1806">
        <f t="shared" si="3"/>
        <v>1</v>
      </c>
      <c r="AB28" s="1806">
        <f t="shared" si="4"/>
        <v>1</v>
      </c>
      <c r="AC28" s="1806">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57" t="s">
        <v>2563</v>
      </c>
      <c r="Q29" s="1805" t="str">
        <f t="shared" si="11"/>
        <v>建筑类型</v>
      </c>
      <c r="R29" s="774" t="s">
        <v>17</v>
      </c>
      <c r="S29" s="775">
        <f t="shared" si="12"/>
        <v>100</v>
      </c>
      <c r="T29" s="774" t="s">
        <v>17</v>
      </c>
      <c r="U29" s="775">
        <f t="shared" si="13"/>
        <v>100</v>
      </c>
      <c r="V29" s="774" t="s">
        <v>17</v>
      </c>
      <c r="W29" s="775">
        <f t="shared" si="14"/>
        <v>100</v>
      </c>
      <c r="X29" s="1808"/>
      <c r="Y29" s="3234" t="s">
        <v>2563</v>
      </c>
      <c r="Z29" s="1809" t="str">
        <f t="shared" si="15"/>
        <v>建筑类型</v>
      </c>
      <c r="AA29" s="1806">
        <f t="shared" si="3"/>
        <v>1</v>
      </c>
      <c r="AB29" s="1806">
        <f t="shared" si="4"/>
        <v>1</v>
      </c>
      <c r="AC29" s="180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06" t="e">
        <f t="shared" si="3"/>
        <v>#N/A</v>
      </c>
      <c r="AB30" s="1806" t="e">
        <f t="shared" si="4"/>
        <v>#N/A</v>
      </c>
      <c r="AC30" s="180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4"/>
      <c r="Q31" s="1805" t="str">
        <f t="shared" si="11"/>
        <v>建筑结构</v>
      </c>
      <c r="R31" s="774" t="s">
        <v>17</v>
      </c>
      <c r="S31" s="775">
        <f t="shared" si="12"/>
        <v>100</v>
      </c>
      <c r="T31" s="774" t="s">
        <v>17</v>
      </c>
      <c r="U31" s="775">
        <f t="shared" si="13"/>
        <v>100</v>
      </c>
      <c r="V31" s="774" t="s">
        <v>17</v>
      </c>
      <c r="W31" s="775">
        <f t="shared" si="14"/>
        <v>100</v>
      </c>
      <c r="X31" s="1808"/>
      <c r="Y31" s="3234"/>
      <c r="Z31" s="1809" t="str">
        <f t="shared" si="15"/>
        <v>建筑结构</v>
      </c>
      <c r="AA31" s="1806">
        <f t="shared" si="3"/>
        <v>1</v>
      </c>
      <c r="AB31" s="1806">
        <f t="shared" si="4"/>
        <v>1</v>
      </c>
      <c r="AC31" s="180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4"/>
      <c r="Q32" s="1805" t="str">
        <f t="shared" si="11"/>
        <v>公共部分装修</v>
      </c>
      <c r="R32" s="774" t="s">
        <v>17</v>
      </c>
      <c r="S32" s="775">
        <f t="shared" si="12"/>
        <v>100</v>
      </c>
      <c r="T32" s="774" t="s">
        <v>17</v>
      </c>
      <c r="U32" s="775">
        <f t="shared" si="13"/>
        <v>100</v>
      </c>
      <c r="V32" s="774" t="s">
        <v>17</v>
      </c>
      <c r="W32" s="775">
        <f t="shared" si="14"/>
        <v>100</v>
      </c>
      <c r="X32" s="1808"/>
      <c r="Y32" s="3234"/>
      <c r="Z32" s="1809" t="str">
        <f t="shared" si="15"/>
        <v>公共部分装修</v>
      </c>
      <c r="AA32" s="1806">
        <f t="shared" si="3"/>
        <v>1</v>
      </c>
      <c r="AB32" s="1806">
        <f t="shared" si="4"/>
        <v>1</v>
      </c>
      <c r="AC32" s="180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4"/>
      <c r="Q33" s="1805" t="str">
        <f t="shared" si="11"/>
        <v>成新度</v>
      </c>
      <c r="R33" s="774" t="s">
        <v>17</v>
      </c>
      <c r="S33" s="775" t="e">
        <f t="shared" si="12"/>
        <v>#N/A</v>
      </c>
      <c r="T33" s="774" t="s">
        <v>17</v>
      </c>
      <c r="U33" s="775" t="e">
        <f t="shared" si="13"/>
        <v>#N/A</v>
      </c>
      <c r="V33" s="774" t="s">
        <v>17</v>
      </c>
      <c r="W33" s="775" t="e">
        <f t="shared" si="14"/>
        <v>#N/A</v>
      </c>
      <c r="X33" s="1808"/>
      <c r="Y33" s="3234"/>
      <c r="Z33" s="1809" t="str">
        <f t="shared" si="15"/>
        <v>成新度</v>
      </c>
      <c r="AA33" s="1806" t="e">
        <f t="shared" si="3"/>
        <v>#N/A</v>
      </c>
      <c r="AB33" s="1806" t="e">
        <f t="shared" si="4"/>
        <v>#N/A</v>
      </c>
      <c r="AC33" s="180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4"/>
      <c r="Q34" s="1790"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4" t="s">
        <v>2563</v>
      </c>
      <c r="Q35" s="1805" t="str">
        <f t="shared" si="11"/>
        <v>市政基础设施</v>
      </c>
      <c r="R35" s="774" t="s">
        <v>17</v>
      </c>
      <c r="S35" s="775">
        <f t="shared" si="12"/>
        <v>100</v>
      </c>
      <c r="T35" s="774" t="s">
        <v>17</v>
      </c>
      <c r="U35" s="775">
        <f t="shared" si="13"/>
        <v>100</v>
      </c>
      <c r="V35" s="774" t="s">
        <v>17</v>
      </c>
      <c r="W35" s="775">
        <f t="shared" si="14"/>
        <v>100</v>
      </c>
      <c r="X35" s="1808"/>
      <c r="Y35" s="3234" t="s">
        <v>2563</v>
      </c>
      <c r="Z35" s="1809" t="str">
        <f t="shared" si="15"/>
        <v>市政基础设施</v>
      </c>
      <c r="AA35" s="1806">
        <f t="shared" si="3"/>
        <v>1</v>
      </c>
      <c r="AB35" s="1806">
        <f t="shared" si="4"/>
        <v>1</v>
      </c>
      <c r="AC35" s="180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4"/>
      <c r="Q36" s="1805" t="str">
        <f t="shared" si="11"/>
        <v>内部装修</v>
      </c>
      <c r="R36" s="774" t="s">
        <v>17</v>
      </c>
      <c r="S36" s="775">
        <f t="shared" si="12"/>
        <v>100</v>
      </c>
      <c r="T36" s="774" t="s">
        <v>17</v>
      </c>
      <c r="U36" s="775">
        <f t="shared" si="13"/>
        <v>100</v>
      </c>
      <c r="V36" s="774" t="s">
        <v>17</v>
      </c>
      <c r="W36" s="775">
        <f t="shared" si="14"/>
        <v>100</v>
      </c>
      <c r="X36" s="1808"/>
      <c r="Y36" s="3234"/>
      <c r="Z36" s="1809" t="str">
        <f t="shared" si="15"/>
        <v>内部装修</v>
      </c>
      <c r="AA36" s="1806">
        <f t="shared" si="3"/>
        <v>1</v>
      </c>
      <c r="AB36" s="1806">
        <f t="shared" si="4"/>
        <v>1</v>
      </c>
      <c r="AC36" s="180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4"/>
      <c r="Q37" s="1805" t="str">
        <f t="shared" si="11"/>
        <v>内部装修状况</v>
      </c>
      <c r="R37" s="774" t="s">
        <v>17</v>
      </c>
      <c r="S37" s="775">
        <f t="shared" si="12"/>
        <v>100</v>
      </c>
      <c r="T37" s="774" t="s">
        <v>17</v>
      </c>
      <c r="U37" s="775">
        <f t="shared" si="13"/>
        <v>100</v>
      </c>
      <c r="V37" s="774" t="s">
        <v>17</v>
      </c>
      <c r="W37" s="775">
        <f t="shared" si="14"/>
        <v>100</v>
      </c>
      <c r="X37" s="1808"/>
      <c r="Y37" s="3234"/>
      <c r="Z37" s="1809" t="str">
        <f t="shared" si="15"/>
        <v>内部装修状况</v>
      </c>
      <c r="AA37" s="1806">
        <f t="shared" si="3"/>
        <v>1</v>
      </c>
      <c r="AB37" s="1806">
        <f t="shared" si="4"/>
        <v>1</v>
      </c>
      <c r="AC37" s="180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06">
        <f t="shared" si="3"/>
        <v>1</v>
      </c>
      <c r="AB38" s="1806">
        <f t="shared" si="4"/>
        <v>1</v>
      </c>
      <c r="AC38" s="180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4"/>
      <c r="Q39" s="1805">
        <f t="shared" si="11"/>
        <v>111</v>
      </c>
      <c r="R39" s="774" t="s">
        <v>17</v>
      </c>
      <c r="S39" s="775">
        <f t="shared" si="12"/>
        <v>100</v>
      </c>
      <c r="T39" s="774" t="s">
        <v>17</v>
      </c>
      <c r="U39" s="775">
        <f t="shared" si="13"/>
        <v>100</v>
      </c>
      <c r="V39" s="774" t="s">
        <v>17</v>
      </c>
      <c r="W39" s="775">
        <f t="shared" si="14"/>
        <v>100</v>
      </c>
      <c r="X39" s="1808"/>
      <c r="Y39" s="3234"/>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05">
        <f t="shared" si="11"/>
        <v>111</v>
      </c>
      <c r="R40" s="774" t="s">
        <v>17</v>
      </c>
      <c r="S40" s="775">
        <f t="shared" si="12"/>
        <v>100</v>
      </c>
      <c r="T40" s="774" t="s">
        <v>17</v>
      </c>
      <c r="U40" s="775">
        <f t="shared" si="13"/>
        <v>100</v>
      </c>
      <c r="V40" s="774" t="s">
        <v>17</v>
      </c>
      <c r="W40" s="775">
        <f t="shared" si="14"/>
        <v>100</v>
      </c>
      <c r="X40" s="1808"/>
      <c r="Y40" s="3235"/>
      <c r="Z40" s="1809">
        <f t="shared" si="15"/>
        <v>111</v>
      </c>
      <c r="AA40" s="1806">
        <f t="shared" si="3"/>
        <v>1</v>
      </c>
      <c r="AB40" s="1806">
        <f t="shared" si="4"/>
        <v>1</v>
      </c>
      <c r="AC40" s="1806">
        <f t="shared" si="5"/>
        <v>1</v>
      </c>
    </row>
    <row r="41" spans="1:29" ht="15">
      <c r="A41" s="479" t="s">
        <v>2575</v>
      </c>
      <c r="B41" s="480"/>
      <c r="C41" s="1407" t="s">
        <v>1</v>
      </c>
      <c r="D41" s="1408"/>
      <c r="E41" s="1409"/>
      <c r="F41" s="1410"/>
      <c r="G41" s="1411"/>
      <c r="H41" s="1412"/>
      <c r="I41" s="1409"/>
      <c r="J41" s="1412"/>
      <c r="K41" s="783"/>
      <c r="L41" s="1143"/>
      <c r="M41" s="1144"/>
      <c r="N41" s="1131"/>
      <c r="O41" s="1144"/>
      <c r="P41" s="3227" t="str">
        <f>A41</f>
        <v>成交单价（元/平方米）</v>
      </c>
      <c r="Q41" s="3227"/>
      <c r="R41" s="3228">
        <f>E41</f>
        <v>0</v>
      </c>
      <c r="S41" s="3228"/>
      <c r="T41" s="3228">
        <f>G41</f>
        <v>0</v>
      </c>
      <c r="U41" s="3228"/>
      <c r="V41" s="3228">
        <f>I41</f>
        <v>0</v>
      </c>
      <c r="W41" s="3228"/>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24" t="str">
        <f>A43</f>
        <v>估价对象XX用房的比较价值（楼面单价，元/平方米）</v>
      </c>
      <c r="Q43" s="3225"/>
      <c r="R43" s="3226" t="e">
        <f>IF(F1="售价",ROUND(AVERAGE(R42:V42),0),ROUND(AVERAGE(R42:V42),1))</f>
        <v>#DIV/0!</v>
      </c>
      <c r="S43" s="3226"/>
      <c r="T43" s="3226"/>
      <c r="U43" s="3226"/>
      <c r="V43" s="3226"/>
      <c r="W43" s="322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1"/>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5" t="s">
        <v>2547</v>
      </c>
      <c r="Q7" s="3223"/>
      <c r="R7" s="770" t="s">
        <v>17</v>
      </c>
      <c r="S7" s="771">
        <f t="shared" ref="S7:S14" si="0">F7</f>
        <v>0</v>
      </c>
      <c r="T7" s="770" t="s">
        <v>17</v>
      </c>
      <c r="U7" s="771">
        <f t="shared" ref="U7:U14" si="1">H7</f>
        <v>0</v>
      </c>
      <c r="V7" s="770" t="s">
        <v>17</v>
      </c>
      <c r="W7" s="771">
        <f t="shared" ref="W7:W14" si="2">J7</f>
        <v>0</v>
      </c>
      <c r="X7" s="772"/>
      <c r="Y7" s="3195" t="s">
        <v>2547</v>
      </c>
      <c r="Z7" s="319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7" t="s">
        <v>2553</v>
      </c>
      <c r="Q9" s="1790" t="str">
        <f t="shared" ref="Q9:Q14" si="6">B9</f>
        <v>用途</v>
      </c>
      <c r="R9" s="770" t="s">
        <v>17</v>
      </c>
      <c r="S9" s="771">
        <f t="shared" si="0"/>
        <v>100</v>
      </c>
      <c r="T9" s="770" t="s">
        <v>17</v>
      </c>
      <c r="U9" s="771">
        <f t="shared" si="1"/>
        <v>100</v>
      </c>
      <c r="V9" s="770" t="s">
        <v>17</v>
      </c>
      <c r="W9" s="771">
        <f t="shared" si="2"/>
        <v>100</v>
      </c>
      <c r="X9" s="772"/>
      <c r="Y9" s="3042"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7"/>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7"/>
      <c r="Q11" s="1790">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7"/>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9" t="s">
        <v>2558</v>
      </c>
      <c r="Q14" s="1805" t="str">
        <f t="shared" si="6"/>
        <v>交通便捷度</v>
      </c>
      <c r="R14" s="774" t="s">
        <v>17</v>
      </c>
      <c r="S14" s="775">
        <f t="shared" si="0"/>
        <v>100</v>
      </c>
      <c r="T14" s="774" t="s">
        <v>17</v>
      </c>
      <c r="U14" s="775">
        <f t="shared" si="1"/>
        <v>100</v>
      </c>
      <c r="V14" s="774" t="s">
        <v>17</v>
      </c>
      <c r="W14" s="775">
        <f t="shared" si="2"/>
        <v>100</v>
      </c>
      <c r="X14" s="1808"/>
      <c r="Y14" s="3229" t="s">
        <v>2558</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40"/>
      <c r="M15" s="1131"/>
      <c r="N15" s="1131"/>
      <c r="O15" s="1131"/>
      <c r="P15" s="3230"/>
      <c r="Q15" s="1805"/>
      <c r="R15" s="774"/>
      <c r="S15" s="775"/>
      <c r="T15" s="774"/>
      <c r="U15" s="775"/>
      <c r="V15" s="774"/>
      <c r="W15" s="775"/>
      <c r="X15" s="1808"/>
      <c r="Y15" s="3230"/>
      <c r="Z15" s="1809"/>
      <c r="AA15" s="1806">
        <v>1</v>
      </c>
      <c r="AB15" s="1806">
        <v>1</v>
      </c>
      <c r="AC15" s="1806">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0"/>
      <c r="Q16" s="1805" t="str">
        <f>B16</f>
        <v>公共配套设施</v>
      </c>
      <c r="R16" s="774" t="s">
        <v>17</v>
      </c>
      <c r="S16" s="775">
        <f>F16</f>
        <v>100</v>
      </c>
      <c r="T16" s="774" t="s">
        <v>17</v>
      </c>
      <c r="U16" s="775">
        <f>H16</f>
        <v>100</v>
      </c>
      <c r="V16" s="774" t="s">
        <v>17</v>
      </c>
      <c r="W16" s="775">
        <f>J16</f>
        <v>100</v>
      </c>
      <c r="X16" s="1808"/>
      <c r="Y16" s="3230"/>
      <c r="Z16" s="1809" t="str">
        <f>Q16</f>
        <v>公共配套设施</v>
      </c>
      <c r="AA16" s="1806">
        <f t="shared" si="3"/>
        <v>1</v>
      </c>
      <c r="AB16" s="1806">
        <f t="shared" si="4"/>
        <v>1</v>
      </c>
      <c r="AC16" s="1806">
        <f t="shared" si="5"/>
        <v>1</v>
      </c>
    </row>
    <row r="17" spans="1:29" ht="15">
      <c r="A17" s="404"/>
      <c r="B17" s="632"/>
      <c r="C17" s="2605"/>
      <c r="D17" s="448"/>
      <c r="E17" s="447"/>
      <c r="F17" s="449"/>
      <c r="G17" s="447"/>
      <c r="H17" s="448"/>
      <c r="I17" s="447"/>
      <c r="J17" s="448"/>
      <c r="K17" s="615"/>
      <c r="L17" s="1140"/>
      <c r="M17" s="1131"/>
      <c r="N17" s="1131"/>
      <c r="O17" s="1131"/>
      <c r="P17" s="3230"/>
      <c r="Q17" s="1805"/>
      <c r="R17" s="774"/>
      <c r="S17" s="775"/>
      <c r="T17" s="774"/>
      <c r="U17" s="775"/>
      <c r="V17" s="774"/>
      <c r="W17" s="775"/>
      <c r="X17" s="1808"/>
      <c r="Y17" s="3230"/>
      <c r="Z17" s="1809"/>
      <c r="AA17" s="1806">
        <v>1</v>
      </c>
      <c r="AB17" s="1806">
        <v>1</v>
      </c>
      <c r="AC17" s="1806">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0"/>
      <c r="Q18" s="1805" t="str">
        <f>B18</f>
        <v>基础设施水平</v>
      </c>
      <c r="R18" s="774" t="s">
        <v>17</v>
      </c>
      <c r="S18" s="775">
        <f>F18</f>
        <v>100</v>
      </c>
      <c r="T18" s="774" t="s">
        <v>17</v>
      </c>
      <c r="U18" s="775">
        <f>H18</f>
        <v>100</v>
      </c>
      <c r="V18" s="774" t="s">
        <v>17</v>
      </c>
      <c r="W18" s="775">
        <f>J18</f>
        <v>100</v>
      </c>
      <c r="X18" s="1808"/>
      <c r="Y18" s="3230"/>
      <c r="Z18" s="1809" t="str">
        <f>Q18</f>
        <v>基础设施水平</v>
      </c>
      <c r="AA18" s="1806">
        <f t="shared" ref="AA18" si="8">D18/F18</f>
        <v>1</v>
      </c>
      <c r="AB18" s="1806">
        <f t="shared" ref="AB18" si="9">D18/H18</f>
        <v>1</v>
      </c>
      <c r="AC18" s="1806">
        <f t="shared" ref="AC18" si="10">D18/J18</f>
        <v>1</v>
      </c>
    </row>
    <row r="19" spans="1:29" ht="15">
      <c r="A19" s="404"/>
      <c r="B19" s="633"/>
      <c r="C19" s="2605"/>
      <c r="D19" s="450"/>
      <c r="E19" s="2605"/>
      <c r="F19" s="453"/>
      <c r="G19" s="2605"/>
      <c r="H19" s="448"/>
      <c r="I19" s="447"/>
      <c r="J19" s="448"/>
      <c r="K19" s="1383"/>
      <c r="L19" s="1140"/>
      <c r="M19" s="1131"/>
      <c r="N19" s="1131"/>
      <c r="O19" s="1131"/>
      <c r="P19" s="3230"/>
      <c r="Q19" s="1805"/>
      <c r="R19" s="774"/>
      <c r="S19" s="775"/>
      <c r="T19" s="774"/>
      <c r="U19" s="775"/>
      <c r="V19" s="774"/>
      <c r="W19" s="775"/>
      <c r="X19" s="1808"/>
      <c r="Y19" s="3230"/>
      <c r="Z19" s="1809"/>
      <c r="AA19" s="1806">
        <v>1</v>
      </c>
      <c r="AB19" s="1806">
        <v>1</v>
      </c>
      <c r="AC19" s="1806">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0"/>
      <c r="Q20" s="1805" t="str">
        <f>B20</f>
        <v>自然及人文环境</v>
      </c>
      <c r="R20" s="774" t="s">
        <v>17</v>
      </c>
      <c r="S20" s="775">
        <f>F20</f>
        <v>100</v>
      </c>
      <c r="T20" s="774" t="s">
        <v>17</v>
      </c>
      <c r="U20" s="775">
        <f>H20</f>
        <v>100</v>
      </c>
      <c r="V20" s="774" t="s">
        <v>17</v>
      </c>
      <c r="W20" s="775">
        <f>J20</f>
        <v>100</v>
      </c>
      <c r="X20" s="1808"/>
      <c r="Y20" s="3230"/>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40"/>
      <c r="M21" s="1131"/>
      <c r="N21" s="1131"/>
      <c r="O21" s="1131"/>
      <c r="P21" s="3230"/>
      <c r="Q21" s="1805"/>
      <c r="R21" s="774"/>
      <c r="S21" s="775"/>
      <c r="T21" s="774"/>
      <c r="U21" s="775"/>
      <c r="V21" s="774"/>
      <c r="W21" s="775"/>
      <c r="X21" s="1808"/>
      <c r="Y21" s="3230"/>
      <c r="Z21" s="1809"/>
      <c r="AA21" s="1806">
        <v>1</v>
      </c>
      <c r="AB21" s="1806">
        <v>1</v>
      </c>
      <c r="AC21" s="180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0"/>
      <c r="Q22" s="1805" t="str">
        <f>B22</f>
        <v>楼层</v>
      </c>
      <c r="R22" s="774" t="s">
        <v>17</v>
      </c>
      <c r="S22" s="775">
        <f>F22</f>
        <v>100</v>
      </c>
      <c r="T22" s="774" t="s">
        <v>17</v>
      </c>
      <c r="U22" s="775">
        <f>H22</f>
        <v>100</v>
      </c>
      <c r="V22" s="774" t="s">
        <v>17</v>
      </c>
      <c r="W22" s="775">
        <f>J22</f>
        <v>100</v>
      </c>
      <c r="X22" s="1808"/>
      <c r="Y22" s="3230"/>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0"/>
      <c r="Q23" s="1805">
        <f>B23</f>
        <v>111</v>
      </c>
      <c r="R23" s="774" t="s">
        <v>17</v>
      </c>
      <c r="S23" s="775">
        <f>F23</f>
        <v>100</v>
      </c>
      <c r="T23" s="774" t="s">
        <v>17</v>
      </c>
      <c r="U23" s="775">
        <f>H23</f>
        <v>100</v>
      </c>
      <c r="V23" s="774" t="s">
        <v>17</v>
      </c>
      <c r="W23" s="775">
        <f>J23</f>
        <v>100</v>
      </c>
      <c r="X23" s="1808"/>
      <c r="Y23" s="3230"/>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0"/>
      <c r="Q24" s="1805">
        <f t="shared" ref="Q24:Q36" si="11">B24</f>
        <v>111</v>
      </c>
      <c r="R24" s="774" t="s">
        <v>17</v>
      </c>
      <c r="S24" s="775">
        <f>F24</f>
        <v>100</v>
      </c>
      <c r="T24" s="774" t="s">
        <v>17</v>
      </c>
      <c r="U24" s="775">
        <f>H24</f>
        <v>100</v>
      </c>
      <c r="V24" s="774" t="s">
        <v>17</v>
      </c>
      <c r="W24" s="775">
        <f>J24</f>
        <v>100</v>
      </c>
      <c r="X24" s="1808"/>
      <c r="Y24" s="3230"/>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0"/>
      <c r="Q25" s="1790">
        <f t="shared" si="11"/>
        <v>111</v>
      </c>
      <c r="R25" s="770" t="s">
        <v>17</v>
      </c>
      <c r="S25" s="771">
        <f>F25</f>
        <v>100</v>
      </c>
      <c r="T25" s="770" t="s">
        <v>17</v>
      </c>
      <c r="U25" s="771">
        <f>H25</f>
        <v>100</v>
      </c>
      <c r="V25" s="770" t="s">
        <v>17</v>
      </c>
      <c r="W25" s="771">
        <f>J25</f>
        <v>100</v>
      </c>
      <c r="X25" s="772"/>
      <c r="Y25" s="3230"/>
      <c r="Z25" s="55">
        <f>Q25</f>
        <v>111</v>
      </c>
      <c r="AA25" s="1806">
        <f>D25/F25</f>
        <v>1</v>
      </c>
      <c r="AB25" s="1806">
        <f>D25/H25</f>
        <v>1</v>
      </c>
      <c r="AC25" s="1806">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2563</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34" t="s">
        <v>2563</v>
      </c>
      <c r="Z26" s="1809" t="str">
        <f t="shared" ref="Z26:Z36" si="15">Q26</f>
        <v>配套类型</v>
      </c>
      <c r="AA26" s="1806">
        <f t="shared" si="3"/>
        <v>1</v>
      </c>
      <c r="AB26" s="1806">
        <f t="shared" si="4"/>
        <v>1</v>
      </c>
      <c r="AC26" s="180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06">
        <f t="shared" si="3"/>
        <v>1</v>
      </c>
      <c r="AB27" s="1806">
        <f t="shared" si="4"/>
        <v>1</v>
      </c>
      <c r="AC27" s="180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4"/>
      <c r="Q28" s="1805" t="str">
        <f t="shared" si="11"/>
        <v>公共部分装修</v>
      </c>
      <c r="R28" s="774" t="s">
        <v>17</v>
      </c>
      <c r="S28" s="775">
        <f t="shared" si="12"/>
        <v>100</v>
      </c>
      <c r="T28" s="774" t="s">
        <v>17</v>
      </c>
      <c r="U28" s="775">
        <f t="shared" si="13"/>
        <v>100</v>
      </c>
      <c r="V28" s="774" t="s">
        <v>17</v>
      </c>
      <c r="W28" s="775">
        <f t="shared" si="14"/>
        <v>100</v>
      </c>
      <c r="X28" s="1808"/>
      <c r="Y28" s="3234"/>
      <c r="Z28" s="1809" t="str">
        <f t="shared" si="15"/>
        <v>公共部分装修</v>
      </c>
      <c r="AA28" s="1806">
        <f t="shared" si="3"/>
        <v>1</v>
      </c>
      <c r="AB28" s="1806">
        <f t="shared" si="4"/>
        <v>1</v>
      </c>
      <c r="AC28" s="180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4"/>
      <c r="Q29" s="1805" t="str">
        <f t="shared" si="11"/>
        <v>成新率</v>
      </c>
      <c r="R29" s="774" t="s">
        <v>17</v>
      </c>
      <c r="S29" s="775" t="e">
        <f t="shared" si="12"/>
        <v>#N/A</v>
      </c>
      <c r="T29" s="774" t="s">
        <v>17</v>
      </c>
      <c r="U29" s="775" t="e">
        <f t="shared" si="13"/>
        <v>#N/A</v>
      </c>
      <c r="V29" s="774" t="s">
        <v>17</v>
      </c>
      <c r="W29" s="775" t="e">
        <f t="shared" si="14"/>
        <v>#N/A</v>
      </c>
      <c r="X29" s="1808"/>
      <c r="Y29" s="3234"/>
      <c r="Z29" s="1809" t="str">
        <f t="shared" si="15"/>
        <v>成新率</v>
      </c>
      <c r="AA29" s="1806" t="e">
        <f t="shared" si="3"/>
        <v>#N/A</v>
      </c>
      <c r="AB29" s="1806" t="e">
        <f t="shared" si="4"/>
        <v>#N/A</v>
      </c>
      <c r="AC29" s="180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4"/>
      <c r="Q30" s="1805" t="str">
        <f t="shared" si="11"/>
        <v>物业等级</v>
      </c>
      <c r="R30" s="774" t="s">
        <v>17</v>
      </c>
      <c r="S30" s="775">
        <f t="shared" si="12"/>
        <v>100</v>
      </c>
      <c r="T30" s="774" t="s">
        <v>17</v>
      </c>
      <c r="U30" s="775">
        <f t="shared" si="13"/>
        <v>100</v>
      </c>
      <c r="V30" s="774" t="s">
        <v>17</v>
      </c>
      <c r="W30" s="775">
        <f t="shared" si="14"/>
        <v>100</v>
      </c>
      <c r="X30" s="1808"/>
      <c r="Y30" s="3234"/>
      <c r="Z30" s="1809" t="str">
        <f t="shared" si="15"/>
        <v>物业等级</v>
      </c>
      <c r="AA30" s="1806">
        <f t="shared" si="3"/>
        <v>1</v>
      </c>
      <c r="AB30" s="1806">
        <f t="shared" si="4"/>
        <v>1</v>
      </c>
      <c r="AC30" s="180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4"/>
      <c r="Q31" s="1790" t="str">
        <f t="shared" si="11"/>
        <v>停车位面积</v>
      </c>
      <c r="R31" s="770" t="s">
        <v>17</v>
      </c>
      <c r="S31" s="771" t="e">
        <f t="shared" si="12"/>
        <v>#N/A</v>
      </c>
      <c r="T31" s="770" t="s">
        <v>17</v>
      </c>
      <c r="U31" s="771" t="e">
        <f t="shared" si="13"/>
        <v>#N/A</v>
      </c>
      <c r="V31" s="770" t="s">
        <v>17</v>
      </c>
      <c r="W31" s="771" t="e">
        <f t="shared" si="14"/>
        <v>#N/A</v>
      </c>
      <c r="X31" s="772"/>
      <c r="Y31" s="323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4" t="s">
        <v>2563</v>
      </c>
      <c r="Q32" s="1805" t="str">
        <f t="shared" si="11"/>
        <v>车位类型</v>
      </c>
      <c r="R32" s="774" t="s">
        <v>17</v>
      </c>
      <c r="S32" s="775">
        <f t="shared" si="12"/>
        <v>100</v>
      </c>
      <c r="T32" s="774" t="s">
        <v>17</v>
      </c>
      <c r="U32" s="775">
        <f t="shared" si="13"/>
        <v>100</v>
      </c>
      <c r="V32" s="774" t="s">
        <v>17</v>
      </c>
      <c r="W32" s="775">
        <f t="shared" si="14"/>
        <v>100</v>
      </c>
      <c r="X32" s="1808"/>
      <c r="Y32" s="3234" t="s">
        <v>2563</v>
      </c>
      <c r="Z32" s="1809" t="str">
        <f t="shared" si="15"/>
        <v>车位类型</v>
      </c>
      <c r="AA32" s="1806">
        <f t="shared" si="3"/>
        <v>1</v>
      </c>
      <c r="AB32" s="1806">
        <f t="shared" si="4"/>
        <v>1</v>
      </c>
      <c r="AC32" s="180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4"/>
      <c r="Q33" s="1805" t="str">
        <f t="shared" si="11"/>
        <v>是否直接入户</v>
      </c>
      <c r="R33" s="774" t="s">
        <v>17</v>
      </c>
      <c r="S33" s="775">
        <f t="shared" si="12"/>
        <v>100</v>
      </c>
      <c r="T33" s="774" t="s">
        <v>17</v>
      </c>
      <c r="U33" s="775">
        <f t="shared" si="13"/>
        <v>100</v>
      </c>
      <c r="V33" s="774" t="s">
        <v>17</v>
      </c>
      <c r="W33" s="775">
        <f t="shared" si="14"/>
        <v>100</v>
      </c>
      <c r="X33" s="1808"/>
      <c r="Y33" s="3234"/>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4"/>
      <c r="Q34" s="1805">
        <f t="shared" si="11"/>
        <v>111</v>
      </c>
      <c r="R34" s="774" t="s">
        <v>17</v>
      </c>
      <c r="S34" s="775">
        <f t="shared" si="12"/>
        <v>100</v>
      </c>
      <c r="T34" s="774" t="s">
        <v>17</v>
      </c>
      <c r="U34" s="775">
        <f t="shared" si="13"/>
        <v>100</v>
      </c>
      <c r="V34" s="774" t="s">
        <v>17</v>
      </c>
      <c r="W34" s="775">
        <f t="shared" si="14"/>
        <v>100</v>
      </c>
      <c r="X34" s="1808"/>
      <c r="Y34" s="3234"/>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4"/>
      <c r="Q36" s="1805">
        <f t="shared" si="11"/>
        <v>111</v>
      </c>
      <c r="R36" s="774" t="s">
        <v>17</v>
      </c>
      <c r="S36" s="775">
        <f t="shared" si="12"/>
        <v>100</v>
      </c>
      <c r="T36" s="774" t="s">
        <v>17</v>
      </c>
      <c r="U36" s="775">
        <f t="shared" si="13"/>
        <v>100</v>
      </c>
      <c r="V36" s="774" t="s">
        <v>17</v>
      </c>
      <c r="W36" s="775">
        <f t="shared" si="14"/>
        <v>100</v>
      </c>
      <c r="X36" s="1808"/>
      <c r="Y36" s="3234"/>
      <c r="Z36" s="1809">
        <f t="shared" si="15"/>
        <v>111</v>
      </c>
      <c r="AA36" s="1806">
        <f t="shared" si="3"/>
        <v>1</v>
      </c>
      <c r="AB36" s="1806">
        <f t="shared" si="4"/>
        <v>1</v>
      </c>
      <c r="AC36" s="1806">
        <f t="shared" si="5"/>
        <v>1</v>
      </c>
    </row>
    <row r="37" spans="1:29" ht="15">
      <c r="A37" s="479" t="s">
        <v>2718</v>
      </c>
      <c r="B37" s="2692" t="s">
        <v>2719</v>
      </c>
      <c r="C37" s="1407" t="s">
        <v>1</v>
      </c>
      <c r="D37" s="1408"/>
      <c r="E37" s="1409"/>
      <c r="F37" s="1410"/>
      <c r="G37" s="1411"/>
      <c r="H37" s="1412"/>
      <c r="I37" s="1409"/>
      <c r="J37" s="1412"/>
      <c r="K37" s="619"/>
      <c r="L37" s="1143"/>
      <c r="M37" s="1144"/>
      <c r="N37" s="1131"/>
      <c r="O37" s="1144"/>
      <c r="P37" s="3227" t="str">
        <f>A37</f>
        <v>成交单价</v>
      </c>
      <c r="Q37" s="3227"/>
      <c r="R37" s="3228">
        <f>E37</f>
        <v>0</v>
      </c>
      <c r="S37" s="3228"/>
      <c r="T37" s="3228">
        <f>G37</f>
        <v>0</v>
      </c>
      <c r="U37" s="3228"/>
      <c r="V37" s="3228">
        <f>I37</f>
        <v>0</v>
      </c>
      <c r="W37" s="3228"/>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24" t="str">
        <f>A39</f>
        <v>估价对象XX用房的比较价值（楼面单价，元/平方米）</v>
      </c>
      <c r="Q39" s="3225"/>
      <c r="R39" s="3226" t="e">
        <f>IF(F1="售价",ROUND(AVERAGE(R38:V38),0),ROUND(AVERAGE(R38:V38),1))</f>
        <v>#DIV/0!</v>
      </c>
      <c r="S39" s="3226"/>
      <c r="T39" s="3226"/>
      <c r="U39" s="3226"/>
      <c r="V39" s="3226"/>
      <c r="W39" s="322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95" t="s">
        <v>2547</v>
      </c>
      <c r="Q7" s="3223"/>
      <c r="R7" s="770" t="s">
        <v>17</v>
      </c>
      <c r="S7" s="771">
        <f t="shared" ref="S7:S14" si="0">F7</f>
        <v>0</v>
      </c>
      <c r="T7" s="770" t="s">
        <v>17</v>
      </c>
      <c r="U7" s="771">
        <f t="shared" ref="U7:U14" si="1">H7</f>
        <v>0</v>
      </c>
      <c r="V7" s="770" t="s">
        <v>17</v>
      </c>
      <c r="W7" s="771">
        <f t="shared" ref="W7:W14" si="2">J7</f>
        <v>0</v>
      </c>
      <c r="X7" s="772"/>
      <c r="Y7" s="3195" t="s">
        <v>2547</v>
      </c>
      <c r="Z7" s="319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7" t="s">
        <v>2553</v>
      </c>
      <c r="Q9" s="1790" t="str">
        <f t="shared" ref="Q9:Q14" si="6">B9</f>
        <v>用途</v>
      </c>
      <c r="R9" s="770" t="s">
        <v>17</v>
      </c>
      <c r="S9" s="771">
        <f t="shared" si="0"/>
        <v>100</v>
      </c>
      <c r="T9" s="770" t="s">
        <v>17</v>
      </c>
      <c r="U9" s="771">
        <f t="shared" si="1"/>
        <v>100</v>
      </c>
      <c r="V9" s="770" t="s">
        <v>17</v>
      </c>
      <c r="W9" s="771">
        <f t="shared" si="2"/>
        <v>100</v>
      </c>
      <c r="X9" s="772"/>
      <c r="Y9" s="304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7"/>
      <c r="Q10" s="1790"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7"/>
      <c r="Q11" s="1790">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7"/>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9" t="s">
        <v>2558</v>
      </c>
      <c r="Q14" s="1805" t="str">
        <f t="shared" si="6"/>
        <v>交通便捷度</v>
      </c>
      <c r="R14" s="774" t="s">
        <v>17</v>
      </c>
      <c r="S14" s="775">
        <f t="shared" si="0"/>
        <v>100</v>
      </c>
      <c r="T14" s="774" t="s">
        <v>17</v>
      </c>
      <c r="U14" s="775">
        <f t="shared" si="1"/>
        <v>100</v>
      </c>
      <c r="V14" s="774" t="s">
        <v>17</v>
      </c>
      <c r="W14" s="775">
        <f t="shared" si="2"/>
        <v>100</v>
      </c>
      <c r="X14" s="1808"/>
      <c r="Y14" s="3229" t="s">
        <v>2558</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40"/>
      <c r="M15" s="1131"/>
      <c r="N15" s="1131"/>
      <c r="O15" s="1139"/>
      <c r="P15" s="3230"/>
      <c r="Q15" s="1805"/>
      <c r="R15" s="774"/>
      <c r="S15" s="775"/>
      <c r="T15" s="774"/>
      <c r="U15" s="775"/>
      <c r="V15" s="774"/>
      <c r="W15" s="775"/>
      <c r="X15" s="1808"/>
      <c r="Y15" s="3230"/>
      <c r="Z15" s="1809"/>
      <c r="AA15" s="1806">
        <v>1</v>
      </c>
      <c r="AB15" s="1806">
        <v>1</v>
      </c>
      <c r="AC15" s="1806">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0"/>
      <c r="Q16" s="1805" t="str">
        <f>B16</f>
        <v>公共配套设施</v>
      </c>
      <c r="R16" s="774" t="s">
        <v>17</v>
      </c>
      <c r="S16" s="775">
        <f>F16</f>
        <v>100</v>
      </c>
      <c r="T16" s="774" t="s">
        <v>17</v>
      </c>
      <c r="U16" s="775">
        <f>H16</f>
        <v>100</v>
      </c>
      <c r="V16" s="774" t="s">
        <v>17</v>
      </c>
      <c r="W16" s="775">
        <f>J16</f>
        <v>100</v>
      </c>
      <c r="X16" s="1808"/>
      <c r="Y16" s="3230"/>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40"/>
      <c r="M17" s="1131"/>
      <c r="N17" s="1131"/>
      <c r="O17" s="1139"/>
      <c r="P17" s="3230"/>
      <c r="Q17" s="1805"/>
      <c r="R17" s="774"/>
      <c r="S17" s="775"/>
      <c r="T17" s="774"/>
      <c r="U17" s="775"/>
      <c r="V17" s="774"/>
      <c r="W17" s="775"/>
      <c r="X17" s="1808"/>
      <c r="Y17" s="3230"/>
      <c r="Z17" s="1809"/>
      <c r="AA17" s="1806">
        <v>1</v>
      </c>
      <c r="AB17" s="1806">
        <v>1</v>
      </c>
      <c r="AC17" s="1806">
        <v>1</v>
      </c>
    </row>
    <row r="18" spans="1:29" ht="28.5">
      <c r="A18" s="428"/>
      <c r="B18" s="1384"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0"/>
      <c r="Q18" s="1805" t="str">
        <f>B18</f>
        <v>基础设施水平</v>
      </c>
      <c r="R18" s="774" t="s">
        <v>17</v>
      </c>
      <c r="S18" s="775">
        <f>F18</f>
        <v>100</v>
      </c>
      <c r="T18" s="774" t="s">
        <v>17</v>
      </c>
      <c r="U18" s="775">
        <f>H18</f>
        <v>100</v>
      </c>
      <c r="V18" s="774" t="s">
        <v>17</v>
      </c>
      <c r="W18" s="775">
        <f>J18</f>
        <v>100</v>
      </c>
      <c r="X18" s="1808"/>
      <c r="Y18" s="3230"/>
      <c r="Z18" s="1809" t="str">
        <f>Q18</f>
        <v>基础设施水平</v>
      </c>
      <c r="AA18" s="1806">
        <f t="shared" ref="AA18" si="8">D18/F18</f>
        <v>1</v>
      </c>
      <c r="AB18" s="1806">
        <f t="shared" ref="AB18" si="9">D18/H18</f>
        <v>1</v>
      </c>
      <c r="AC18" s="1806">
        <f t="shared" ref="AC18" si="10">D18/J18</f>
        <v>1</v>
      </c>
    </row>
    <row r="19" spans="1:29" ht="15">
      <c r="A19" s="428"/>
      <c r="B19" s="1384"/>
      <c r="C19" s="2605"/>
      <c r="D19" s="450"/>
      <c r="E19" s="2605"/>
      <c r="F19" s="453"/>
      <c r="G19" s="2605"/>
      <c r="H19" s="448"/>
      <c r="I19" s="447"/>
      <c r="J19" s="448"/>
      <c r="K19" s="1383"/>
      <c r="L19" s="1140"/>
      <c r="M19" s="1131"/>
      <c r="N19" s="1131"/>
      <c r="O19" s="1139"/>
      <c r="P19" s="3230"/>
      <c r="Q19" s="1805"/>
      <c r="R19" s="774"/>
      <c r="S19" s="775"/>
      <c r="T19" s="774"/>
      <c r="U19" s="775"/>
      <c r="V19" s="774"/>
      <c r="W19" s="775"/>
      <c r="X19" s="1808"/>
      <c r="Y19" s="3230"/>
      <c r="Z19" s="1809"/>
      <c r="AA19" s="1806">
        <v>1</v>
      </c>
      <c r="AB19" s="1806">
        <v>1</v>
      </c>
      <c r="AC19" s="1806">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0"/>
      <c r="Q20" s="1805" t="str">
        <f>B20</f>
        <v>自然及人文环境</v>
      </c>
      <c r="R20" s="774" t="s">
        <v>17</v>
      </c>
      <c r="S20" s="775">
        <f>F20</f>
        <v>100</v>
      </c>
      <c r="T20" s="774" t="s">
        <v>17</v>
      </c>
      <c r="U20" s="775">
        <f>H20</f>
        <v>100</v>
      </c>
      <c r="V20" s="774" t="s">
        <v>17</v>
      </c>
      <c r="W20" s="775">
        <f>J20</f>
        <v>100</v>
      </c>
      <c r="X20" s="1808"/>
      <c r="Y20" s="3230"/>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40"/>
      <c r="M21" s="1131"/>
      <c r="N21" s="1131"/>
      <c r="O21" s="1139"/>
      <c r="P21" s="3230"/>
      <c r="Q21" s="1805"/>
      <c r="R21" s="774"/>
      <c r="S21" s="775"/>
      <c r="T21" s="774"/>
      <c r="U21" s="775"/>
      <c r="V21" s="774"/>
      <c r="W21" s="775"/>
      <c r="X21" s="1808"/>
      <c r="Y21" s="3230"/>
      <c r="Z21" s="1809"/>
      <c r="AA21" s="1806">
        <v>1</v>
      </c>
      <c r="AB21" s="1806">
        <v>1</v>
      </c>
      <c r="AC21" s="180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0"/>
      <c r="Q22" s="1805" t="str">
        <f>B22</f>
        <v>楼层</v>
      </c>
      <c r="R22" s="774" t="s">
        <v>17</v>
      </c>
      <c r="S22" s="775">
        <f>F22</f>
        <v>100</v>
      </c>
      <c r="T22" s="774" t="s">
        <v>17</v>
      </c>
      <c r="U22" s="775">
        <f>H22</f>
        <v>100</v>
      </c>
      <c r="V22" s="774" t="s">
        <v>17</v>
      </c>
      <c r="W22" s="775">
        <f>J22</f>
        <v>100</v>
      </c>
      <c r="X22" s="1808"/>
      <c r="Y22" s="3230"/>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0"/>
      <c r="Q23" s="1805">
        <f>B23</f>
        <v>111</v>
      </c>
      <c r="R23" s="774" t="s">
        <v>17</v>
      </c>
      <c r="S23" s="775">
        <f>F23</f>
        <v>100</v>
      </c>
      <c r="T23" s="774" t="s">
        <v>17</v>
      </c>
      <c r="U23" s="775">
        <f>H23</f>
        <v>100</v>
      </c>
      <c r="V23" s="774" t="s">
        <v>17</v>
      </c>
      <c r="W23" s="775">
        <f>J23</f>
        <v>100</v>
      </c>
      <c r="X23" s="1808"/>
      <c r="Y23" s="3230"/>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0"/>
      <c r="Q24" s="1805">
        <f t="shared" ref="Q24:Q34" si="11">B24</f>
        <v>111</v>
      </c>
      <c r="R24" s="774" t="s">
        <v>17</v>
      </c>
      <c r="S24" s="775">
        <f>F24</f>
        <v>100</v>
      </c>
      <c r="T24" s="774" t="s">
        <v>17</v>
      </c>
      <c r="U24" s="775">
        <f>H24</f>
        <v>100</v>
      </c>
      <c r="V24" s="774" t="s">
        <v>17</v>
      </c>
      <c r="W24" s="775">
        <f>J24</f>
        <v>100</v>
      </c>
      <c r="X24" s="1808"/>
      <c r="Y24" s="3230"/>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30"/>
      <c r="Q25" s="1790">
        <f t="shared" si="11"/>
        <v>111</v>
      </c>
      <c r="R25" s="770" t="s">
        <v>17</v>
      </c>
      <c r="S25" s="771">
        <f>F25</f>
        <v>100</v>
      </c>
      <c r="T25" s="770" t="s">
        <v>17</v>
      </c>
      <c r="U25" s="771">
        <f>H25</f>
        <v>100</v>
      </c>
      <c r="V25" s="770" t="s">
        <v>17</v>
      </c>
      <c r="W25" s="771">
        <f>J25</f>
        <v>100</v>
      </c>
      <c r="X25" s="772"/>
      <c r="Y25" s="3230"/>
      <c r="Z25" s="55">
        <f>Q25</f>
        <v>111</v>
      </c>
      <c r="AA25" s="1806">
        <f>D25/F25</f>
        <v>1</v>
      </c>
      <c r="AB25" s="1806">
        <f>D25/H25</f>
        <v>1</v>
      </c>
      <c r="AC25" s="1806">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57" t="s">
        <v>2563</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34" t="s">
        <v>2563</v>
      </c>
      <c r="Z26" s="1809" t="str">
        <f t="shared" ref="Z26:Z34" si="15">Q26</f>
        <v>公共部分装修</v>
      </c>
      <c r="AA26" s="1806">
        <f t="shared" si="3"/>
        <v>1</v>
      </c>
      <c r="AB26" s="1806">
        <f t="shared" si="4"/>
        <v>1</v>
      </c>
      <c r="AC26" s="180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06" t="e">
        <f t="shared" si="3"/>
        <v>#N/A</v>
      </c>
      <c r="AB27" s="1806" t="e">
        <f t="shared" si="4"/>
        <v>#N/A</v>
      </c>
      <c r="AC27" s="180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4"/>
      <c r="Q28" s="1805" t="str">
        <f t="shared" si="11"/>
        <v>物业等级</v>
      </c>
      <c r="R28" s="774" t="s">
        <v>17</v>
      </c>
      <c r="S28" s="775">
        <f t="shared" si="12"/>
        <v>100</v>
      </c>
      <c r="T28" s="774" t="s">
        <v>17</v>
      </c>
      <c r="U28" s="775">
        <f t="shared" si="13"/>
        <v>100</v>
      </c>
      <c r="V28" s="774" t="s">
        <v>17</v>
      </c>
      <c r="W28" s="775">
        <f t="shared" si="14"/>
        <v>100</v>
      </c>
      <c r="X28" s="1808"/>
      <c r="Y28" s="3234"/>
      <c r="Z28" s="1809" t="str">
        <f t="shared" si="15"/>
        <v>物业等级</v>
      </c>
      <c r="AA28" s="1806">
        <f t="shared" si="3"/>
        <v>1</v>
      </c>
      <c r="AB28" s="1806">
        <f t="shared" si="4"/>
        <v>1</v>
      </c>
      <c r="AC28" s="180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4"/>
      <c r="Q29" s="1805" t="str">
        <f t="shared" si="11"/>
        <v>有无电梯</v>
      </c>
      <c r="R29" s="774" t="s">
        <v>17</v>
      </c>
      <c r="S29" s="775">
        <f t="shared" si="12"/>
        <v>100</v>
      </c>
      <c r="T29" s="774" t="s">
        <v>17</v>
      </c>
      <c r="U29" s="775">
        <f t="shared" si="13"/>
        <v>100</v>
      </c>
      <c r="V29" s="774" t="s">
        <v>17</v>
      </c>
      <c r="W29" s="775">
        <f t="shared" si="14"/>
        <v>100</v>
      </c>
      <c r="X29" s="1808"/>
      <c r="Y29" s="3234"/>
      <c r="Z29" s="1809" t="str">
        <f t="shared" si="15"/>
        <v>有无电梯</v>
      </c>
      <c r="AA29" s="1806">
        <f t="shared" si="3"/>
        <v>1</v>
      </c>
      <c r="AB29" s="1806">
        <f t="shared" si="4"/>
        <v>1</v>
      </c>
      <c r="AC29" s="180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4"/>
      <c r="Q30" s="1805" t="str">
        <f t="shared" si="11"/>
        <v>建筑面积</v>
      </c>
      <c r="R30" s="774" t="s">
        <v>17</v>
      </c>
      <c r="S30" s="775" t="e">
        <f t="shared" si="12"/>
        <v>#N/A</v>
      </c>
      <c r="T30" s="774" t="s">
        <v>17</v>
      </c>
      <c r="U30" s="775" t="e">
        <f t="shared" si="13"/>
        <v>#N/A</v>
      </c>
      <c r="V30" s="774" t="s">
        <v>17</v>
      </c>
      <c r="W30" s="775" t="e">
        <f t="shared" si="14"/>
        <v>#N/A</v>
      </c>
      <c r="X30" s="1808"/>
      <c r="Y30" s="3234"/>
      <c r="Z30" s="1809" t="str">
        <f t="shared" si="15"/>
        <v>建筑面积</v>
      </c>
      <c r="AA30" s="1806" t="e">
        <f t="shared" si="3"/>
        <v>#N/A</v>
      </c>
      <c r="AB30" s="1806" t="e">
        <f t="shared" si="4"/>
        <v>#N/A</v>
      </c>
      <c r="AC30" s="180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4"/>
      <c r="Q31" s="1790"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4" t="s">
        <v>2563</v>
      </c>
      <c r="Q32" s="1805">
        <f t="shared" si="11"/>
        <v>111</v>
      </c>
      <c r="R32" s="774" t="s">
        <v>17</v>
      </c>
      <c r="S32" s="775">
        <f t="shared" si="12"/>
        <v>100</v>
      </c>
      <c r="T32" s="774" t="s">
        <v>17</v>
      </c>
      <c r="U32" s="775">
        <f t="shared" si="13"/>
        <v>100</v>
      </c>
      <c r="V32" s="774" t="s">
        <v>17</v>
      </c>
      <c r="W32" s="775">
        <f t="shared" si="14"/>
        <v>100</v>
      </c>
      <c r="X32" s="1808"/>
      <c r="Y32" s="3234" t="s">
        <v>2563</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4"/>
      <c r="Q33" s="1805">
        <f t="shared" si="11"/>
        <v>111</v>
      </c>
      <c r="R33" s="774" t="s">
        <v>17</v>
      </c>
      <c r="S33" s="775">
        <f t="shared" si="12"/>
        <v>100</v>
      </c>
      <c r="T33" s="774" t="s">
        <v>17</v>
      </c>
      <c r="U33" s="775">
        <f t="shared" si="13"/>
        <v>100</v>
      </c>
      <c r="V33" s="774" t="s">
        <v>17</v>
      </c>
      <c r="W33" s="775">
        <f t="shared" si="14"/>
        <v>100</v>
      </c>
      <c r="X33" s="1808"/>
      <c r="Y33" s="3234"/>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34"/>
      <c r="Q34" s="1805">
        <f t="shared" si="11"/>
        <v>111</v>
      </c>
      <c r="R34" s="774" t="s">
        <v>17</v>
      </c>
      <c r="S34" s="775">
        <f t="shared" si="12"/>
        <v>100</v>
      </c>
      <c r="T34" s="774" t="s">
        <v>17</v>
      </c>
      <c r="U34" s="775">
        <f t="shared" si="13"/>
        <v>100</v>
      </c>
      <c r="V34" s="774" t="s">
        <v>17</v>
      </c>
      <c r="W34" s="775">
        <f t="shared" si="14"/>
        <v>100</v>
      </c>
      <c r="X34" s="1808"/>
      <c r="Y34" s="3234"/>
      <c r="Z34" s="1809">
        <f t="shared" si="15"/>
        <v>111</v>
      </c>
      <c r="AA34" s="1806">
        <f t="shared" si="3"/>
        <v>1</v>
      </c>
      <c r="AB34" s="1806">
        <f t="shared" si="4"/>
        <v>1</v>
      </c>
      <c r="AC34" s="1806">
        <f t="shared" si="5"/>
        <v>1</v>
      </c>
    </row>
    <row r="35" spans="1:29" ht="15">
      <c r="A35" s="479" t="s">
        <v>2575</v>
      </c>
      <c r="B35" s="480"/>
      <c r="C35" s="1407" t="s">
        <v>1</v>
      </c>
      <c r="D35" s="1408"/>
      <c r="E35" s="1409"/>
      <c r="F35" s="1410"/>
      <c r="G35" s="1411"/>
      <c r="H35" s="1412"/>
      <c r="I35" s="1409"/>
      <c r="J35" s="1412"/>
      <c r="K35" s="783"/>
      <c r="L35" s="1143"/>
      <c r="M35" s="1144"/>
      <c r="N35" s="1131"/>
      <c r="O35" s="1144"/>
      <c r="P35" s="3227" t="str">
        <f>A35</f>
        <v>成交单价（元/平方米）</v>
      </c>
      <c r="Q35" s="3227"/>
      <c r="R35" s="3228">
        <f>E35</f>
        <v>0</v>
      </c>
      <c r="S35" s="3228"/>
      <c r="T35" s="3228">
        <f>G35</f>
        <v>0</v>
      </c>
      <c r="U35" s="3228"/>
      <c r="V35" s="3228">
        <f>I35</f>
        <v>0</v>
      </c>
      <c r="W35" s="3228"/>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24" t="str">
        <f>A37</f>
        <v>估价对象XX用房的比较价值（楼面单价，元/平方米）</v>
      </c>
      <c r="Q37" s="3225"/>
      <c r="R37" s="3226" t="e">
        <f>IF(F1="售价",ROUND(AVERAGE(R36:V36),0),ROUND(AVERAGE(R36:V36),1))</f>
        <v>#DIV/0!</v>
      </c>
      <c r="S37" s="3226"/>
      <c r="T37" s="3226"/>
      <c r="U37" s="3226"/>
      <c r="V37" s="3226"/>
      <c r="W37" s="322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30"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30" ht="15.75" thickBot="1">
      <c r="A6" s="406"/>
      <c r="B6" s="407"/>
      <c r="C6" s="3205" t="s">
        <v>2544</v>
      </c>
      <c r="D6" s="3206"/>
      <c r="E6" s="3207" t="s">
        <v>2544</v>
      </c>
      <c r="F6" s="3208"/>
      <c r="G6" s="3205" t="s">
        <v>2544</v>
      </c>
      <c r="H6" s="3206"/>
      <c r="I6" s="3205" t="s">
        <v>2544</v>
      </c>
      <c r="J6" s="3206"/>
      <c r="K6" s="610" t="s">
        <v>2545</v>
      </c>
      <c r="L6" s="1130"/>
      <c r="M6" s="1131"/>
      <c r="N6" s="1131"/>
      <c r="O6" s="1131"/>
      <c r="P6" s="3218"/>
      <c r="Q6" s="3219"/>
      <c r="R6" s="3199"/>
      <c r="S6" s="3200"/>
      <c r="T6" s="3220"/>
      <c r="U6" s="3221"/>
      <c r="V6" s="3222"/>
      <c r="W6" s="3222"/>
      <c r="X6" s="1808"/>
      <c r="Y6" s="3220"/>
      <c r="Z6" s="3221"/>
      <c r="AA6" s="3194"/>
      <c r="AB6" s="3194"/>
      <c r="AC6" s="3194"/>
    </row>
    <row r="7" spans="1:30" s="117" customFormat="1" ht="15.75" thickBot="1">
      <c r="A7" s="408" t="s">
        <v>2546</v>
      </c>
      <c r="B7" s="409"/>
      <c r="C7" s="410">
        <f>'数据-取费表'!B2</f>
        <v>43592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195" t="s">
        <v>2547</v>
      </c>
      <c r="Q7" s="3223"/>
      <c r="R7" s="770" t="s">
        <v>17</v>
      </c>
      <c r="S7" s="771">
        <f t="shared" ref="S7:S15" si="0">F7</f>
        <v>0</v>
      </c>
      <c r="T7" s="770" t="s">
        <v>17</v>
      </c>
      <c r="U7" s="771">
        <f t="shared" ref="U7:U15" si="1">H7</f>
        <v>0</v>
      </c>
      <c r="V7" s="770" t="s">
        <v>17</v>
      </c>
      <c r="W7" s="771">
        <f t="shared" ref="W7:W15" si="2">J7</f>
        <v>0</v>
      </c>
      <c r="X7" s="772"/>
      <c r="Y7" s="3195" t="s">
        <v>2547</v>
      </c>
      <c r="Z7" s="319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45" si="3">D8/F8</f>
        <v>#DIV/0!</v>
      </c>
      <c r="AB8" s="773" t="e">
        <f t="shared" ref="AB8:AB45" si="4">D8/H8</f>
        <v>#DIV/0!</v>
      </c>
      <c r="AC8" s="773"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227"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27"/>
      <c r="Q10" s="1790" t="str">
        <f t="shared" si="6"/>
        <v>土地使用年限（年）</v>
      </c>
      <c r="R10" s="770" t="s">
        <v>17</v>
      </c>
      <c r="S10" s="771">
        <f t="shared" si="0"/>
        <v>113</v>
      </c>
      <c r="T10" s="770" t="s">
        <v>17</v>
      </c>
      <c r="U10" s="771">
        <f t="shared" si="1"/>
        <v>113</v>
      </c>
      <c r="V10" s="770" t="s">
        <v>17</v>
      </c>
      <c r="W10" s="771">
        <f t="shared" si="2"/>
        <v>113</v>
      </c>
      <c r="X10" s="772"/>
      <c r="Y10" s="3042"/>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7"/>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7"/>
      <c r="Q12" s="1790"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7"/>
      <c r="Q14" s="1790">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9.75">
      <c r="A15" s="440" t="s">
        <v>2557</v>
      </c>
      <c r="B15" s="69" t="s">
        <v>2082</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9" t="s">
        <v>2558</v>
      </c>
      <c r="Q15" s="1805" t="str">
        <f t="shared" si="6"/>
        <v>居住社区成熟度</v>
      </c>
      <c r="R15" s="774" t="s">
        <v>17</v>
      </c>
      <c r="S15" s="775">
        <f t="shared" si="0"/>
        <v>100</v>
      </c>
      <c r="T15" s="774" t="s">
        <v>17</v>
      </c>
      <c r="U15" s="775">
        <f t="shared" si="1"/>
        <v>100</v>
      </c>
      <c r="V15" s="774" t="s">
        <v>17</v>
      </c>
      <c r="W15" s="775">
        <f t="shared" si="2"/>
        <v>100</v>
      </c>
      <c r="X15" s="1808"/>
      <c r="Y15" s="3229" t="s">
        <v>2558</v>
      </c>
      <c r="Z15" s="1809" t="str">
        <f t="shared" si="7"/>
        <v>居住社区成熟度</v>
      </c>
      <c r="AA15" s="1806">
        <f t="shared" si="3"/>
        <v>1</v>
      </c>
      <c r="AB15" s="1806">
        <f t="shared" si="4"/>
        <v>1</v>
      </c>
      <c r="AC15" s="1806">
        <f t="shared" si="5"/>
        <v>1</v>
      </c>
    </row>
    <row r="16" spans="1:30" ht="15">
      <c r="A16" s="428"/>
      <c r="B16" s="446"/>
      <c r="C16" s="447"/>
      <c r="D16" s="448"/>
      <c r="E16" s="2602"/>
      <c r="F16" s="448"/>
      <c r="G16" s="2602"/>
      <c r="H16" s="450"/>
      <c r="I16" s="2601"/>
      <c r="J16" s="448"/>
      <c r="K16" s="672"/>
      <c r="L16" s="1140"/>
      <c r="M16" s="1131"/>
      <c r="N16" s="1131"/>
      <c r="O16" s="1139"/>
      <c r="P16" s="3230"/>
      <c r="Q16" s="1805"/>
      <c r="R16" s="774"/>
      <c r="S16" s="775"/>
      <c r="T16" s="774"/>
      <c r="U16" s="775"/>
      <c r="V16" s="774"/>
      <c r="W16" s="775"/>
      <c r="X16" s="1808"/>
      <c r="Y16" s="3230"/>
      <c r="Z16" s="1809"/>
      <c r="AA16" s="1806">
        <v>1</v>
      </c>
      <c r="AB16" s="1806">
        <v>1</v>
      </c>
      <c r="AC16" s="1806">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0"/>
      <c r="Q17" s="1805" t="str">
        <f>B17</f>
        <v>商业繁华度</v>
      </c>
      <c r="R17" s="774" t="s">
        <v>17</v>
      </c>
      <c r="S17" s="775">
        <f>F17</f>
        <v>100</v>
      </c>
      <c r="T17" s="774" t="s">
        <v>17</v>
      </c>
      <c r="U17" s="775">
        <f>H17</f>
        <v>100</v>
      </c>
      <c r="V17" s="774" t="s">
        <v>17</v>
      </c>
      <c r="W17" s="775">
        <f>J17</f>
        <v>100</v>
      </c>
      <c r="X17" s="1808"/>
      <c r="Y17" s="3230"/>
      <c r="Z17" s="1809" t="str">
        <f>Q17</f>
        <v>商业繁华度</v>
      </c>
      <c r="AA17" s="1806">
        <f t="shared" si="3"/>
        <v>1</v>
      </c>
      <c r="AB17" s="1806">
        <f t="shared" si="4"/>
        <v>1</v>
      </c>
      <c r="AC17" s="1806">
        <f t="shared" si="5"/>
        <v>1</v>
      </c>
    </row>
    <row r="18" spans="1:29" ht="15">
      <c r="A18" s="428"/>
      <c r="B18" s="456"/>
      <c r="C18" s="2605"/>
      <c r="D18" s="450"/>
      <c r="E18" s="2607"/>
      <c r="F18" s="450"/>
      <c r="G18" s="2607"/>
      <c r="H18" s="448"/>
      <c r="I18" s="2606"/>
      <c r="J18" s="448"/>
      <c r="K18" s="672"/>
      <c r="L18" s="1140"/>
      <c r="M18" s="1131"/>
      <c r="N18" s="1131"/>
      <c r="O18" s="1139"/>
      <c r="P18" s="3230"/>
      <c r="Q18" s="1805"/>
      <c r="R18" s="774"/>
      <c r="S18" s="775"/>
      <c r="T18" s="774"/>
      <c r="U18" s="775"/>
      <c r="V18" s="774"/>
      <c r="W18" s="775"/>
      <c r="X18" s="1808"/>
      <c r="Y18" s="3230"/>
      <c r="Z18" s="1809"/>
      <c r="AA18" s="1806">
        <v>1</v>
      </c>
      <c r="AB18" s="1806">
        <v>1</v>
      </c>
      <c r="AC18" s="1806">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0"/>
      <c r="Q19" s="1805" t="str">
        <f>B19</f>
        <v>办公集聚程度</v>
      </c>
      <c r="R19" s="774" t="s">
        <v>17</v>
      </c>
      <c r="S19" s="775">
        <f>F19</f>
        <v>100</v>
      </c>
      <c r="T19" s="774" t="s">
        <v>17</v>
      </c>
      <c r="U19" s="775">
        <f>H19</f>
        <v>100</v>
      </c>
      <c r="V19" s="774" t="s">
        <v>17</v>
      </c>
      <c r="W19" s="775">
        <f>J19</f>
        <v>100</v>
      </c>
      <c r="X19" s="1808"/>
      <c r="Y19" s="3230"/>
      <c r="Z19" s="1809" t="str">
        <f>Q19</f>
        <v>办公集聚程度</v>
      </c>
      <c r="AA19" s="1806">
        <f t="shared" si="3"/>
        <v>1</v>
      </c>
      <c r="AB19" s="1806">
        <f t="shared" si="4"/>
        <v>1</v>
      </c>
      <c r="AC19" s="1806">
        <f t="shared" si="5"/>
        <v>1</v>
      </c>
    </row>
    <row r="20" spans="1:29" ht="15">
      <c r="A20" s="428"/>
      <c r="B20" s="456"/>
      <c r="C20" s="447"/>
      <c r="D20" s="448"/>
      <c r="E20" s="2602"/>
      <c r="F20" s="448"/>
      <c r="G20" s="2602"/>
      <c r="H20" s="448"/>
      <c r="I20" s="2601"/>
      <c r="J20" s="448"/>
      <c r="K20" s="672"/>
      <c r="L20" s="1140"/>
      <c r="M20" s="1131"/>
      <c r="N20" s="1131"/>
      <c r="O20" s="1139"/>
      <c r="P20" s="3230"/>
      <c r="Q20" s="1805"/>
      <c r="R20" s="774"/>
      <c r="S20" s="775"/>
      <c r="T20" s="774"/>
      <c r="U20" s="775"/>
      <c r="V20" s="774"/>
      <c r="W20" s="775"/>
      <c r="X20" s="1808"/>
      <c r="Y20" s="3230"/>
      <c r="Z20" s="1809"/>
      <c r="AA20" s="1806">
        <v>1</v>
      </c>
      <c r="AB20" s="1806">
        <v>1</v>
      </c>
      <c r="AC20" s="1806">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0"/>
      <c r="Q21" s="1805" t="str">
        <f>B21</f>
        <v>交通便捷度</v>
      </c>
      <c r="R21" s="774" t="s">
        <v>17</v>
      </c>
      <c r="S21" s="775">
        <f>F21</f>
        <v>100</v>
      </c>
      <c r="T21" s="774" t="s">
        <v>17</v>
      </c>
      <c r="U21" s="775">
        <f>H21</f>
        <v>100</v>
      </c>
      <c r="V21" s="774" t="s">
        <v>17</v>
      </c>
      <c r="W21" s="775">
        <f>J21</f>
        <v>100</v>
      </c>
      <c r="X21" s="1808"/>
      <c r="Y21" s="3230"/>
      <c r="Z21" s="1809" t="str">
        <f>Q21</f>
        <v>交通便捷度</v>
      </c>
      <c r="AA21" s="1806">
        <f t="shared" si="3"/>
        <v>1</v>
      </c>
      <c r="AB21" s="1806">
        <f t="shared" si="4"/>
        <v>1</v>
      </c>
      <c r="AC21" s="1806">
        <f t="shared" si="5"/>
        <v>1</v>
      </c>
    </row>
    <row r="22" spans="1:29" ht="15">
      <c r="A22" s="428"/>
      <c r="B22" s="1384"/>
      <c r="C22" s="447"/>
      <c r="D22" s="450"/>
      <c r="E22" s="2602"/>
      <c r="F22" s="448"/>
      <c r="G22" s="2602"/>
      <c r="H22" s="448"/>
      <c r="I22" s="2601"/>
      <c r="J22" s="448"/>
      <c r="K22" s="672"/>
      <c r="L22" s="1140"/>
      <c r="M22" s="1131"/>
      <c r="N22" s="1131"/>
      <c r="O22" s="1139"/>
      <c r="P22" s="3230"/>
      <c r="Q22" s="1805"/>
      <c r="R22" s="774"/>
      <c r="S22" s="775"/>
      <c r="T22" s="774"/>
      <c r="U22" s="775"/>
      <c r="V22" s="774"/>
      <c r="W22" s="775"/>
      <c r="X22" s="1808"/>
      <c r="Y22" s="3230"/>
      <c r="Z22" s="1809"/>
      <c r="AA22" s="1806">
        <v>1</v>
      </c>
      <c r="AB22" s="1806">
        <v>1</v>
      </c>
      <c r="AC22" s="180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0"/>
      <c r="Q23" s="1805" t="str">
        <f t="shared" ref="Q23:Q37" si="8">B23</f>
        <v>区域土地利用方向</v>
      </c>
      <c r="R23" s="774" t="s">
        <v>17</v>
      </c>
      <c r="S23" s="775">
        <f>F23</f>
        <v>100</v>
      </c>
      <c r="T23" s="774" t="s">
        <v>17</v>
      </c>
      <c r="U23" s="775">
        <f>H23</f>
        <v>100</v>
      </c>
      <c r="V23" s="774" t="s">
        <v>17</v>
      </c>
      <c r="W23" s="775">
        <f>J23</f>
        <v>100</v>
      </c>
      <c r="X23" s="1808"/>
      <c r="Y23" s="3230"/>
      <c r="Z23" s="1809" t="str">
        <f>Q23</f>
        <v>区域土地利用方向</v>
      </c>
      <c r="AA23" s="1806">
        <f t="shared" si="3"/>
        <v>1</v>
      </c>
      <c r="AB23" s="1806">
        <f t="shared" si="4"/>
        <v>1</v>
      </c>
      <c r="AC23" s="1806">
        <f t="shared" si="5"/>
        <v>1</v>
      </c>
    </row>
    <row r="24" spans="1:29" ht="15">
      <c r="A24" s="404"/>
      <c r="B24" s="456"/>
      <c r="C24" s="616"/>
      <c r="D24" s="448"/>
      <c r="E24" s="2602"/>
      <c r="F24" s="448"/>
      <c r="G24" s="2601"/>
      <c r="H24" s="448"/>
      <c r="I24" s="2601"/>
      <c r="J24" s="448"/>
      <c r="K24" s="812"/>
      <c r="L24" s="1140"/>
      <c r="M24" s="1131"/>
      <c r="N24" s="1131"/>
      <c r="O24" s="1139"/>
      <c r="P24" s="3230"/>
      <c r="Q24" s="1805"/>
      <c r="R24" s="774"/>
      <c r="S24" s="775"/>
      <c r="T24" s="774"/>
      <c r="U24" s="775"/>
      <c r="V24" s="774"/>
      <c r="W24" s="775"/>
      <c r="X24" s="1808"/>
      <c r="Y24" s="3230"/>
      <c r="Z24" s="1809"/>
      <c r="AA24" s="1806"/>
      <c r="AB24" s="1806"/>
      <c r="AC24" s="1806"/>
    </row>
    <row r="25" spans="1:29" ht="57">
      <c r="A25" s="404"/>
      <c r="B25" s="1384"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0"/>
      <c r="Q25" s="1805" t="str">
        <f t="shared" si="8"/>
        <v>自然及人文环境状况</v>
      </c>
      <c r="R25" s="774" t="s">
        <v>17</v>
      </c>
      <c r="S25" s="775">
        <f>F25</f>
        <v>100</v>
      </c>
      <c r="T25" s="774" t="s">
        <v>17</v>
      </c>
      <c r="U25" s="775">
        <f>H25</f>
        <v>100</v>
      </c>
      <c r="V25" s="774" t="s">
        <v>17</v>
      </c>
      <c r="W25" s="775">
        <f>J25</f>
        <v>100</v>
      </c>
      <c r="X25" s="1808"/>
      <c r="Y25" s="3230"/>
      <c r="Z25" s="1809" t="str">
        <f>Q25</f>
        <v>自然及人文环境状况</v>
      </c>
      <c r="AA25" s="1806">
        <f t="shared" si="3"/>
        <v>1</v>
      </c>
      <c r="AB25" s="1806">
        <f t="shared" si="4"/>
        <v>1</v>
      </c>
      <c r="AC25" s="1806">
        <f t="shared" si="5"/>
        <v>1</v>
      </c>
    </row>
    <row r="26" spans="1:29" ht="15">
      <c r="A26" s="404"/>
      <c r="B26" s="456"/>
      <c r="C26" s="447"/>
      <c r="D26" s="448"/>
      <c r="E26" s="2608"/>
      <c r="F26" s="448"/>
      <c r="G26" s="2608"/>
      <c r="H26" s="448"/>
      <c r="I26" s="447"/>
      <c r="J26" s="448"/>
      <c r="K26" s="672"/>
      <c r="L26" s="1140"/>
      <c r="M26" s="1131"/>
      <c r="N26" s="1131"/>
      <c r="O26" s="1139"/>
      <c r="P26" s="3230"/>
      <c r="Q26" s="1805"/>
      <c r="R26" s="774"/>
      <c r="S26" s="775"/>
      <c r="T26" s="774"/>
      <c r="U26" s="775"/>
      <c r="V26" s="774"/>
      <c r="W26" s="775"/>
      <c r="X26" s="1808"/>
      <c r="Y26" s="3230"/>
      <c r="Z26" s="1809"/>
      <c r="AA26" s="1806">
        <v>1</v>
      </c>
      <c r="AB26" s="1806">
        <v>1</v>
      </c>
      <c r="AC26" s="1806">
        <v>1</v>
      </c>
    </row>
    <row r="27" spans="1:29" s="117" customFormat="1" ht="42.75">
      <c r="A27" s="649"/>
      <c r="B27" s="1384"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0"/>
      <c r="Q27" s="1790" t="str">
        <f t="shared" si="8"/>
        <v>公共配套设施</v>
      </c>
      <c r="R27" s="770" t="s">
        <v>17</v>
      </c>
      <c r="S27" s="771">
        <f>F27</f>
        <v>100</v>
      </c>
      <c r="T27" s="770" t="s">
        <v>17</v>
      </c>
      <c r="U27" s="771">
        <f>H27</f>
        <v>100</v>
      </c>
      <c r="V27" s="770" t="s">
        <v>17</v>
      </c>
      <c r="W27" s="771">
        <f>J27</f>
        <v>100</v>
      </c>
      <c r="X27" s="772"/>
      <c r="Y27" s="3230"/>
      <c r="Z27" s="55" t="str">
        <f>Q27</f>
        <v>公共配套设施</v>
      </c>
      <c r="AA27" s="1806">
        <f>D27/F27</f>
        <v>1</v>
      </c>
      <c r="AB27" s="1806">
        <f>D27/H27</f>
        <v>1</v>
      </c>
      <c r="AC27" s="1806">
        <f>D27/J27</f>
        <v>1</v>
      </c>
    </row>
    <row r="28" spans="1:29" s="117" customFormat="1" ht="15">
      <c r="A28" s="649"/>
      <c r="B28" s="456"/>
      <c r="C28" s="2697"/>
      <c r="D28" s="448"/>
      <c r="E28" s="2608"/>
      <c r="F28" s="448"/>
      <c r="G28" s="2608"/>
      <c r="H28" s="448"/>
      <c r="I28" s="447"/>
      <c r="J28" s="448"/>
      <c r="K28" s="672"/>
      <c r="L28" s="1132"/>
      <c r="M28" s="1133"/>
      <c r="N28" s="1133"/>
      <c r="O28" s="1134"/>
      <c r="P28" s="3230"/>
      <c r="Q28" s="1790"/>
      <c r="R28" s="770"/>
      <c r="S28" s="771"/>
      <c r="T28" s="770"/>
      <c r="U28" s="771"/>
      <c r="V28" s="770"/>
      <c r="W28" s="771"/>
      <c r="X28" s="772"/>
      <c r="Y28" s="3230"/>
      <c r="Z28" s="55"/>
      <c r="AA28" s="1806">
        <v>1</v>
      </c>
      <c r="AB28" s="1806">
        <v>1</v>
      </c>
      <c r="AC28" s="1806">
        <v>1</v>
      </c>
    </row>
    <row r="29" spans="1:29" s="117" customFormat="1" ht="28.5">
      <c r="A29" s="649"/>
      <c r="B29" s="1384"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0"/>
      <c r="Q29" s="1790" t="str">
        <f t="shared" ref="Q29" si="9">B29</f>
        <v>基础设施水平</v>
      </c>
      <c r="R29" s="770" t="s">
        <v>17</v>
      </c>
      <c r="S29" s="771">
        <f>F29</f>
        <v>100</v>
      </c>
      <c r="T29" s="770" t="s">
        <v>17</v>
      </c>
      <c r="U29" s="771">
        <f>H29</f>
        <v>100</v>
      </c>
      <c r="V29" s="770" t="s">
        <v>17</v>
      </c>
      <c r="W29" s="771">
        <f>J29</f>
        <v>100</v>
      </c>
      <c r="X29" s="772"/>
      <c r="Y29" s="3230"/>
      <c r="Z29" s="55" t="str">
        <f>Q29</f>
        <v>基础设施水平</v>
      </c>
      <c r="AA29" s="1806">
        <f>D29/F29</f>
        <v>1</v>
      </c>
      <c r="AB29" s="1806">
        <f>D29/H29</f>
        <v>1</v>
      </c>
      <c r="AC29" s="1806">
        <f>D29/J29</f>
        <v>1</v>
      </c>
    </row>
    <row r="30" spans="1:29" s="117" customFormat="1" ht="15">
      <c r="A30" s="649"/>
      <c r="B30" s="456"/>
      <c r="C30" s="2697"/>
      <c r="D30" s="448"/>
      <c r="E30" s="2698"/>
      <c r="F30" s="448"/>
      <c r="G30" s="2698"/>
      <c r="H30" s="448"/>
      <c r="I30" s="2698"/>
      <c r="J30" s="448"/>
      <c r="K30" s="672"/>
      <c r="L30" s="1132"/>
      <c r="M30" s="1133"/>
      <c r="N30" s="1133"/>
      <c r="O30" s="1134"/>
      <c r="P30" s="3230"/>
      <c r="Q30" s="1790"/>
      <c r="R30" s="770"/>
      <c r="S30" s="771"/>
      <c r="T30" s="770"/>
      <c r="U30" s="771"/>
      <c r="V30" s="770"/>
      <c r="W30" s="771"/>
      <c r="X30" s="772"/>
      <c r="Y30" s="3230"/>
      <c r="Z30" s="55"/>
      <c r="AA30" s="1806">
        <v>1</v>
      </c>
      <c r="AB30" s="1806">
        <v>1</v>
      </c>
      <c r="AC30" s="180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0"/>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30"/>
      <c r="Z31" s="1809" t="str">
        <f t="shared" ref="Z31:Z45" si="13">Q31</f>
        <v>临街状况</v>
      </c>
      <c r="AA31" s="1806">
        <f t="shared" si="3"/>
        <v>1</v>
      </c>
      <c r="AB31" s="1806">
        <f t="shared" si="4"/>
        <v>1</v>
      </c>
      <c r="AC31" s="180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0"/>
      <c r="Q32" s="1805" t="str">
        <f t="shared" si="8"/>
        <v>毗邻道路的类型与等级</v>
      </c>
      <c r="R32" s="774" t="s">
        <v>17</v>
      </c>
      <c r="S32" s="775">
        <f t="shared" si="10"/>
        <v>100</v>
      </c>
      <c r="T32" s="774" t="s">
        <v>17</v>
      </c>
      <c r="U32" s="775">
        <f t="shared" si="11"/>
        <v>100</v>
      </c>
      <c r="V32" s="774" t="s">
        <v>17</v>
      </c>
      <c r="W32" s="775">
        <f t="shared" si="12"/>
        <v>100</v>
      </c>
      <c r="X32" s="1808"/>
      <c r="Y32" s="3230"/>
      <c r="Z32" s="1809" t="str">
        <f t="shared" si="13"/>
        <v>毗邻道路的类型与等级</v>
      </c>
      <c r="AA32" s="1806">
        <f t="shared" si="3"/>
        <v>1</v>
      </c>
      <c r="AB32" s="1806">
        <f t="shared" si="4"/>
        <v>1</v>
      </c>
      <c r="AC32" s="1806">
        <f t="shared" si="5"/>
        <v>1</v>
      </c>
    </row>
    <row r="33" spans="1:29" ht="15">
      <c r="A33" s="428"/>
      <c r="B33" s="456"/>
      <c r="C33" s="447"/>
      <c r="D33" s="448"/>
      <c r="E33" s="2608"/>
      <c r="F33" s="448"/>
      <c r="G33" s="2608"/>
      <c r="H33" s="448"/>
      <c r="I33" s="447"/>
      <c r="J33" s="448"/>
      <c r="K33" s="613"/>
      <c r="L33" s="1140"/>
      <c r="M33" s="1131"/>
      <c r="N33" s="1131"/>
      <c r="O33" s="1139"/>
      <c r="P33" s="3230"/>
      <c r="Q33" s="1805"/>
      <c r="R33" s="774"/>
      <c r="S33" s="775"/>
      <c r="T33" s="774"/>
      <c r="U33" s="775"/>
      <c r="V33" s="774"/>
      <c r="W33" s="775"/>
      <c r="X33" s="1808"/>
      <c r="Y33" s="3230"/>
      <c r="Z33" s="1809"/>
      <c r="AA33" s="1806">
        <v>1</v>
      </c>
      <c r="AB33" s="1806">
        <v>1</v>
      </c>
      <c r="AC33" s="180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0"/>
      <c r="Q34" s="1805" t="str">
        <f t="shared" si="8"/>
        <v>土地级别</v>
      </c>
      <c r="R34" s="774" t="s">
        <v>17</v>
      </c>
      <c r="S34" s="775">
        <f t="shared" si="10"/>
        <v>100</v>
      </c>
      <c r="T34" s="774" t="s">
        <v>17</v>
      </c>
      <c r="U34" s="775">
        <f t="shared" si="11"/>
        <v>100</v>
      </c>
      <c r="V34" s="774" t="s">
        <v>17</v>
      </c>
      <c r="W34" s="775">
        <f t="shared" si="12"/>
        <v>100</v>
      </c>
      <c r="X34" s="1808"/>
      <c r="Y34" s="3230"/>
      <c r="Z34" s="1809" t="str">
        <f t="shared" si="13"/>
        <v>土地级别</v>
      </c>
      <c r="AA34" s="1806">
        <f t="shared" si="3"/>
        <v>1</v>
      </c>
      <c r="AB34" s="1806">
        <f t="shared" si="4"/>
        <v>1</v>
      </c>
      <c r="AC34" s="180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0"/>
      <c r="Q35" s="1805">
        <f t="shared" si="8"/>
        <v>111</v>
      </c>
      <c r="R35" s="774" t="s">
        <v>17</v>
      </c>
      <c r="S35" s="775">
        <f t="shared" si="10"/>
        <v>100</v>
      </c>
      <c r="T35" s="774" t="s">
        <v>17</v>
      </c>
      <c r="U35" s="775">
        <f t="shared" si="11"/>
        <v>100</v>
      </c>
      <c r="V35" s="774" t="s">
        <v>17</v>
      </c>
      <c r="W35" s="775">
        <f t="shared" si="12"/>
        <v>100</v>
      </c>
      <c r="X35" s="1808"/>
      <c r="Y35" s="3230"/>
      <c r="Z35" s="1809">
        <f t="shared" si="13"/>
        <v>111</v>
      </c>
      <c r="AA35" s="1806">
        <f t="shared" si="3"/>
        <v>1</v>
      </c>
      <c r="AB35" s="1806">
        <f t="shared" si="4"/>
        <v>1</v>
      </c>
      <c r="AC35" s="180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2563</v>
      </c>
      <c r="Q36" s="1805">
        <f t="shared" si="8"/>
        <v>111</v>
      </c>
      <c r="R36" s="774" t="s">
        <v>17</v>
      </c>
      <c r="S36" s="775">
        <f t="shared" si="10"/>
        <v>100</v>
      </c>
      <c r="T36" s="774" t="s">
        <v>17</v>
      </c>
      <c r="U36" s="775">
        <f t="shared" si="11"/>
        <v>100</v>
      </c>
      <c r="V36" s="774" t="s">
        <v>17</v>
      </c>
      <c r="W36" s="775">
        <f t="shared" si="12"/>
        <v>100</v>
      </c>
      <c r="X36" s="1808"/>
      <c r="Y36" s="3234" t="s">
        <v>2563</v>
      </c>
      <c r="Z36" s="1809">
        <f t="shared" si="13"/>
        <v>111</v>
      </c>
      <c r="AA36" s="1806">
        <f t="shared" si="3"/>
        <v>1</v>
      </c>
      <c r="AB36" s="1806">
        <f t="shared" si="4"/>
        <v>1</v>
      </c>
      <c r="AC36" s="180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4"/>
      <c r="Q37" s="1805">
        <f t="shared" si="8"/>
        <v>111</v>
      </c>
      <c r="R37" s="777" t="s">
        <v>17</v>
      </c>
      <c r="S37" s="778">
        <f t="shared" si="10"/>
        <v>100</v>
      </c>
      <c r="T37" s="777" t="s">
        <v>17</v>
      </c>
      <c r="U37" s="778">
        <f t="shared" si="11"/>
        <v>100</v>
      </c>
      <c r="V37" s="777" t="s">
        <v>17</v>
      </c>
      <c r="W37" s="778">
        <f t="shared" si="12"/>
        <v>100</v>
      </c>
      <c r="X37" s="779"/>
      <c r="Y37" s="3234"/>
      <c r="Z37" s="780">
        <f t="shared" si="13"/>
        <v>111</v>
      </c>
      <c r="AA37" s="1806">
        <f t="shared" si="3"/>
        <v>1</v>
      </c>
      <c r="AB37" s="1806">
        <f t="shared" si="4"/>
        <v>1</v>
      </c>
      <c r="AC37" s="180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4"/>
      <c r="Q38" s="1805" t="str">
        <f>B38</f>
        <v>宗地面积</v>
      </c>
      <c r="R38" s="774" t="s">
        <v>17</v>
      </c>
      <c r="S38" s="775" t="e">
        <f t="shared" si="10"/>
        <v>#N/A</v>
      </c>
      <c r="T38" s="774" t="s">
        <v>17</v>
      </c>
      <c r="U38" s="775" t="e">
        <f t="shared" si="11"/>
        <v>#N/A</v>
      </c>
      <c r="V38" s="774" t="s">
        <v>17</v>
      </c>
      <c r="W38" s="775" t="e">
        <f t="shared" si="12"/>
        <v>#N/A</v>
      </c>
      <c r="X38" s="1808"/>
      <c r="Y38" s="3234"/>
      <c r="Z38" s="1809" t="str">
        <f t="shared" si="13"/>
        <v>宗地面积</v>
      </c>
      <c r="AA38" s="1806" t="e">
        <f t="shared" si="3"/>
        <v>#N/A</v>
      </c>
      <c r="AB38" s="1806" t="e">
        <f t="shared" si="4"/>
        <v>#N/A</v>
      </c>
      <c r="AC38" s="1806"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34"/>
      <c r="Q39" s="1805" t="str">
        <f t="shared" ref="Q39:Q45" si="14">B39</f>
        <v>宗地形状</v>
      </c>
      <c r="R39" s="774" t="s">
        <v>17</v>
      </c>
      <c r="S39" s="775">
        <f t="shared" si="10"/>
        <v>100</v>
      </c>
      <c r="T39" s="774" t="s">
        <v>17</v>
      </c>
      <c r="U39" s="775">
        <f t="shared" si="11"/>
        <v>100</v>
      </c>
      <c r="V39" s="774" t="s">
        <v>17</v>
      </c>
      <c r="W39" s="775">
        <f t="shared" si="12"/>
        <v>100</v>
      </c>
      <c r="X39" s="1808"/>
      <c r="Y39" s="3234"/>
      <c r="Z39" s="1809" t="str">
        <f t="shared" si="13"/>
        <v>宗地形状</v>
      </c>
      <c r="AA39" s="1806">
        <f t="shared" si="3"/>
        <v>1</v>
      </c>
      <c r="AB39" s="1806">
        <f t="shared" si="4"/>
        <v>1</v>
      </c>
      <c r="AC39" s="1806">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34"/>
      <c r="Q40" s="1805" t="str">
        <f t="shared" si="14"/>
        <v>临街宽度及深度</v>
      </c>
      <c r="R40" s="774" t="s">
        <v>17</v>
      </c>
      <c r="S40" s="775">
        <f t="shared" si="10"/>
        <v>100</v>
      </c>
      <c r="T40" s="774" t="s">
        <v>17</v>
      </c>
      <c r="U40" s="775">
        <f t="shared" si="11"/>
        <v>100</v>
      </c>
      <c r="V40" s="774" t="s">
        <v>17</v>
      </c>
      <c r="W40" s="775">
        <f t="shared" si="12"/>
        <v>100</v>
      </c>
      <c r="X40" s="1808"/>
      <c r="Y40" s="3234"/>
      <c r="Z40" s="1809" t="str">
        <f t="shared" si="13"/>
        <v>临街宽度及深度</v>
      </c>
      <c r="AA40" s="1806">
        <f t="shared" si="3"/>
        <v>1</v>
      </c>
      <c r="AB40" s="1806">
        <f t="shared" si="4"/>
        <v>1</v>
      </c>
      <c r="AC40" s="1806">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34"/>
      <c r="Q41" s="1805"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34" t="s">
        <v>2563</v>
      </c>
      <c r="Q42" s="1805" t="str">
        <f t="shared" si="14"/>
        <v>工程地质条件</v>
      </c>
      <c r="R42" s="774" t="s">
        <v>17</v>
      </c>
      <c r="S42" s="775">
        <f t="shared" si="10"/>
        <v>100</v>
      </c>
      <c r="T42" s="774" t="s">
        <v>17</v>
      </c>
      <c r="U42" s="775">
        <f t="shared" si="11"/>
        <v>100</v>
      </c>
      <c r="V42" s="774" t="s">
        <v>17</v>
      </c>
      <c r="W42" s="775">
        <f t="shared" si="12"/>
        <v>100</v>
      </c>
      <c r="X42" s="1808"/>
      <c r="Y42" s="3234" t="s">
        <v>2563</v>
      </c>
      <c r="Z42" s="1809" t="str">
        <f t="shared" si="13"/>
        <v>工程地质条件</v>
      </c>
      <c r="AA42" s="1806">
        <f t="shared" si="3"/>
        <v>1</v>
      </c>
      <c r="AB42" s="1806">
        <f t="shared" si="4"/>
        <v>1</v>
      </c>
      <c r="AC42" s="180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4"/>
      <c r="Q43" s="1805">
        <f t="shared" si="14"/>
        <v>111</v>
      </c>
      <c r="R43" s="774" t="s">
        <v>17</v>
      </c>
      <c r="S43" s="775">
        <f t="shared" si="10"/>
        <v>100</v>
      </c>
      <c r="T43" s="774" t="s">
        <v>17</v>
      </c>
      <c r="U43" s="775">
        <f t="shared" si="11"/>
        <v>100</v>
      </c>
      <c r="V43" s="774" t="s">
        <v>17</v>
      </c>
      <c r="W43" s="775">
        <f t="shared" si="12"/>
        <v>100</v>
      </c>
      <c r="X43" s="1808"/>
      <c r="Y43" s="3234"/>
      <c r="Z43" s="1809">
        <f t="shared" si="13"/>
        <v>111</v>
      </c>
      <c r="AA43" s="1806">
        <f t="shared" si="3"/>
        <v>1</v>
      </c>
      <c r="AB43" s="1806">
        <f t="shared" si="4"/>
        <v>1</v>
      </c>
      <c r="AC43" s="180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4"/>
      <c r="Q44" s="1805">
        <f t="shared" si="14"/>
        <v>111</v>
      </c>
      <c r="R44" s="774" t="s">
        <v>17</v>
      </c>
      <c r="S44" s="775">
        <f t="shared" si="10"/>
        <v>100</v>
      </c>
      <c r="T44" s="774" t="s">
        <v>17</v>
      </c>
      <c r="U44" s="775">
        <f t="shared" si="11"/>
        <v>100</v>
      </c>
      <c r="V44" s="774" t="s">
        <v>17</v>
      </c>
      <c r="W44" s="775">
        <f t="shared" si="12"/>
        <v>100</v>
      </c>
      <c r="X44" s="1808"/>
      <c r="Y44" s="3234"/>
      <c r="Z44" s="1809">
        <f t="shared" si="13"/>
        <v>111</v>
      </c>
      <c r="AA44" s="1806">
        <f t="shared" si="3"/>
        <v>1</v>
      </c>
      <c r="AB44" s="1806">
        <f t="shared" si="4"/>
        <v>1</v>
      </c>
      <c r="AC44" s="1806">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4"/>
      <c r="Q45" s="1805">
        <f t="shared" si="14"/>
        <v>111</v>
      </c>
      <c r="R45" s="777" t="s">
        <v>17</v>
      </c>
      <c r="S45" s="778">
        <f t="shared" si="10"/>
        <v>100</v>
      </c>
      <c r="T45" s="777" t="s">
        <v>17</v>
      </c>
      <c r="U45" s="778">
        <f t="shared" si="11"/>
        <v>100</v>
      </c>
      <c r="V45" s="777" t="s">
        <v>17</v>
      </c>
      <c r="W45" s="778">
        <f t="shared" si="12"/>
        <v>100</v>
      </c>
      <c r="X45" s="779"/>
      <c r="Y45" s="3234"/>
      <c r="Z45" s="780">
        <f t="shared" si="13"/>
        <v>111</v>
      </c>
      <c r="AA45" s="1806">
        <f t="shared" si="3"/>
        <v>1</v>
      </c>
      <c r="AB45" s="1806">
        <f t="shared" si="4"/>
        <v>1</v>
      </c>
      <c r="AC45" s="1806">
        <f t="shared" si="5"/>
        <v>1</v>
      </c>
    </row>
    <row r="46" spans="1:29" ht="15">
      <c r="A46" s="479" t="s">
        <v>2718</v>
      </c>
      <c r="B46" s="2701" t="s">
        <v>2754</v>
      </c>
      <c r="C46" s="682" t="s">
        <v>1</v>
      </c>
      <c r="D46" s="481"/>
      <c r="E46" s="482"/>
      <c r="F46" s="483"/>
      <c r="G46" s="484"/>
      <c r="H46" s="485"/>
      <c r="I46" s="482"/>
      <c r="J46" s="485"/>
      <c r="K46" s="783"/>
      <c r="L46" s="1143"/>
      <c r="M46" s="1144"/>
      <c r="N46" s="1131"/>
      <c r="O46" s="1144"/>
      <c r="P46" s="3227" t="str">
        <f>A46</f>
        <v>成交单价</v>
      </c>
      <c r="Q46" s="3227"/>
      <c r="R46" s="3222">
        <f>E46</f>
        <v>0</v>
      </c>
      <c r="S46" s="3222"/>
      <c r="T46" s="3222">
        <f>G46</f>
        <v>0</v>
      </c>
      <c r="U46" s="3222"/>
      <c r="V46" s="3222">
        <f>I46</f>
        <v>0</v>
      </c>
      <c r="W46" s="322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27" t="str">
        <f>A47</f>
        <v>比较价值（元/平方米）</v>
      </c>
      <c r="Q47" s="3227"/>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24" t="str">
        <f>A48</f>
        <v>估价对象XX用房的比较价值（楼面单价，元/平方米）</v>
      </c>
      <c r="Q48" s="3225"/>
      <c r="R48" s="3259" t="e">
        <f>ROUND(AVERAGE(R47:V47),0)</f>
        <v>#DIV/0!</v>
      </c>
      <c r="S48" s="3259"/>
      <c r="T48" s="3259"/>
      <c r="U48" s="3259"/>
      <c r="V48" s="3259"/>
      <c r="W48" s="325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2" t="s">
        <v>2758</v>
      </c>
      <c r="D55" s="2703" t="s">
        <v>2759</v>
      </c>
      <c r="E55" s="686" t="s">
        <v>2760</v>
      </c>
      <c r="F55" s="1107" t="s">
        <v>2761</v>
      </c>
      <c r="G55" s="3210" t="s">
        <v>2762</v>
      </c>
      <c r="H55" s="3260"/>
      <c r="I55" s="144" t="s">
        <v>2763</v>
      </c>
      <c r="J55" s="2704">
        <f>项目基本情况!F35</f>
        <v>0</v>
      </c>
      <c r="K55" s="2705" t="s">
        <v>2764</v>
      </c>
      <c r="L55" s="1106"/>
      <c r="M55" s="1144"/>
      <c r="N55" s="1144"/>
      <c r="O55" s="1144"/>
    </row>
    <row r="56" spans="1:15" s="692" customFormat="1">
      <c r="A56" s="688" t="s">
        <v>2765</v>
      </c>
      <c r="B56" s="689" t="e">
        <f>C48</f>
        <v>#DIV/0!</v>
      </c>
      <c r="C56" s="690">
        <v>1</v>
      </c>
      <c r="D56" s="1163">
        <v>1</v>
      </c>
      <c r="E56" s="690">
        <f>'数据-汇总表'!E8+'数据-汇总表'!E9</f>
        <v>1141.77</v>
      </c>
      <c r="F56" s="1103" t="e">
        <f t="shared" ref="F56:F65" si="15">ROUND(B56*E56/10000,0)</f>
        <v>#DIV/0!</v>
      </c>
      <c r="G56" s="3209"/>
      <c r="H56" s="3227"/>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61"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61"/>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61"/>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61"/>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6"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6"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7"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1141.77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8"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9"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197" t="s">
        <v>2645</v>
      </c>
      <c r="S4" s="3198"/>
      <c r="T4" s="3197" t="s">
        <v>2646</v>
      </c>
      <c r="U4" s="3198"/>
      <c r="V4" s="3222" t="s">
        <v>2647</v>
      </c>
      <c r="W4" s="3222"/>
      <c r="X4" s="1808"/>
      <c r="Y4" s="3197" t="s">
        <v>2649</v>
      </c>
      <c r="Z4" s="3198"/>
      <c r="AA4" s="3192" t="s">
        <v>2645</v>
      </c>
      <c r="AB4" s="3193" t="s">
        <v>2646</v>
      </c>
      <c r="AC4" s="3192" t="s">
        <v>2647</v>
      </c>
    </row>
    <row r="5" spans="1:29" ht="15">
      <c r="A5" s="404"/>
      <c r="B5" s="405"/>
      <c r="C5" s="3203" t="s">
        <v>2540</v>
      </c>
      <c r="D5" s="3204"/>
      <c r="E5" s="3201" t="s">
        <v>2541</v>
      </c>
      <c r="F5" s="3202"/>
      <c r="G5" s="3203" t="s">
        <v>2542</v>
      </c>
      <c r="H5" s="3204"/>
      <c r="I5" s="3203" t="s">
        <v>2543</v>
      </c>
      <c r="J5" s="3204"/>
      <c r="K5" s="610"/>
      <c r="L5" s="1130"/>
      <c r="M5" s="1131"/>
      <c r="N5" s="1131"/>
      <c r="O5" s="1131"/>
      <c r="P5" s="3216"/>
      <c r="Q5" s="3217"/>
      <c r="R5" s="3199"/>
      <c r="S5" s="3200"/>
      <c r="T5" s="3199"/>
      <c r="U5" s="3200"/>
      <c r="V5" s="3222"/>
      <c r="W5" s="3222"/>
      <c r="X5" s="1808"/>
      <c r="Y5" s="3199"/>
      <c r="Z5" s="3200"/>
      <c r="AA5" s="3193"/>
      <c r="AB5" s="3193"/>
      <c r="AC5" s="3193"/>
    </row>
    <row r="6" spans="1:29" ht="15.75" thickBot="1">
      <c r="A6" s="406"/>
      <c r="B6" s="407"/>
      <c r="C6" s="3262" t="s">
        <v>2795</v>
      </c>
      <c r="D6" s="3263"/>
      <c r="E6" s="3264" t="s">
        <v>2795</v>
      </c>
      <c r="F6" s="3265"/>
      <c r="G6" s="3262" t="s">
        <v>2795</v>
      </c>
      <c r="H6" s="3263"/>
      <c r="I6" s="3262" t="s">
        <v>2795</v>
      </c>
      <c r="J6" s="3263"/>
      <c r="K6" s="610" t="s">
        <v>2545</v>
      </c>
      <c r="L6" s="1130"/>
      <c r="M6" s="1131"/>
      <c r="N6" s="1131"/>
      <c r="O6" s="1131"/>
      <c r="P6" s="3218"/>
      <c r="Q6" s="3219"/>
      <c r="R6" s="3199"/>
      <c r="S6" s="3200"/>
      <c r="T6" s="3220"/>
      <c r="U6" s="3221"/>
      <c r="V6" s="3222"/>
      <c r="W6" s="3222"/>
      <c r="X6" s="1808"/>
      <c r="Y6" s="3220"/>
      <c r="Z6" s="3221"/>
      <c r="AA6" s="3194"/>
      <c r="AB6" s="3194"/>
      <c r="AC6" s="3194"/>
    </row>
    <row r="7" spans="1:29" s="117" customFormat="1" ht="15.75" thickBot="1">
      <c r="A7" s="408" t="s">
        <v>2546</v>
      </c>
      <c r="B7" s="409"/>
      <c r="C7" s="410">
        <f>'数据-取费表'!B2</f>
        <v>43592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95" t="s">
        <v>2547</v>
      </c>
      <c r="Q7" s="3223"/>
      <c r="R7" s="770" t="s">
        <v>17</v>
      </c>
      <c r="S7" s="771">
        <f t="shared" ref="S7:S15" si="0">F7</f>
        <v>0</v>
      </c>
      <c r="T7" s="770" t="s">
        <v>17</v>
      </c>
      <c r="U7" s="771">
        <f t="shared" ref="U7:U15" si="1">H7</f>
        <v>0</v>
      </c>
      <c r="V7" s="770" t="s">
        <v>17</v>
      </c>
      <c r="W7" s="771">
        <f t="shared" ref="W7:W15" si="2">J7</f>
        <v>0</v>
      </c>
      <c r="X7" s="772"/>
      <c r="Y7" s="3195" t="s">
        <v>2547</v>
      </c>
      <c r="Z7" s="319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5" t="s">
        <v>2550</v>
      </c>
      <c r="Q8" s="3196"/>
      <c r="R8" s="770" t="s">
        <v>17</v>
      </c>
      <c r="S8" s="771">
        <f t="shared" si="0"/>
        <v>0</v>
      </c>
      <c r="T8" s="770" t="s">
        <v>17</v>
      </c>
      <c r="U8" s="771">
        <f t="shared" si="1"/>
        <v>0</v>
      </c>
      <c r="V8" s="770" t="s">
        <v>17</v>
      </c>
      <c r="W8" s="771">
        <f t="shared" si="2"/>
        <v>0</v>
      </c>
      <c r="X8" s="772"/>
      <c r="Y8" s="3195" t="s">
        <v>2550</v>
      </c>
      <c r="Z8" s="3196"/>
      <c r="AA8" s="773" t="e">
        <f t="shared" ref="AA8:AA40" si="3">D8/F8</f>
        <v>#DIV/0!</v>
      </c>
      <c r="AB8" s="773" t="e">
        <f t="shared" ref="AB8:AB40" si="4">D8/H8</f>
        <v>#DIV/0!</v>
      </c>
      <c r="AC8" s="773"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27" t="s">
        <v>2553</v>
      </c>
      <c r="Q9" s="1790" t="str">
        <f t="shared" ref="Q9:Q15" si="6">B9</f>
        <v>用途</v>
      </c>
      <c r="R9" s="770" t="s">
        <v>17</v>
      </c>
      <c r="S9" s="771">
        <f t="shared" si="0"/>
        <v>100</v>
      </c>
      <c r="T9" s="770" t="s">
        <v>17</v>
      </c>
      <c r="U9" s="771">
        <f t="shared" si="1"/>
        <v>100</v>
      </c>
      <c r="V9" s="770" t="s">
        <v>17</v>
      </c>
      <c r="W9" s="771">
        <f t="shared" si="2"/>
        <v>100</v>
      </c>
      <c r="X9" s="772"/>
      <c r="Y9" s="304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27"/>
      <c r="Q10" s="1790" t="str">
        <f t="shared" si="6"/>
        <v>土地使用年限（年）</v>
      </c>
      <c r="R10" s="770" t="s">
        <v>17</v>
      </c>
      <c r="S10" s="771">
        <f t="shared" si="0"/>
        <v>113</v>
      </c>
      <c r="T10" s="770" t="s">
        <v>17</v>
      </c>
      <c r="U10" s="771">
        <f t="shared" si="1"/>
        <v>113</v>
      </c>
      <c r="V10" s="770" t="s">
        <v>17</v>
      </c>
      <c r="W10" s="771">
        <f t="shared" si="2"/>
        <v>113</v>
      </c>
      <c r="X10" s="772"/>
      <c r="Y10" s="3042"/>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7"/>
      <c r="Q11" s="1790"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7"/>
      <c r="Q12" s="1790">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7"/>
      <c r="Q13" s="1790">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7"/>
      <c r="Q14" s="1790">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9" t="s">
        <v>2558</v>
      </c>
      <c r="Q15" s="1805" t="str">
        <f t="shared" si="6"/>
        <v>产业集聚程度</v>
      </c>
      <c r="R15" s="774" t="s">
        <v>17</v>
      </c>
      <c r="S15" s="775">
        <f t="shared" si="0"/>
        <v>100</v>
      </c>
      <c r="T15" s="774" t="s">
        <v>17</v>
      </c>
      <c r="U15" s="775">
        <f t="shared" si="1"/>
        <v>100</v>
      </c>
      <c r="V15" s="774" t="s">
        <v>17</v>
      </c>
      <c r="W15" s="775">
        <f t="shared" si="2"/>
        <v>100</v>
      </c>
      <c r="X15" s="1808"/>
      <c r="Y15" s="3229" t="s">
        <v>2558</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40"/>
      <c r="M16" s="1131"/>
      <c r="N16" s="1131"/>
      <c r="O16" s="1139"/>
      <c r="P16" s="3230"/>
      <c r="Q16" s="1805"/>
      <c r="R16" s="774"/>
      <c r="S16" s="775"/>
      <c r="T16" s="774"/>
      <c r="U16" s="775"/>
      <c r="V16" s="774"/>
      <c r="W16" s="775"/>
      <c r="X16" s="1808"/>
      <c r="Y16" s="3230"/>
      <c r="Z16" s="1809"/>
      <c r="AA16" s="1806">
        <v>1</v>
      </c>
      <c r="AB16" s="1806">
        <v>1</v>
      </c>
      <c r="AC16" s="1806">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0"/>
      <c r="Q17" s="1805" t="str">
        <f>B17</f>
        <v>交通便捷度</v>
      </c>
      <c r="R17" s="774" t="s">
        <v>17</v>
      </c>
      <c r="S17" s="775">
        <f>F17</f>
        <v>100</v>
      </c>
      <c r="T17" s="774" t="s">
        <v>17</v>
      </c>
      <c r="U17" s="775">
        <f>H17</f>
        <v>100</v>
      </c>
      <c r="V17" s="774" t="s">
        <v>17</v>
      </c>
      <c r="W17" s="775">
        <f>J17</f>
        <v>100</v>
      </c>
      <c r="X17" s="1808"/>
      <c r="Y17" s="3230"/>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40"/>
      <c r="M18" s="1131"/>
      <c r="N18" s="1131"/>
      <c r="O18" s="1139"/>
      <c r="P18" s="3230"/>
      <c r="Q18" s="1805"/>
      <c r="R18" s="774"/>
      <c r="S18" s="775"/>
      <c r="T18" s="774"/>
      <c r="U18" s="775"/>
      <c r="V18" s="774"/>
      <c r="W18" s="775"/>
      <c r="X18" s="1808"/>
      <c r="Y18" s="3230"/>
      <c r="Z18" s="1809"/>
      <c r="AA18" s="1806">
        <v>1</v>
      </c>
      <c r="AB18" s="1806">
        <v>1</v>
      </c>
      <c r="AC18" s="1806">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0"/>
      <c r="Q19" s="1805" t="str">
        <f t="shared" ref="Q19:Q33" si="8">B19</f>
        <v>区域土地利用方向</v>
      </c>
      <c r="R19" s="774" t="s">
        <v>17</v>
      </c>
      <c r="S19" s="775">
        <f>F19</f>
        <v>100</v>
      </c>
      <c r="T19" s="774" t="s">
        <v>17</v>
      </c>
      <c r="U19" s="775">
        <f>H19</f>
        <v>100</v>
      </c>
      <c r="V19" s="774" t="s">
        <v>17</v>
      </c>
      <c r="W19" s="775">
        <f>J19</f>
        <v>100</v>
      </c>
      <c r="X19" s="1808"/>
      <c r="Y19" s="3230"/>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12"/>
      <c r="L20" s="1140"/>
      <c r="M20" s="1131"/>
      <c r="N20" s="1131"/>
      <c r="O20" s="1139"/>
      <c r="P20" s="3230"/>
      <c r="Q20" s="1805"/>
      <c r="R20" s="774"/>
      <c r="S20" s="775"/>
      <c r="T20" s="774"/>
      <c r="U20" s="775"/>
      <c r="V20" s="774"/>
      <c r="W20" s="775"/>
      <c r="X20" s="1808"/>
      <c r="Y20" s="3230"/>
      <c r="Z20" s="1809"/>
      <c r="AA20" s="1806"/>
      <c r="AB20" s="1806"/>
      <c r="AC20" s="1806"/>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0"/>
      <c r="Q21" s="1805" t="str">
        <f t="shared" si="8"/>
        <v>环境状况</v>
      </c>
      <c r="R21" s="774" t="s">
        <v>17</v>
      </c>
      <c r="S21" s="775">
        <f>F21</f>
        <v>100</v>
      </c>
      <c r="T21" s="774" t="s">
        <v>17</v>
      </c>
      <c r="U21" s="775">
        <f>H21</f>
        <v>100</v>
      </c>
      <c r="V21" s="774" t="s">
        <v>17</v>
      </c>
      <c r="W21" s="775">
        <f>J21</f>
        <v>100</v>
      </c>
      <c r="X21" s="1808"/>
      <c r="Y21" s="3230"/>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40"/>
      <c r="M22" s="1131"/>
      <c r="N22" s="1131"/>
      <c r="O22" s="1139"/>
      <c r="P22" s="3230"/>
      <c r="Q22" s="1805"/>
      <c r="R22" s="774"/>
      <c r="S22" s="775"/>
      <c r="T22" s="774"/>
      <c r="U22" s="775"/>
      <c r="V22" s="774"/>
      <c r="W22" s="775"/>
      <c r="X22" s="1808"/>
      <c r="Y22" s="3230"/>
      <c r="Z22" s="1809"/>
      <c r="AA22" s="1806">
        <v>1</v>
      </c>
      <c r="AB22" s="1806">
        <v>1</v>
      </c>
      <c r="AC22" s="1806">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0"/>
      <c r="Q23" s="1790" t="str">
        <f t="shared" si="8"/>
        <v>公共配套设施</v>
      </c>
      <c r="R23" s="770" t="s">
        <v>17</v>
      </c>
      <c r="S23" s="771">
        <f>F23</f>
        <v>100</v>
      </c>
      <c r="T23" s="770" t="s">
        <v>17</v>
      </c>
      <c r="U23" s="771">
        <f>H23</f>
        <v>100</v>
      </c>
      <c r="V23" s="770" t="s">
        <v>17</v>
      </c>
      <c r="W23" s="771">
        <f>J23</f>
        <v>100</v>
      </c>
      <c r="X23" s="772"/>
      <c r="Y23" s="3230"/>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32"/>
      <c r="M24" s="1133"/>
      <c r="N24" s="1133"/>
      <c r="O24" s="1134"/>
      <c r="P24" s="3230"/>
      <c r="Q24" s="1790"/>
      <c r="R24" s="770"/>
      <c r="S24" s="771"/>
      <c r="T24" s="770"/>
      <c r="U24" s="771"/>
      <c r="V24" s="770"/>
      <c r="W24" s="771"/>
      <c r="X24" s="772"/>
      <c r="Y24" s="3230"/>
      <c r="Z24" s="55"/>
      <c r="AA24" s="773">
        <v>1</v>
      </c>
      <c r="AB24" s="773">
        <v>1</v>
      </c>
      <c r="AC24" s="773">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0"/>
      <c r="Q25" s="1790" t="str">
        <f t="shared" ref="Q25" si="9">B25</f>
        <v>基础设施水平</v>
      </c>
      <c r="R25" s="770" t="s">
        <v>17</v>
      </c>
      <c r="S25" s="771">
        <f>F25</f>
        <v>100</v>
      </c>
      <c r="T25" s="770" t="s">
        <v>17</v>
      </c>
      <c r="U25" s="771">
        <f>H25</f>
        <v>100</v>
      </c>
      <c r="V25" s="770" t="s">
        <v>17</v>
      </c>
      <c r="W25" s="771">
        <f>J25</f>
        <v>100</v>
      </c>
      <c r="X25" s="772"/>
      <c r="Y25" s="3230"/>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32"/>
      <c r="M26" s="1133"/>
      <c r="N26" s="1133"/>
      <c r="O26" s="1134"/>
      <c r="P26" s="3230"/>
      <c r="Q26" s="1790"/>
      <c r="R26" s="770"/>
      <c r="S26" s="771"/>
      <c r="T26" s="770"/>
      <c r="U26" s="771"/>
      <c r="V26" s="770"/>
      <c r="W26" s="771"/>
      <c r="X26" s="772"/>
      <c r="Y26" s="323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0"/>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30"/>
      <c r="Z27" s="1809" t="str">
        <f t="shared" ref="Z27:Z40" si="13">Q27</f>
        <v>临街状况</v>
      </c>
      <c r="AA27" s="1806">
        <f t="shared" si="3"/>
        <v>1</v>
      </c>
      <c r="AB27" s="1806">
        <f t="shared" si="4"/>
        <v>1</v>
      </c>
      <c r="AC27" s="1806">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0"/>
      <c r="Q28" s="1805" t="str">
        <f t="shared" si="8"/>
        <v>毗邻道路的类型与等级</v>
      </c>
      <c r="R28" s="774" t="s">
        <v>17</v>
      </c>
      <c r="S28" s="775">
        <f t="shared" si="10"/>
        <v>100</v>
      </c>
      <c r="T28" s="774" t="s">
        <v>17</v>
      </c>
      <c r="U28" s="775">
        <f t="shared" si="11"/>
        <v>100</v>
      </c>
      <c r="V28" s="774" t="s">
        <v>17</v>
      </c>
      <c r="W28" s="775">
        <f t="shared" si="12"/>
        <v>100</v>
      </c>
      <c r="X28" s="1808"/>
      <c r="Y28" s="3230"/>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40"/>
      <c r="M29" s="1131"/>
      <c r="N29" s="1131"/>
      <c r="O29" s="1139"/>
      <c r="P29" s="3230"/>
      <c r="Q29" s="1805"/>
      <c r="R29" s="774"/>
      <c r="S29" s="775"/>
      <c r="T29" s="774"/>
      <c r="U29" s="775"/>
      <c r="V29" s="774"/>
      <c r="W29" s="775"/>
      <c r="X29" s="1808"/>
      <c r="Y29" s="3230"/>
      <c r="Z29" s="1809"/>
      <c r="AA29" s="1806">
        <v>1</v>
      </c>
      <c r="AB29" s="1806">
        <v>1</v>
      </c>
      <c r="AC29" s="180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0"/>
      <c r="Q30" s="1805" t="str">
        <f t="shared" si="8"/>
        <v>土地级别</v>
      </c>
      <c r="R30" s="774" t="s">
        <v>17</v>
      </c>
      <c r="S30" s="775">
        <f t="shared" si="10"/>
        <v>100</v>
      </c>
      <c r="T30" s="774" t="s">
        <v>17</v>
      </c>
      <c r="U30" s="775">
        <f t="shared" si="11"/>
        <v>100</v>
      </c>
      <c r="V30" s="774" t="s">
        <v>17</v>
      </c>
      <c r="W30" s="775">
        <f t="shared" si="12"/>
        <v>100</v>
      </c>
      <c r="X30" s="1808"/>
      <c r="Y30" s="3230"/>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0"/>
      <c r="Q31" s="1805">
        <f t="shared" si="8"/>
        <v>111</v>
      </c>
      <c r="R31" s="774" t="s">
        <v>17</v>
      </c>
      <c r="S31" s="775">
        <f t="shared" si="10"/>
        <v>100</v>
      </c>
      <c r="T31" s="774" t="s">
        <v>17</v>
      </c>
      <c r="U31" s="775">
        <f t="shared" si="11"/>
        <v>100</v>
      </c>
      <c r="V31" s="774" t="s">
        <v>17</v>
      </c>
      <c r="W31" s="775">
        <f t="shared" si="12"/>
        <v>100</v>
      </c>
      <c r="X31" s="1808"/>
      <c r="Y31" s="3230"/>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2563</v>
      </c>
      <c r="Q32" s="1805">
        <f t="shared" si="8"/>
        <v>111</v>
      </c>
      <c r="R32" s="774" t="s">
        <v>17</v>
      </c>
      <c r="S32" s="775">
        <f t="shared" si="10"/>
        <v>100</v>
      </c>
      <c r="T32" s="774" t="s">
        <v>17</v>
      </c>
      <c r="U32" s="775">
        <f t="shared" si="11"/>
        <v>100</v>
      </c>
      <c r="V32" s="774" t="s">
        <v>17</v>
      </c>
      <c r="W32" s="775">
        <f t="shared" si="12"/>
        <v>100</v>
      </c>
      <c r="X32" s="1808"/>
      <c r="Y32" s="3234" t="s">
        <v>2563</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4"/>
      <c r="Q33" s="1805">
        <f t="shared" si="8"/>
        <v>111</v>
      </c>
      <c r="R33" s="777" t="s">
        <v>17</v>
      </c>
      <c r="S33" s="778">
        <f t="shared" si="10"/>
        <v>100</v>
      </c>
      <c r="T33" s="777" t="s">
        <v>17</v>
      </c>
      <c r="U33" s="778">
        <f t="shared" si="11"/>
        <v>100</v>
      </c>
      <c r="V33" s="777" t="s">
        <v>17</v>
      </c>
      <c r="W33" s="778">
        <f t="shared" si="12"/>
        <v>100</v>
      </c>
      <c r="X33" s="779"/>
      <c r="Y33" s="3234"/>
      <c r="Z33" s="780">
        <f t="shared" si="13"/>
        <v>111</v>
      </c>
      <c r="AA33" s="1806">
        <f t="shared" si="3"/>
        <v>1</v>
      </c>
      <c r="AB33" s="1806">
        <f t="shared" si="4"/>
        <v>1</v>
      </c>
      <c r="AC33" s="180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4"/>
      <c r="Q34" s="1805" t="str">
        <f>B34</f>
        <v>宗地面积</v>
      </c>
      <c r="R34" s="774" t="s">
        <v>17</v>
      </c>
      <c r="S34" s="775" t="e">
        <f t="shared" si="10"/>
        <v>#N/A</v>
      </c>
      <c r="T34" s="774" t="s">
        <v>17</v>
      </c>
      <c r="U34" s="775" t="e">
        <f t="shared" si="11"/>
        <v>#N/A</v>
      </c>
      <c r="V34" s="774" t="s">
        <v>17</v>
      </c>
      <c r="W34" s="775" t="e">
        <f t="shared" si="12"/>
        <v>#N/A</v>
      </c>
      <c r="X34" s="1808"/>
      <c r="Y34" s="3234"/>
      <c r="Z34" s="1809" t="str">
        <f t="shared" si="13"/>
        <v>宗地面积</v>
      </c>
      <c r="AA34" s="1806" t="e">
        <f t="shared" si="3"/>
        <v>#N/A</v>
      </c>
      <c r="AB34" s="1806" t="e">
        <f t="shared" si="4"/>
        <v>#N/A</v>
      </c>
      <c r="AC34" s="1806"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34"/>
      <c r="Q35" s="1805" t="str">
        <f t="shared" ref="Q35:Q40" si="14">B35</f>
        <v>宗地形状</v>
      </c>
      <c r="R35" s="774" t="s">
        <v>17</v>
      </c>
      <c r="S35" s="775">
        <f t="shared" si="10"/>
        <v>100</v>
      </c>
      <c r="T35" s="774" t="s">
        <v>17</v>
      </c>
      <c r="U35" s="775">
        <f t="shared" si="11"/>
        <v>100</v>
      </c>
      <c r="V35" s="774" t="s">
        <v>17</v>
      </c>
      <c r="W35" s="775">
        <f t="shared" si="12"/>
        <v>100</v>
      </c>
      <c r="X35" s="1808"/>
      <c r="Y35" s="3234"/>
      <c r="Z35" s="1809" t="str">
        <f t="shared" si="13"/>
        <v>宗地形状</v>
      </c>
      <c r="AA35" s="1806">
        <f t="shared" si="3"/>
        <v>1</v>
      </c>
      <c r="AB35" s="1806">
        <f t="shared" si="4"/>
        <v>1</v>
      </c>
      <c r="AC35" s="1806">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34"/>
      <c r="Q36" s="1805"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34" t="s">
        <v>2563</v>
      </c>
      <c r="Q37" s="1805" t="str">
        <f t="shared" si="14"/>
        <v>工程地质条件</v>
      </c>
      <c r="R37" s="774" t="s">
        <v>17</v>
      </c>
      <c r="S37" s="775">
        <f t="shared" si="10"/>
        <v>100</v>
      </c>
      <c r="T37" s="774" t="s">
        <v>17</v>
      </c>
      <c r="U37" s="775">
        <f t="shared" si="11"/>
        <v>100</v>
      </c>
      <c r="V37" s="774" t="s">
        <v>17</v>
      </c>
      <c r="W37" s="775">
        <f t="shared" si="12"/>
        <v>100</v>
      </c>
      <c r="X37" s="1808"/>
      <c r="Y37" s="3234" t="s">
        <v>2563</v>
      </c>
      <c r="Z37" s="1809" t="str">
        <f t="shared" si="13"/>
        <v>工程地质条件</v>
      </c>
      <c r="AA37" s="1806">
        <f t="shared" si="3"/>
        <v>1</v>
      </c>
      <c r="AB37" s="1806">
        <f t="shared" si="4"/>
        <v>1</v>
      </c>
      <c r="AC37" s="180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4"/>
      <c r="Q38" s="1805">
        <f t="shared" si="14"/>
        <v>111</v>
      </c>
      <c r="R38" s="774" t="s">
        <v>17</v>
      </c>
      <c r="S38" s="775">
        <f t="shared" si="10"/>
        <v>100</v>
      </c>
      <c r="T38" s="774" t="s">
        <v>17</v>
      </c>
      <c r="U38" s="775">
        <f t="shared" si="11"/>
        <v>100</v>
      </c>
      <c r="V38" s="774" t="s">
        <v>17</v>
      </c>
      <c r="W38" s="775">
        <f t="shared" si="12"/>
        <v>100</v>
      </c>
      <c r="X38" s="1808"/>
      <c r="Y38" s="3234"/>
      <c r="Z38" s="1809">
        <f t="shared" si="13"/>
        <v>111</v>
      </c>
      <c r="AA38" s="1806">
        <f t="shared" si="3"/>
        <v>1</v>
      </c>
      <c r="AB38" s="1806">
        <f t="shared" si="4"/>
        <v>1</v>
      </c>
      <c r="AC38" s="180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4"/>
      <c r="Q39" s="1805">
        <f t="shared" si="14"/>
        <v>111</v>
      </c>
      <c r="R39" s="774" t="s">
        <v>17</v>
      </c>
      <c r="S39" s="775">
        <f t="shared" si="10"/>
        <v>100</v>
      </c>
      <c r="T39" s="774" t="s">
        <v>17</v>
      </c>
      <c r="U39" s="775">
        <f t="shared" si="11"/>
        <v>100</v>
      </c>
      <c r="V39" s="774" t="s">
        <v>17</v>
      </c>
      <c r="W39" s="775">
        <f t="shared" si="12"/>
        <v>100</v>
      </c>
      <c r="X39" s="1808"/>
      <c r="Y39" s="3234"/>
      <c r="Z39" s="1809">
        <f t="shared" si="13"/>
        <v>111</v>
      </c>
      <c r="AA39" s="1806">
        <f t="shared" si="3"/>
        <v>1</v>
      </c>
      <c r="AB39" s="1806">
        <f t="shared" si="4"/>
        <v>1</v>
      </c>
      <c r="AC39" s="1806">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4"/>
      <c r="Q40" s="1805">
        <f t="shared" si="14"/>
        <v>111</v>
      </c>
      <c r="R40" s="777" t="s">
        <v>17</v>
      </c>
      <c r="S40" s="778">
        <f t="shared" si="10"/>
        <v>100</v>
      </c>
      <c r="T40" s="777" t="s">
        <v>17</v>
      </c>
      <c r="U40" s="778">
        <f t="shared" si="11"/>
        <v>100</v>
      </c>
      <c r="V40" s="777" t="s">
        <v>17</v>
      </c>
      <c r="W40" s="778">
        <f t="shared" si="12"/>
        <v>100</v>
      </c>
      <c r="X40" s="779"/>
      <c r="Y40" s="3234"/>
      <c r="Z40" s="780">
        <f t="shared" si="13"/>
        <v>111</v>
      </c>
      <c r="AA40" s="1806">
        <f t="shared" si="3"/>
        <v>1</v>
      </c>
      <c r="AB40" s="1806">
        <f t="shared" si="4"/>
        <v>1</v>
      </c>
      <c r="AC40" s="1806">
        <f t="shared" si="5"/>
        <v>1</v>
      </c>
    </row>
    <row r="41" spans="1:29" ht="15">
      <c r="A41" s="479" t="s">
        <v>2718</v>
      </c>
      <c r="B41" s="2701" t="s">
        <v>2798</v>
      </c>
      <c r="C41" s="682" t="s">
        <v>1</v>
      </c>
      <c r="D41" s="481"/>
      <c r="E41" s="482"/>
      <c r="F41" s="483"/>
      <c r="G41" s="484"/>
      <c r="H41" s="485"/>
      <c r="I41" s="482"/>
      <c r="J41" s="485"/>
      <c r="K41" s="783"/>
      <c r="L41" s="1143"/>
      <c r="M41" s="1131"/>
      <c r="N41" s="1131"/>
      <c r="O41" s="1144"/>
      <c r="P41" s="3227" t="str">
        <f>A41</f>
        <v>成交单价</v>
      </c>
      <c r="Q41" s="3227"/>
      <c r="R41" s="3222">
        <f>E41</f>
        <v>0</v>
      </c>
      <c r="S41" s="3222"/>
      <c r="T41" s="3222">
        <f>G41</f>
        <v>0</v>
      </c>
      <c r="U41" s="3222"/>
      <c r="V41" s="3222">
        <f>I41</f>
        <v>0</v>
      </c>
      <c r="W41" s="322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27" t="str">
        <f>A42</f>
        <v>比较价值（元/平方米）</v>
      </c>
      <c r="Q42" s="3227"/>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24" t="str">
        <f>A43</f>
        <v>估价对象XX用房的比较价值（楼面单价，元/平方米）</v>
      </c>
      <c r="Q43" s="3225"/>
      <c r="R43" s="3259" t="e">
        <f>ROUND(AVERAGE(R42:V42),0)</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2" t="s">
        <v>2758</v>
      </c>
      <c r="D50" s="2703" t="s">
        <v>2759</v>
      </c>
      <c r="E50" s="686" t="s">
        <v>2760</v>
      </c>
      <c r="F50" s="687" t="s">
        <v>2761</v>
      </c>
      <c r="G50" s="3210" t="s">
        <v>2762</v>
      </c>
      <c r="H50" s="3260"/>
      <c r="I50" s="1809" t="s">
        <v>2799</v>
      </c>
      <c r="J50" s="1809">
        <f>项目基本情况!F35</f>
        <v>0</v>
      </c>
      <c r="K50" s="2705" t="s">
        <v>2764</v>
      </c>
      <c r="L50" s="1106"/>
      <c r="M50" s="1144"/>
      <c r="N50" s="1144"/>
      <c r="O50" s="1144"/>
    </row>
    <row r="51" spans="1:17" s="692" customFormat="1">
      <c r="A51" s="688" t="s">
        <v>2765</v>
      </c>
      <c r="B51" s="689" t="e">
        <f>C43</f>
        <v>#DIV/0!</v>
      </c>
      <c r="C51" s="690">
        <v>1</v>
      </c>
      <c r="D51" s="1163">
        <v>1</v>
      </c>
      <c r="E51" s="690">
        <f>'数据-汇总表'!E8+'数据-汇总表'!E9</f>
        <v>1141.77</v>
      </c>
      <c r="F51" s="691" t="e">
        <f t="shared" ref="F51:F60" si="15">ROUND(B51*E51/10000,0)</f>
        <v>#DIV/0!</v>
      </c>
      <c r="G51" s="3209"/>
      <c r="H51" s="3227"/>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61"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61"/>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61"/>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61"/>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6"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6"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7"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8"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8" t="s">
        <v>2817</v>
      </c>
      <c r="D3" s="2719" t="s">
        <v>2818</v>
      </c>
      <c r="E3" s="2724"/>
      <c r="F3" s="2725" t="s">
        <v>2819</v>
      </c>
      <c r="G3" s="916" t="e">
        <f>IF(F3="宗地容积率",'数据-汇总表'!I4,IF(F3="估价对象容积率",'数据-汇总表'!I6,'数据-汇总表'!I7))</f>
        <v>#DIV/0!</v>
      </c>
      <c r="H3" s="198" t="s">
        <v>2820</v>
      </c>
      <c r="I3" s="944"/>
      <c r="J3" s="2722" t="s">
        <v>2821</v>
      </c>
      <c r="K3" s="1370"/>
      <c r="L3" s="2723" t="s">
        <v>2822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2"/>
      <c r="B4" s="3283"/>
      <c r="C4" s="3283"/>
      <c r="D4" s="3284"/>
      <c r="E4" s="3284"/>
      <c r="F4" s="3284"/>
      <c r="G4" s="3284"/>
      <c r="H4" s="3284"/>
      <c r="I4" s="3284"/>
      <c r="J4" s="3285"/>
      <c r="K4" s="1370"/>
      <c r="L4" s="2723" t="s">
        <v>2823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2824</v>
      </c>
      <c r="C5" s="917" t="e">
        <f>ROUND(IF(E2="商业",C6*C7+C16,(IF(E2="住宅",C6*C12+C16,C6+C16))),0)</f>
        <v>#DIV/0!</v>
      </c>
      <c r="D5" s="1782" t="e">
        <f>ROUND(IF(F17="增加",C6+C16,C6-C16),0)</f>
        <v>#DIV/0!</v>
      </c>
      <c r="E5" s="1782"/>
      <c r="F5" s="2728"/>
      <c r="G5" s="2729"/>
      <c r="H5" s="2729"/>
      <c r="I5" s="2729"/>
      <c r="J5" s="2730"/>
      <c r="K5" s="2731"/>
      <c r="L5" s="2723" t="s">
        <v>2825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2826</v>
      </c>
      <c r="B6" s="2737" t="s">
        <v>2827</v>
      </c>
      <c r="C6" s="918">
        <f>SUMIF(L1:L12,G2,M1:M12)</f>
        <v>0</v>
      </c>
      <c r="D6" s="2738" t="s">
        <v>2828</v>
      </c>
      <c r="E6" s="2739"/>
      <c r="F6" s="2739"/>
      <c r="G6" s="2740"/>
      <c r="H6" s="2740"/>
      <c r="I6" s="2740"/>
      <c r="J6" s="2741"/>
      <c r="K6" s="1837"/>
      <c r="L6" s="2723" t="s">
        <v>2829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66" t="str">
        <f>IF(E2="商业",IF(C8="不临58条商业街","",2),"")</f>
        <v/>
      </c>
      <c r="B7" s="2742" t="s">
        <v>2830</v>
      </c>
      <c r="C7" s="919" t="e">
        <f>IF(C8="不临58条商业街",1,ROUND(1+(1.6*E8+1.2*E9+0.8*E10+0.4*E11)*C9,4))</f>
        <v>#DIV/0!</v>
      </c>
      <c r="D7" s="2743" t="s">
        <v>2831</v>
      </c>
      <c r="E7" s="945"/>
      <c r="F7" s="2744"/>
      <c r="G7" s="2745"/>
      <c r="H7" s="2745"/>
      <c r="I7" s="2745"/>
      <c r="J7" s="2746"/>
      <c r="K7" s="1837"/>
      <c r="L7" s="2723" t="s">
        <v>2832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1" t="s">
        <v>2833</v>
      </c>
      <c r="X7" s="1604">
        <f>G2</f>
        <v>0</v>
      </c>
      <c r="Y7" s="1604" t="s">
        <v>2834</v>
      </c>
      <c r="Z7" s="1605" t="e">
        <f>G3</f>
        <v>#DIV/0!</v>
      </c>
      <c r="AA7" s="1606"/>
      <c r="AB7" s="1606"/>
      <c r="AC7" s="1607"/>
      <c r="AD7" s="1608"/>
      <c r="AE7" s="1608"/>
      <c r="AF7" s="1608"/>
      <c r="AG7" s="1608"/>
      <c r="AH7" s="1608"/>
      <c r="AI7" s="1608"/>
      <c r="AJ7" s="1609"/>
    </row>
    <row r="8" spans="1:36" ht="15">
      <c r="A8" s="3286"/>
      <c r="B8" s="198" t="s">
        <v>2835</v>
      </c>
      <c r="C8" s="2747"/>
      <c r="D8" s="920" t="s">
        <v>139</v>
      </c>
      <c r="E8" s="921" t="e">
        <f>ROUND(C11/E7,4)</f>
        <v>#DIV/0!</v>
      </c>
      <c r="F8" s="2748" t="s">
        <v>2836</v>
      </c>
      <c r="G8" s="2749"/>
      <c r="H8" s="2749"/>
      <c r="I8" s="2749"/>
      <c r="J8" s="2750"/>
      <c r="K8" s="1370"/>
      <c r="L8" s="2723"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9" t="s">
        <v>2838</v>
      </c>
      <c r="X8" s="3280"/>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86"/>
      <c r="B9" s="198" t="s">
        <v>2851</v>
      </c>
      <c r="C9" s="922">
        <f>SUMIF(修正!C59:C119,C8,修正!E59:E119)</f>
        <v>0</v>
      </c>
      <c r="D9" s="200" t="s">
        <v>140</v>
      </c>
      <c r="E9" s="200" t="e">
        <f>ROUND(C11/E7,4)</f>
        <v>#DIV/0!</v>
      </c>
      <c r="F9" s="2748" t="s">
        <v>2852</v>
      </c>
      <c r="G9" s="2749"/>
      <c r="H9" s="2749"/>
      <c r="I9" s="2749"/>
      <c r="J9" s="2750"/>
      <c r="K9" s="1370"/>
      <c r="L9" s="2723"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1"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6"/>
      <c r="B10" s="198" t="s">
        <v>2856</v>
      </c>
      <c r="C10" s="200">
        <f>SUMIF(修正!C59:C119,C8,修正!F59:F119)</f>
        <v>0</v>
      </c>
      <c r="D10" s="200" t="s">
        <v>141</v>
      </c>
      <c r="E10" s="200" t="e">
        <f>ROUND(C11/E7,4)</f>
        <v>#DIV/0!</v>
      </c>
      <c r="F10" s="2748" t="s">
        <v>2857</v>
      </c>
      <c r="G10" s="2749"/>
      <c r="H10" s="2749"/>
      <c r="I10" s="2749"/>
      <c r="J10" s="2750"/>
      <c r="K10" s="1370"/>
      <c r="L10" s="2723"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6"/>
      <c r="B11" s="2751" t="s">
        <v>2859</v>
      </c>
      <c r="C11" s="923">
        <f>C10/4</f>
        <v>0</v>
      </c>
      <c r="D11" s="923" t="s">
        <v>142</v>
      </c>
      <c r="E11" s="923" t="e">
        <f>ROUND(C11/E7,4)</f>
        <v>#DIV/0!</v>
      </c>
      <c r="F11" s="2752" t="s">
        <v>2860</v>
      </c>
      <c r="G11" s="2753"/>
      <c r="H11" s="2753"/>
      <c r="I11" s="2753"/>
      <c r="J11" s="2754"/>
      <c r="K11" s="1370"/>
      <c r="L11" s="2723"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1" t="s">
        <v>2862</v>
      </c>
      <c r="X11" s="1614" t="s">
        <v>2863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66" t="s">
        <v>2864</v>
      </c>
      <c r="B12" s="2755" t="s">
        <v>2865</v>
      </c>
      <c r="C12" s="919">
        <f>ROUND(C15*D15*E15*F15*G15*H15*I15*J15,4)</f>
        <v>1</v>
      </c>
      <c r="D12" s="2756" t="s">
        <v>2866</v>
      </c>
      <c r="E12" s="2757"/>
      <c r="F12" s="2757"/>
      <c r="G12" s="2758"/>
      <c r="H12" s="2758"/>
      <c r="I12" s="2758"/>
      <c r="J12" s="2759"/>
      <c r="K12" s="1370"/>
      <c r="L12" s="2760"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1"/>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7"/>
      <c r="B13" s="2761" t="s">
        <v>2869</v>
      </c>
      <c r="C13" s="2762" t="s">
        <v>2870</v>
      </c>
      <c r="D13" s="1803" t="s">
        <v>2871</v>
      </c>
      <c r="E13" s="1803" t="s">
        <v>2872</v>
      </c>
      <c r="F13" s="30" t="s">
        <v>2873</v>
      </c>
      <c r="G13" s="2763" t="s">
        <v>2874</v>
      </c>
      <c r="H13" s="2763" t="s">
        <v>2874</v>
      </c>
      <c r="I13" s="2763" t="s">
        <v>2874</v>
      </c>
      <c r="J13" s="2764" t="s">
        <v>2874</v>
      </c>
      <c r="K13" s="1370"/>
      <c r="L13" s="1370"/>
      <c r="M13" s="1370"/>
      <c r="N13" s="1370"/>
      <c r="O13" s="1370"/>
      <c r="P13" s="1370"/>
      <c r="Q13" s="1370"/>
      <c r="R13" s="1602">
        <v>12</v>
      </c>
      <c r="S13" s="1603"/>
      <c r="T13" s="1602" t="e">
        <f t="shared" si="0"/>
        <v>#DIV/0!</v>
      </c>
      <c r="U13" s="1603"/>
      <c r="V13" s="1602" t="e">
        <f t="shared" si="1"/>
        <v>#DIV/0!</v>
      </c>
      <c r="W13" s="328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87"/>
      <c r="B14" s="2765"/>
      <c r="C14" s="2766"/>
      <c r="D14" s="2767"/>
      <c r="E14" s="2767"/>
      <c r="F14" s="2768"/>
      <c r="G14" s="2769" t="s">
        <v>2875</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8"/>
      <c r="B15" s="2773"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6" t="s">
        <v>2881</v>
      </c>
      <c r="B16" s="2742" t="s">
        <v>2882</v>
      </c>
      <c r="C16" s="2932" t="e">
        <f>ROUND(IF(F17="与级别开发程度一致",0,(G17-E17)/C17),0)</f>
        <v>#DIV/0!</v>
      </c>
      <c r="D16" s="3277" t="s">
        <v>2886</v>
      </c>
      <c r="E16" s="3278"/>
      <c r="F16" s="3277" t="s">
        <v>2883</v>
      </c>
      <c r="G16" s="3278"/>
      <c r="H16" s="2776"/>
      <c r="I16" s="2776"/>
      <c r="J16" s="2936"/>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7"/>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2889</v>
      </c>
      <c r="C19" s="924" t="e">
        <f>ROUND(IF(H19="按公示增长率计算",SUMPRODUCT((地价!A3:A26=YEAR(G19)&amp;"-"&amp;ROUNDUP(MONTH(G19)/3,0))*(地价!X2:AB2=E2)*(地价!X3:AB26)),IF(H19="地价指数",M20/M19,(1+I19)^O19)),4)</f>
        <v>#DIV/0!</v>
      </c>
      <c r="D19" s="2786" t="s">
        <v>2890</v>
      </c>
      <c r="E19" s="925">
        <v>41640</v>
      </c>
      <c r="F19" s="2786" t="s">
        <v>2891</v>
      </c>
      <c r="G19" s="926">
        <f>'数据-取费表'!B2</f>
        <v>43592</v>
      </c>
      <c r="H19" s="2787" t="s">
        <v>2892</v>
      </c>
      <c r="I19" s="927" t="str">
        <f>IF(H19="季度增幅（自定义）",SUMIF(N21:N24,E2,O21:O24),"")</f>
        <v/>
      </c>
      <c r="J19" s="2784"/>
      <c r="K19" s="1377"/>
      <c r="L19" s="2788" t="s">
        <v>2893</v>
      </c>
      <c r="M19" s="1729">
        <f>ROUND(SUMIF(地价!B2:F2,E2,地价!B26:F26),0)</f>
        <v>0</v>
      </c>
      <c r="N19" s="2789"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2895</v>
      </c>
      <c r="C20" s="929" t="e">
        <f>ROUND(POWER(1+G20,J20-I20)*(POWER(1+G20,I20)-1)/(POWER(1+G20,J20)-1),4)</f>
        <v>#DIV/0!</v>
      </c>
      <c r="D20" s="2795" t="s">
        <v>2896</v>
      </c>
      <c r="E20" s="1763">
        <f ca="1">存贷款利率!D4/100</f>
        <v>4.3499999999999997E-2</v>
      </c>
      <c r="F20" s="2795" t="s">
        <v>2887</v>
      </c>
      <c r="G20" s="934">
        <f>SUMIF(M26:P26,E2,M28:P28)</f>
        <v>0</v>
      </c>
      <c r="H20" s="2795" t="s">
        <v>2897</v>
      </c>
      <c r="I20" s="935" t="e">
        <f>SUMIF('数据-取费表'!C6:C15,E2,'数据-取费表'!F6:F15)/COUNTIF('数据-取费表'!C6:C15,E2)</f>
        <v>#DIV/0!</v>
      </c>
      <c r="J20" s="936">
        <f>IF(E2="住宅",70,IF(E2="商业",40,50))</f>
        <v>50</v>
      </c>
      <c r="K20" s="1377"/>
      <c r="L20" s="2796" t="s">
        <v>2898</v>
      </c>
      <c r="M20" s="1730">
        <f>ROUND(SUMPRODUCT((地价!A4:A26=YEAR(G19)&amp;"-"&amp;ROUNDUP(MONTH(G19)/3,0))*(地价!B2:F2=E2)*(地价!B4:F26)),0)</f>
        <v>0</v>
      </c>
      <c r="N20" s="2797" t="s">
        <v>2899</v>
      </c>
      <c r="O20" s="2798" t="s">
        <v>2900</v>
      </c>
      <c r="P20" s="2799" t="s">
        <v>2901</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2902</v>
      </c>
      <c r="C21" s="937" t="e">
        <f>IF(B21="容积率修正",IF(G3&lt;=10,D22,J22),C23)</f>
        <v>#DIV/0!</v>
      </c>
      <c r="D21" s="2802"/>
      <c r="E21" s="2802"/>
      <c r="F21" s="2802"/>
      <c r="G21" s="2802"/>
      <c r="H21" s="2802"/>
      <c r="I21" s="2802"/>
      <c r="J21" s="2803"/>
      <c r="K21" s="1377"/>
      <c r="N21" s="2804"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25">
      <c r="A22" s="2661" t="s">
        <v>2904</v>
      </c>
      <c r="B22" s="2805" t="s">
        <v>2905</v>
      </c>
      <c r="C22" s="1805" t="s">
        <v>2906</v>
      </c>
      <c r="D22" s="1805" t="e">
        <f>IF(E22=G22,F22,IF(G3&lt;=10,ROUND(F22+(H22-F22)*(G3-E22)/(G22-E22),4),"——"))</f>
        <v>#DIV/0!</v>
      </c>
      <c r="E22" s="916"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8" t="e">
        <f>IF(G3&gt;10,D113,"——")</f>
        <v>#DIV/0!</v>
      </c>
      <c r="K22" s="1377"/>
      <c r="N22" s="2804"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1" t="s">
        <v>2908</v>
      </c>
      <c r="B23" s="2806" t="s">
        <v>2909</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2911</v>
      </c>
      <c r="C24" s="924">
        <f>SUMIF(A45:A88,E2,B45:B88)</f>
        <v>0</v>
      </c>
      <c r="D24" s="2783"/>
      <c r="E24" s="2812"/>
      <c r="F24" s="2812"/>
      <c r="G24" s="2812"/>
      <c r="H24" s="2812"/>
      <c r="I24" s="2812"/>
      <c r="J24" s="2813"/>
      <c r="K24" s="1377"/>
      <c r="N24" s="2814"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2913</v>
      </c>
      <c r="C25" s="930"/>
      <c r="D25" s="2745"/>
      <c r="E25" s="2745"/>
      <c r="F25" s="2816"/>
      <c r="G25" s="2745"/>
      <c r="H25" s="2745"/>
      <c r="I25" s="2745"/>
      <c r="J25" s="2746"/>
      <c r="K25" s="1370"/>
      <c r="N25" s="2817"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8"/>
      <c r="B26" s="2805" t="s">
        <v>2915</v>
      </c>
      <c r="C26" s="206" t="e">
        <f>E29+SUM(E33:E39)</f>
        <v>#DIV/0!</v>
      </c>
      <c r="D26" s="2819"/>
      <c r="E26" s="2770"/>
      <c r="F26" s="2820"/>
      <c r="G26" s="2770"/>
      <c r="H26" s="2770"/>
      <c r="I26" s="2770"/>
      <c r="J26" s="2821"/>
      <c r="K26" s="1370"/>
      <c r="L26" s="2774" t="s">
        <v>2812</v>
      </c>
      <c r="M26" s="920" t="s">
        <v>2877</v>
      </c>
      <c r="N26" s="920" t="s">
        <v>2878</v>
      </c>
      <c r="O26" s="920" t="s">
        <v>2879</v>
      </c>
      <c r="P26" s="2775" t="s">
        <v>2880</v>
      </c>
      <c r="R26" s="1376"/>
      <c r="S26" s="1376"/>
      <c r="T26" s="1371"/>
      <c r="U26" s="1371"/>
      <c r="V26" s="1371"/>
      <c r="W26" s="1370"/>
      <c r="X26" s="1370"/>
      <c r="Y26" s="1370"/>
      <c r="Z26" s="1377"/>
      <c r="AA26" s="1378"/>
      <c r="AB26" s="1378"/>
      <c r="AC26" s="1378"/>
      <c r="AD26" s="1378"/>
    </row>
    <row r="27" spans="1:37" ht="15.75" thickBot="1">
      <c r="A27" s="2818"/>
      <c r="B27" s="2822" t="s">
        <v>2916</v>
      </c>
      <c r="C27" s="931" t="e">
        <f>E30+SUM(I33:I39)</f>
        <v>#DIV/0!</v>
      </c>
      <c r="D27" s="2823"/>
      <c r="E27" s="2824"/>
      <c r="F27" s="2825"/>
      <c r="G27" s="2824"/>
      <c r="H27" s="2824"/>
      <c r="I27" s="2824"/>
      <c r="J27" s="2826"/>
      <c r="K27" s="1370"/>
      <c r="L27" s="2778"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2917</v>
      </c>
      <c r="C28" s="2829" t="s">
        <v>2918</v>
      </c>
      <c r="D28" s="2829" t="s">
        <v>2919</v>
      </c>
      <c r="E28" s="2830" t="s">
        <v>2920</v>
      </c>
      <c r="F28" s="2831"/>
      <c r="G28" s="2758"/>
      <c r="H28" s="2758"/>
      <c r="I28" s="2758"/>
      <c r="J28" s="2759"/>
      <c r="K28" s="1370"/>
      <c r="L28" s="2779"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2921</v>
      </c>
      <c r="C29" s="206" t="e">
        <f>ROUND(C5*C18*C19*C20*C21*C24,0)</f>
        <v>#DIV/0!</v>
      </c>
      <c r="D29" s="2834"/>
      <c r="E29" s="942" t="e">
        <f>ROUND(C29*D29/10000,0)</f>
        <v>#DIV/0!</v>
      </c>
      <c r="F29" s="2835" t="s">
        <v>2922</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2923</v>
      </c>
      <c r="C30" s="229" t="e">
        <f>ROUND(IF(E2="工业",C29*M39,C29*M38),0)</f>
        <v>#DIV/0!</v>
      </c>
      <c r="D30" s="2840"/>
      <c r="E30" s="942" t="e">
        <f>ROUND(C30*D30/10000,0)</f>
        <v>#DIV/0!</v>
      </c>
      <c r="F30" s="2841" t="s">
        <v>2924</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2918</v>
      </c>
      <c r="D32" s="498" t="s">
        <v>2919</v>
      </c>
      <c r="E32" s="498" t="s">
        <v>2920</v>
      </c>
      <c r="F32" s="388" t="s">
        <v>2928</v>
      </c>
      <c r="G32" s="2849" t="s">
        <v>2918</v>
      </c>
      <c r="H32" s="2849" t="s">
        <v>2919</v>
      </c>
      <c r="I32" s="2849"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74" t="s">
        <v>2929</v>
      </c>
      <c r="B33" s="2850" t="s">
        <v>2930</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5"/>
      <c r="B34" s="2762" t="s">
        <v>2931</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5"/>
      <c r="B35" s="2762" t="s">
        <v>2932</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76"/>
      <c r="B36" s="2762" t="s">
        <v>2933</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2934</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2935</v>
      </c>
      <c r="M37" s="2854"/>
      <c r="N37" s="1370"/>
      <c r="O37" s="1370"/>
      <c r="P37" s="1370"/>
      <c r="Q37" s="1370"/>
      <c r="R37" s="1370"/>
      <c r="S37" s="1370"/>
      <c r="T37" s="1370"/>
      <c r="U37" s="1370"/>
      <c r="V37" s="1370"/>
      <c r="W37" s="1370"/>
      <c r="X37" s="1370"/>
      <c r="Y37" s="1370"/>
      <c r="Z37" s="1371"/>
    </row>
    <row r="38" spans="1:37">
      <c r="A38" s="2852"/>
      <c r="B38" s="2762" t="s">
        <v>2936</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2" t="s">
        <v>2937</v>
      </c>
      <c r="M38" s="2855">
        <v>0.25</v>
      </c>
      <c r="N38" s="1370"/>
      <c r="O38" s="1370"/>
      <c r="P38" s="1370"/>
      <c r="Q38" s="1370"/>
      <c r="R38" s="1370"/>
      <c r="S38" s="1370"/>
      <c r="T38" s="1370"/>
      <c r="U38" s="1370"/>
      <c r="V38" s="1370"/>
      <c r="W38" s="1370"/>
      <c r="X38" s="1370"/>
      <c r="Y38" s="1370"/>
      <c r="Z38" s="1371"/>
    </row>
    <row r="39" spans="1:37" ht="13.5" thickBot="1">
      <c r="A39" s="2838"/>
      <c r="B39" s="2856" t="s">
        <v>2938</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2880</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3047</v>
      </c>
      <c r="C41" s="388" t="e">
        <f>ROUND(POWER(1+E41,H41-G41)*(POWER(1+E41,G41)-1)/(POWER(1+E41,H41)-1),4)</f>
        <v>#DIV/0!</v>
      </c>
      <c r="D41" s="200" t="s">
        <v>2887</v>
      </c>
      <c r="E41" s="2926">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2939</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2940</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2941</v>
      </c>
      <c r="B47" s="1804" t="s">
        <v>2942</v>
      </c>
      <c r="C47" s="1804" t="s">
        <v>2943</v>
      </c>
      <c r="D47" s="1804" t="s">
        <v>2944</v>
      </c>
      <c r="E47" s="819" t="s">
        <v>2945</v>
      </c>
      <c r="F47" s="2868" t="s">
        <v>2946</v>
      </c>
      <c r="G47" s="1804" t="s">
        <v>754</v>
      </c>
      <c r="H47" s="2869" t="s">
        <v>2947</v>
      </c>
      <c r="I47" s="1804"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7" t="s">
        <v>2949</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2950</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2951</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2952</v>
      </c>
      <c r="B51" s="2872" t="s">
        <v>2953</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2954</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2955</v>
      </c>
      <c r="B53" s="2873" t="s">
        <v>2956</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2957</v>
      </c>
      <c r="B54" s="1720"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2958</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2959</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2960</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2941</v>
      </c>
      <c r="B58" s="1804"/>
      <c r="C58" s="1804" t="s">
        <v>2943</v>
      </c>
      <c r="D58" s="1804" t="s">
        <v>2944</v>
      </c>
      <c r="E58" s="819" t="s">
        <v>2945</v>
      </c>
      <c r="F58" s="2868" t="s">
        <v>2961</v>
      </c>
      <c r="G58" s="1804" t="s">
        <v>754</v>
      </c>
      <c r="H58" s="2869" t="s">
        <v>2947</v>
      </c>
      <c r="I58" s="1804"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7" t="s">
        <v>2962</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2950</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2951</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2952</v>
      </c>
      <c r="B62" s="2872" t="s">
        <v>2953</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2954</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2955</v>
      </c>
      <c r="B64" s="2873" t="s">
        <v>2956</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2957</v>
      </c>
      <c r="B65" s="1720"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2958</v>
      </c>
      <c r="B66" s="1720"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2959</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2963</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2941</v>
      </c>
      <c r="B69" s="1804"/>
      <c r="C69" s="1804" t="s">
        <v>2943</v>
      </c>
      <c r="D69" s="1804" t="s">
        <v>2944</v>
      </c>
      <c r="E69" s="819" t="s">
        <v>2945</v>
      </c>
      <c r="F69" s="2868" t="s">
        <v>2961</v>
      </c>
      <c r="G69" s="1804" t="s">
        <v>754</v>
      </c>
      <c r="H69" s="2869" t="s">
        <v>2947</v>
      </c>
      <c r="I69" s="1804"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7" t="s">
        <v>2964</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2950</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2951</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2965</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2957</v>
      </c>
      <c r="B74" s="1720"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2958</v>
      </c>
      <c r="B75" s="1720"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2955</v>
      </c>
      <c r="B76" s="2873" t="s">
        <v>2956</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2959</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2966</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2967</v>
      </c>
      <c r="B79" s="2864">
        <f>1+E81</f>
        <v>1</v>
      </c>
      <c r="C79" s="814"/>
      <c r="D79" s="814"/>
      <c r="E79" s="815"/>
      <c r="F79" s="2866"/>
      <c r="G79" s="6"/>
      <c r="H79" s="6"/>
      <c r="I79" s="6"/>
      <c r="J79" s="7"/>
      <c r="K79" s="7"/>
      <c r="L79" s="7"/>
      <c r="M79" s="7"/>
      <c r="N79" s="7"/>
      <c r="Z79" s="2717"/>
      <c r="AA79" s="2785"/>
      <c r="AG79" s="1372"/>
      <c r="AK79" s="2785"/>
    </row>
    <row r="80" spans="1:37" ht="24.75">
      <c r="A80" s="2867" t="s">
        <v>2941</v>
      </c>
      <c r="B80" s="1804"/>
      <c r="C80" s="1804" t="s">
        <v>2943</v>
      </c>
      <c r="D80" s="1804" t="s">
        <v>2944</v>
      </c>
      <c r="E80" s="819" t="s">
        <v>2945</v>
      </c>
      <c r="F80" s="2868" t="s">
        <v>2961</v>
      </c>
      <c r="G80" s="1804" t="s">
        <v>754</v>
      </c>
      <c r="H80" s="2869" t="s">
        <v>2947</v>
      </c>
      <c r="I80" s="1804" t="s">
        <v>2948</v>
      </c>
      <c r="J80" s="603" t="s">
        <v>2595</v>
      </c>
      <c r="K80" s="603" t="s">
        <v>2596</v>
      </c>
      <c r="L80" s="603" t="s">
        <v>2597</v>
      </c>
      <c r="M80" s="603" t="s">
        <v>2598</v>
      </c>
      <c r="N80" s="603" t="s">
        <v>2599</v>
      </c>
      <c r="Z80" s="2717"/>
      <c r="AA80" s="2785"/>
      <c r="AG80" s="1372"/>
      <c r="AK80" s="2785"/>
    </row>
    <row r="81" spans="1:37" ht="38.25">
      <c r="A81" s="2867" t="s">
        <v>2968</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2950</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2951</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2965</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2957</v>
      </c>
      <c r="B85" s="1720"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2958</v>
      </c>
      <c r="B86" s="1720"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2955</v>
      </c>
      <c r="B87" s="2873" t="s">
        <v>2969</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2970</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68" t="s">
        <v>2971</v>
      </c>
      <c r="B90" s="3268"/>
      <c r="C90" s="3268"/>
      <c r="D90" s="3268"/>
      <c r="E90" s="3268"/>
      <c r="F90" s="3268"/>
      <c r="G90" s="3268"/>
      <c r="H90" s="3268"/>
      <c r="I90" s="3268"/>
      <c r="J90" s="3268"/>
      <c r="K90" s="2881"/>
      <c r="L90" s="2881"/>
      <c r="M90" s="2881"/>
      <c r="N90" s="2881"/>
    </row>
    <row r="91" spans="1:37">
      <c r="A91" s="3270" t="s">
        <v>2972</v>
      </c>
      <c r="B91" s="3270" t="s">
        <v>2973</v>
      </c>
      <c r="C91" s="2835" t="s">
        <v>2974</v>
      </c>
      <c r="D91" s="2836"/>
      <c r="E91" s="2836"/>
      <c r="F91" s="2836"/>
      <c r="G91" s="2836"/>
      <c r="H91" s="2836"/>
      <c r="I91" s="2836"/>
      <c r="J91" s="2882"/>
      <c r="K91" s="2883"/>
      <c r="L91" s="2883"/>
      <c r="M91" s="2883"/>
      <c r="N91" s="2883"/>
    </row>
    <row r="92" spans="1:37">
      <c r="A92" s="3270"/>
      <c r="B92" s="327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71"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2"/>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1" t="s">
        <v>2976</v>
      </c>
      <c r="B101" s="2888" t="s">
        <v>2977</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72"/>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72"/>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72"/>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72"/>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72"/>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72"/>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72"/>
      <c r="B108" s="3096"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3"/>
      <c r="B109" s="3097"/>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9" t="s">
        <v>2979</v>
      </c>
      <c r="B110" s="3269"/>
      <c r="C110" s="3269"/>
      <c r="D110" s="3269"/>
      <c r="E110" s="3269"/>
      <c r="F110" s="3269"/>
      <c r="G110" s="3269"/>
      <c r="H110" s="3269"/>
      <c r="I110" s="3269"/>
      <c r="J110" s="3269"/>
      <c r="K110" s="2890"/>
      <c r="L110" s="2890"/>
      <c r="M110" s="2890"/>
      <c r="N110" s="2890"/>
    </row>
    <row r="112" spans="1:14" ht="13.5" thickBot="1"/>
    <row r="113" spans="1:13" ht="25.5" thickBot="1">
      <c r="A113" s="903" t="s">
        <v>2980</v>
      </c>
      <c r="B113" s="1287" t="e">
        <f>G3</f>
        <v>#DIV/0!</v>
      </c>
      <c r="C113" s="904" t="s">
        <v>2981</v>
      </c>
      <c r="D113" s="905" t="e">
        <f>SUMPRODUCT((A115:A118=F113)*(B114:M114=H113)*B115:M118)</f>
        <v>#DIV/0!</v>
      </c>
      <c r="E113" s="2721" t="s">
        <v>2812</v>
      </c>
      <c r="F113" s="2892">
        <f>E2</f>
        <v>0</v>
      </c>
      <c r="G113" s="2721" t="s">
        <v>2813</v>
      </c>
      <c r="H113" s="2892">
        <f>G2</f>
        <v>0</v>
      </c>
      <c r="I113" s="2721"/>
      <c r="J113" s="2893"/>
      <c r="K113" s="2893"/>
      <c r="L113" s="2893"/>
      <c r="M113" s="2893"/>
    </row>
    <row r="114" spans="1:13">
      <c r="A114" s="908"/>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2">
        <f ca="1">SUMIF(INDIRECT("'"&amp;A6&amp;"'"&amp;"!C:C"),"建筑面积",INDIRECT("'"&amp;A6&amp;"'"&amp;"!D:D"))</f>
        <v>0</v>
      </c>
    </row>
    <row r="7" spans="1:5" ht="15.75">
      <c r="A7" s="2904"/>
      <c r="B7" s="2900" t="e">
        <f ca="1">SUMIF(INDIRECT("'"&amp;A7&amp;"'"&amp;"!A:A"),"总价",INDIRECT("'"&amp;A7&amp;"'"&amp;"!B:B"))</f>
        <v>#REF!</v>
      </c>
      <c r="C7" s="2899" t="s">
        <v>2995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2" t="e">
        <f t="shared" ca="1" si="0"/>
        <v>#REF!</v>
      </c>
    </row>
    <row r="9" spans="1:5" ht="15.75">
      <c r="A9" s="2904"/>
      <c r="B9" s="2900" t="e">
        <f t="shared" ca="1" si="1"/>
        <v>#REF!</v>
      </c>
      <c r="C9" s="2899" t="s">
        <v>2995</v>
      </c>
      <c r="D9" s="2901"/>
      <c r="E9" s="2572" t="e">
        <f t="shared" ca="1" si="0"/>
        <v>#REF!</v>
      </c>
    </row>
    <row r="10" spans="1:5" ht="15.75">
      <c r="A10" s="2904"/>
      <c r="B10" s="2900" t="e">
        <f t="shared" ca="1" si="1"/>
        <v>#REF!</v>
      </c>
      <c r="C10" s="2899" t="s">
        <v>2995</v>
      </c>
      <c r="D10" s="2901"/>
      <c r="E10" s="2572" t="e">
        <f t="shared" ca="1" si="0"/>
        <v>#REF!</v>
      </c>
    </row>
    <row r="11" spans="1:5" ht="15.75">
      <c r="A11" s="2904"/>
      <c r="B11" s="2900" t="e">
        <f t="shared" ca="1" si="1"/>
        <v>#REF!</v>
      </c>
      <c r="C11" s="2899" t="s">
        <v>2995</v>
      </c>
      <c r="D11" s="2901"/>
      <c r="E11" s="2572" t="e">
        <f t="shared" ca="1" si="0"/>
        <v>#REF!</v>
      </c>
    </row>
    <row r="12" spans="1:5" ht="15.75">
      <c r="A12" s="2904"/>
      <c r="B12" s="2900" t="e">
        <f t="shared" ca="1" si="1"/>
        <v>#REF!</v>
      </c>
      <c r="C12" s="2899" t="s">
        <v>2995</v>
      </c>
      <c r="D12" s="2901"/>
      <c r="E12" s="2572" t="e">
        <f t="shared" ca="1" si="0"/>
        <v>#REF!</v>
      </c>
    </row>
    <row r="13" spans="1:5" ht="15.75">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1146</v>
      </c>
      <c r="C1" s="3295"/>
      <c r="D1" s="3295"/>
      <c r="E1" s="3295"/>
      <c r="F1" s="3295"/>
      <c r="G1" s="3291" t="s">
        <v>1147</v>
      </c>
      <c r="H1" s="3291"/>
      <c r="I1" s="3291"/>
      <c r="J1" s="3291"/>
      <c r="K1" s="3291"/>
      <c r="L1" s="3291"/>
      <c r="N1" s="3291" t="s">
        <v>1148</v>
      </c>
      <c r="O1" s="3291"/>
      <c r="P1" s="3291"/>
      <c r="Q1" s="3291"/>
      <c r="R1" s="1446"/>
      <c r="S1" s="3291" t="s">
        <v>1149</v>
      </c>
      <c r="T1" s="3291"/>
      <c r="U1" s="3291"/>
      <c r="V1" s="3291"/>
      <c r="X1" s="3290" t="s">
        <v>1150</v>
      </c>
      <c r="Y1" s="3291"/>
      <c r="Z1" s="3291"/>
      <c r="AA1" s="3291"/>
      <c r="AB1" s="3291"/>
      <c r="AD1" s="3290" t="s">
        <v>1151</v>
      </c>
      <c r="AE1" s="3291"/>
      <c r="AF1" s="3291"/>
      <c r="AG1" s="3291"/>
      <c r="AH1" s="329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3035</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26" customFormat="1" ht="13.5" thickBot="1">
      <c r="A5" s="1724" t="s">
        <v>3049</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7">
        <f>I5/100</f>
        <v>0</v>
      </c>
      <c r="O5" s="1467">
        <f t="shared" ref="O5" si="7">J5/100</f>
        <v>0</v>
      </c>
      <c r="P5" s="1467">
        <f t="shared" ref="P5" si="8">K5/100</f>
        <v>0</v>
      </c>
      <c r="Q5" s="1467">
        <f t="shared" ref="Q5" si="9">L5/100</f>
        <v>0</v>
      </c>
      <c r="R5" s="1727"/>
      <c r="S5" s="1728"/>
      <c r="T5" s="1727"/>
      <c r="U5" s="1727"/>
      <c r="V5" s="1727"/>
      <c r="W5" s="2914" t="s">
        <v>3036</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3">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3"/>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3"/>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0"/>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61" t="s">
        <v>3031</v>
      </c>
      <c r="B11" s="1469">
        <v>439</v>
      </c>
      <c r="C11" s="1469">
        <v>327</v>
      </c>
      <c r="D11" s="1469">
        <f>C11</f>
        <v>327</v>
      </c>
      <c r="E11" s="1469">
        <v>627</v>
      </c>
      <c r="F11" s="1470">
        <v>283</v>
      </c>
      <c r="G11" s="3296">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3"/>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3"/>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3"/>
      <c r="AD13" s="1784">
        <f>ROUND(AVERAGE(I13:I$26)/100,4)</f>
        <v>2.46E-2</v>
      </c>
      <c r="AE13" s="1784">
        <f>ROUND(AVERAGE(J13:J$26)/100,4)</f>
        <v>1.6E-2</v>
      </c>
      <c r="AF13" s="1784">
        <f t="shared" si="1"/>
        <v>1.6E-2</v>
      </c>
      <c r="AG13" s="1784">
        <f>ROUND(AVERAGE(K13:K$26)/100,4)</f>
        <v>2.75E-2</v>
      </c>
      <c r="AH13" s="1784">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0"/>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61" t="s">
        <v>154</v>
      </c>
      <c r="B15" s="1469">
        <v>392</v>
      </c>
      <c r="C15" s="1469">
        <v>302</v>
      </c>
      <c r="D15" s="1469">
        <f>C15</f>
        <v>302</v>
      </c>
      <c r="E15" s="1469">
        <v>553</v>
      </c>
      <c r="F15" s="1470">
        <v>266</v>
      </c>
      <c r="G15" s="3296">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3"/>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3"/>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4"/>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2">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3"/>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3"/>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4"/>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2">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3"/>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3"/>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4"/>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61" t="s">
        <v>1159</v>
      </c>
      <c r="B27" s="1469">
        <v>299</v>
      </c>
      <c r="C27" s="1469">
        <v>252</v>
      </c>
      <c r="D27" s="1469">
        <f t="shared" si="87"/>
        <v>252</v>
      </c>
      <c r="E27" s="1469">
        <v>409</v>
      </c>
      <c r="F27" s="1470">
        <v>227</v>
      </c>
      <c r="G27" s="3297">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8"/>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8"/>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9"/>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2">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3"/>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3"/>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4"/>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2">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3">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3">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4">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2">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3">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3">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4">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2">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3">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3">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4">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2">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3">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3">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4">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2">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3">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3">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4">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2">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3">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3">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4">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2">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3">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3">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4">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2">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3">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3">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4">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2">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3">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3">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4">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2">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3">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3">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4">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6"/>
      <c r="B4" s="2980" t="s">
        <v>1626</v>
      </c>
      <c r="C4" s="2980"/>
      <c r="D4" s="2980"/>
      <c r="E4" s="1956"/>
    </row>
    <row r="5" spans="1:5" ht="16.5" thickTop="1">
      <c r="A5" s="1954"/>
      <c r="B5" s="2978" t="s">
        <v>1618</v>
      </c>
      <c r="C5" s="1957" t="s">
        <v>1619</v>
      </c>
      <c r="D5" s="1040">
        <f ca="1">结果表!H101</f>
        <v>483</v>
      </c>
      <c r="E5" s="1954"/>
    </row>
    <row r="6" spans="1:5" ht="15.75">
      <c r="A6" s="1954"/>
      <c r="B6" s="2978"/>
      <c r="C6" s="1957" t="s">
        <v>1620</v>
      </c>
      <c r="D6" s="1040" t="str">
        <f ca="1">NUMBERSTRING(INT(D5*10000),2)&amp;"元整"</f>
        <v>肆佰捌拾叁万元整</v>
      </c>
      <c r="E6" s="1954"/>
    </row>
    <row r="7" spans="1:5" ht="15.75">
      <c r="A7" s="1954"/>
      <c r="B7" s="2983"/>
      <c r="C7" s="1958" t="s">
        <v>1621</v>
      </c>
      <c r="D7" s="1041">
        <f ca="1">结果表!H102</f>
        <v>4230</v>
      </c>
      <c r="E7" s="1954"/>
    </row>
    <row r="8" spans="1:5" ht="15.75">
      <c r="A8" s="1954"/>
      <c r="B8" s="2984" t="str">
        <f>结果表!E103</f>
        <v>2.估价师知悉的法定优先受偿款</v>
      </c>
      <c r="C8" s="1959" t="s">
        <v>1622</v>
      </c>
      <c r="D8" s="1041">
        <f>结果表!H103</f>
        <v>0</v>
      </c>
      <c r="E8" s="1954"/>
    </row>
    <row r="9" spans="1:5" ht="15.75">
      <c r="A9" s="1954"/>
      <c r="B9" s="2986"/>
      <c r="C9" s="1957" t="s">
        <v>1620</v>
      </c>
      <c r="D9" s="1040" t="str">
        <f>NUMBERSTRING(INT(D8*10000),2)&amp;"元整"</f>
        <v>零元整</v>
      </c>
      <c r="E9" s="1954"/>
    </row>
    <row r="10" spans="1:5" ht="15">
      <c r="A10" s="1954"/>
      <c r="B10" s="1960" t="s">
        <v>1625</v>
      </c>
      <c r="C10" s="1961" t="s">
        <v>1623</v>
      </c>
      <c r="D10" s="1042">
        <f>结果表!H104</f>
        <v>0</v>
      </c>
      <c r="E10" s="1954"/>
    </row>
    <row r="11" spans="1:5" ht="15">
      <c r="A11" s="1954"/>
      <c r="B11" s="1960" t="s">
        <v>1627</v>
      </c>
      <c r="C11" s="1961" t="s">
        <v>1628</v>
      </c>
      <c r="D11" s="1042">
        <f>结果表!H105</f>
        <v>0</v>
      </c>
      <c r="E11" s="1954"/>
    </row>
    <row r="12" spans="1:5" ht="15">
      <c r="A12" s="1954"/>
      <c r="B12" s="1960" t="s">
        <v>1629</v>
      </c>
      <c r="C12" s="1961" t="s">
        <v>1628</v>
      </c>
      <c r="D12" s="1042">
        <f>结果表!H106</f>
        <v>0</v>
      </c>
      <c r="E12" s="1954"/>
    </row>
    <row r="13" spans="1:5" ht="15.75">
      <c r="A13" s="1954"/>
      <c r="B13" s="2977" t="str">
        <f>结果表!E107</f>
        <v>3.房地产抵押价值</v>
      </c>
      <c r="C13" s="1962" t="s">
        <v>1619</v>
      </c>
      <c r="D13" s="1043">
        <f ca="1">结果表!H107</f>
        <v>483</v>
      </c>
      <c r="E13" s="1954"/>
    </row>
    <row r="14" spans="1:5" ht="15.75">
      <c r="A14" s="1954"/>
      <c r="B14" s="2978"/>
      <c r="C14" s="1957" t="s">
        <v>1620</v>
      </c>
      <c r="D14" s="1040" t="str">
        <f ca="1">NUMBERSTRING(INT(D13*10000),2)&amp;"元整"</f>
        <v>肆佰捌拾叁万元整</v>
      </c>
      <c r="E14" s="1954"/>
    </row>
    <row r="15" spans="1:5" ht="15">
      <c r="A15" s="1954"/>
      <c r="B15" s="2983"/>
      <c r="C15" s="1958" t="s">
        <v>1630</v>
      </c>
      <c r="D15" s="1052">
        <f ca="1">结果表!H108</f>
        <v>4230</v>
      </c>
      <c r="E15" s="1954"/>
    </row>
    <row r="16" spans="1:5" ht="15">
      <c r="A16" s="1954"/>
      <c r="B16" s="2984" t="str">
        <f>结果表!E109</f>
        <v>——</v>
      </c>
      <c r="C16" s="1962" t="s">
        <v>1631</v>
      </c>
      <c r="D16" s="1963" t="str">
        <f>结果表!H109</f>
        <v>——</v>
      </c>
      <c r="E16" s="1954"/>
    </row>
    <row r="17" spans="1:5" ht="15.75">
      <c r="A17" s="1954"/>
      <c r="B17" s="2985"/>
      <c r="C17" s="1957" t="s">
        <v>1632</v>
      </c>
      <c r="D17" s="1040" t="e">
        <f>NUMBERSTRING(INT(D16*10000),2)&amp;"元整"</f>
        <v>#VALUE!</v>
      </c>
      <c r="E17" s="1954"/>
    </row>
    <row r="18" spans="1:5" ht="15">
      <c r="A18" s="1954"/>
      <c r="B18" s="2986"/>
      <c r="C18" s="1958" t="s">
        <v>1621</v>
      </c>
      <c r="D18" s="1052" t="str">
        <f>结果表!H110</f>
        <v>——</v>
      </c>
      <c r="E18" s="1954"/>
    </row>
    <row r="19" spans="1:5" ht="15.75">
      <c r="A19" s="1954"/>
      <c r="B19" s="2977" t="str">
        <f>结果表!E111</f>
        <v>——</v>
      </c>
      <c r="C19" s="1962" t="s">
        <v>1619</v>
      </c>
      <c r="D19" s="1041" t="str">
        <f>结果表!H111</f>
        <v>——</v>
      </c>
      <c r="E19" s="1954"/>
    </row>
    <row r="20" spans="1:5" ht="15.75">
      <c r="A20" s="1954"/>
      <c r="B20" s="2978"/>
      <c r="C20" s="1957" t="s">
        <v>1632</v>
      </c>
      <c r="D20" s="1040" t="e">
        <f>NUMBERSTRING(INT(D19*10000),2)&amp;"元整"</f>
        <v>#VALUE!</v>
      </c>
      <c r="E20" s="1954"/>
    </row>
    <row r="21" spans="1:5" ht="15.75" thickBot="1">
      <c r="A21" s="1954"/>
      <c r="B21" s="2979"/>
      <c r="C21" s="1964" t="s">
        <v>1630</v>
      </c>
      <c r="D21" s="1053"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S32"/>
    </sheetView>
  </sheetViews>
  <sheetFormatPr defaultColWidth="9" defaultRowHeight="12.75"/>
  <cols>
    <col min="1" max="1" width="11.5" style="139" customWidth="1"/>
    <col min="2" max="2" width="9.25" style="27" customWidth="1"/>
    <col min="3" max="3" width="9.875" style="27" bestFit="1" customWidth="1"/>
    <col min="4" max="6" width="11" style="27" bestFit="1"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2" t="s">
        <v>3005</v>
      </c>
      <c r="D1" s="3303"/>
      <c r="E1" s="3303"/>
      <c r="F1" s="3303"/>
      <c r="G1" s="3303"/>
      <c r="H1" s="3303"/>
      <c r="I1" s="3303"/>
      <c r="J1" s="3303"/>
      <c r="K1" s="3303"/>
      <c r="L1" s="3303"/>
      <c r="M1" s="3303"/>
      <c r="N1" s="3303"/>
      <c r="O1" s="3303"/>
      <c r="P1" s="3303"/>
      <c r="Q1" s="3303"/>
      <c r="R1" s="3303"/>
      <c r="S1" s="3304"/>
      <c r="T1" s="1204" t="s">
        <v>3006</v>
      </c>
    </row>
    <row r="2" spans="1:45" s="707" customFormat="1" ht="38.25">
      <c r="A2" s="1205"/>
      <c r="B2" s="703" t="s">
        <v>3007</v>
      </c>
      <c r="C2" s="704" t="str">
        <f t="shared" ref="C2:L2" si="0">C3&amp;"(含)"&amp;"-"&amp;D3</f>
        <v>50(含)-100</v>
      </c>
      <c r="D2" s="705" t="str">
        <f t="shared" si="0"/>
        <v>100(含)-150</v>
      </c>
      <c r="E2" s="705" t="str">
        <f t="shared" si="0"/>
        <v>150(含)-200</v>
      </c>
      <c r="F2" s="705" t="str">
        <f t="shared" si="0"/>
        <v>200(含)-250</v>
      </c>
      <c r="G2" s="705" t="str">
        <f t="shared" si="0"/>
        <v>250(含)-300</v>
      </c>
      <c r="H2" s="705" t="str">
        <f t="shared" si="0"/>
        <v>300(含)-500</v>
      </c>
      <c r="I2" s="705" t="str">
        <f t="shared" si="0"/>
        <v>500(含)-750</v>
      </c>
      <c r="J2" s="705" t="str">
        <f t="shared" si="0"/>
        <v>750(含)-1000</v>
      </c>
      <c r="K2" s="705" t="str">
        <f t="shared" si="0"/>
        <v>1000(含)-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50</v>
      </c>
      <c r="D3" s="710">
        <v>100</v>
      </c>
      <c r="E3" s="710">
        <v>150</v>
      </c>
      <c r="F3" s="1704">
        <v>200</v>
      </c>
      <c r="G3" s="1704">
        <v>250</v>
      </c>
      <c r="H3" s="709">
        <v>300</v>
      </c>
      <c r="I3" s="710">
        <v>500</v>
      </c>
      <c r="J3" s="710">
        <v>750</v>
      </c>
      <c r="K3" s="1704">
        <v>1000</v>
      </c>
      <c r="L3" s="1704"/>
      <c r="M3" s="709"/>
      <c r="N3" s="710"/>
      <c r="O3" s="710"/>
      <c r="P3" s="1704"/>
      <c r="Q3" s="1704"/>
      <c r="R3" s="709"/>
      <c r="S3" s="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705">
        <f t="shared" ref="C4:E4" si="7">D4-2</f>
        <v>92</v>
      </c>
      <c r="D4" s="1705">
        <f t="shared" si="7"/>
        <v>94</v>
      </c>
      <c r="E4" s="1705">
        <f t="shared" si="7"/>
        <v>96</v>
      </c>
      <c r="F4" s="1705">
        <f>G4-2</f>
        <v>98</v>
      </c>
      <c r="G4" s="1705">
        <v>100</v>
      </c>
      <c r="H4" s="1210">
        <f>G4-2</f>
        <v>98</v>
      </c>
      <c r="I4" s="1210">
        <f t="shared" ref="I4:K4" si="8">H4-2</f>
        <v>96</v>
      </c>
      <c r="J4" s="1210">
        <f t="shared" si="8"/>
        <v>94</v>
      </c>
      <c r="K4" s="1210">
        <f t="shared" si="8"/>
        <v>92</v>
      </c>
      <c r="L4" s="1705"/>
      <c r="M4" s="1210"/>
      <c r="N4" s="1211"/>
      <c r="O4" s="1211"/>
      <c r="P4" s="1705"/>
      <c r="Q4" s="1705"/>
      <c r="R4" s="1210"/>
      <c r="S4" s="1211"/>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4" t="s">
        <v>3008</v>
      </c>
      <c r="C5" s="1216"/>
      <c r="D5" s="1217"/>
      <c r="E5" s="1217"/>
      <c r="F5" s="1706"/>
      <c r="G5" s="1706"/>
      <c r="H5" s="1706"/>
      <c r="I5" s="1706"/>
      <c r="J5" s="1706"/>
      <c r="K5" s="1706"/>
      <c r="L5" s="1707"/>
      <c r="M5" s="1708"/>
      <c r="N5" s="1708"/>
      <c r="O5" s="1706"/>
      <c r="P5" s="1706"/>
      <c r="Q5" s="1706"/>
      <c r="R5" s="1706"/>
      <c r="S5" s="1709"/>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9">D6-$T5</f>
        <v>100</v>
      </c>
      <c r="F6" s="1710">
        <f t="shared" si="9"/>
        <v>100</v>
      </c>
      <c r="G6" s="1710">
        <f t="shared" si="9"/>
        <v>100</v>
      </c>
      <c r="H6" s="1710">
        <f t="shared" si="9"/>
        <v>100</v>
      </c>
      <c r="I6" s="1710">
        <f t="shared" si="9"/>
        <v>100</v>
      </c>
      <c r="J6" s="1710">
        <f t="shared" si="9"/>
        <v>100</v>
      </c>
      <c r="K6" s="1710">
        <f t="shared" si="9"/>
        <v>100</v>
      </c>
      <c r="L6" s="1710">
        <f t="shared" si="9"/>
        <v>100</v>
      </c>
      <c r="M6" s="1710">
        <f t="shared" si="9"/>
        <v>100</v>
      </c>
      <c r="N6" s="1710">
        <f t="shared" si="9"/>
        <v>100</v>
      </c>
      <c r="O6" s="1710">
        <f t="shared" si="9"/>
        <v>100</v>
      </c>
      <c r="P6" s="1710">
        <f t="shared" si="9"/>
        <v>100</v>
      </c>
      <c r="Q6" s="1710">
        <f t="shared" si="9"/>
        <v>100</v>
      </c>
      <c r="R6" s="1710">
        <f t="shared" si="9"/>
        <v>100</v>
      </c>
      <c r="S6" s="1710">
        <f t="shared" si="9"/>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5" t="s">
        <v>3009</v>
      </c>
      <c r="C7" s="1121"/>
      <c r="D7" s="1115"/>
      <c r="E7" s="1115"/>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10">D8-$T7</f>
        <v>100</v>
      </c>
      <c r="F8" s="1710">
        <f t="shared" si="10"/>
        <v>100</v>
      </c>
      <c r="G8" s="1710">
        <f t="shared" si="10"/>
        <v>100</v>
      </c>
      <c r="H8" s="1710">
        <f t="shared" si="10"/>
        <v>100</v>
      </c>
      <c r="I8" s="1710">
        <f t="shared" si="10"/>
        <v>100</v>
      </c>
      <c r="J8" s="1710">
        <f t="shared" si="10"/>
        <v>100</v>
      </c>
      <c r="K8" s="1710">
        <f t="shared" si="10"/>
        <v>100</v>
      </c>
      <c r="L8" s="1710">
        <f t="shared" si="10"/>
        <v>100</v>
      </c>
      <c r="M8" s="1710">
        <f t="shared" si="10"/>
        <v>100</v>
      </c>
      <c r="N8" s="1710">
        <f t="shared" si="10"/>
        <v>100</v>
      </c>
      <c r="O8" s="1710">
        <f t="shared" si="10"/>
        <v>100</v>
      </c>
      <c r="P8" s="1710">
        <f t="shared" si="10"/>
        <v>100</v>
      </c>
      <c r="Q8" s="1710">
        <f t="shared" si="10"/>
        <v>100</v>
      </c>
      <c r="R8" s="1710">
        <f t="shared" si="10"/>
        <v>100</v>
      </c>
      <c r="S8" s="1710">
        <f t="shared" si="10"/>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5" t="s">
        <v>3010</v>
      </c>
      <c r="C9" s="1121"/>
      <c r="D9" s="1115"/>
      <c r="E9" s="1115"/>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11">D10-$T9</f>
        <v>100</v>
      </c>
      <c r="F10" s="1720">
        <f t="shared" si="11"/>
        <v>100</v>
      </c>
      <c r="G10" s="1720">
        <f t="shared" si="11"/>
        <v>100</v>
      </c>
      <c r="H10" s="1720">
        <f t="shared" si="11"/>
        <v>100</v>
      </c>
      <c r="I10" s="1720">
        <f t="shared" si="11"/>
        <v>100</v>
      </c>
      <c r="J10" s="1720">
        <f t="shared" si="11"/>
        <v>100</v>
      </c>
      <c r="K10" s="1720">
        <f t="shared" si="11"/>
        <v>100</v>
      </c>
      <c r="L10" s="1720">
        <f t="shared" si="11"/>
        <v>100</v>
      </c>
      <c r="M10" s="1720">
        <f t="shared" si="11"/>
        <v>100</v>
      </c>
      <c r="N10" s="1720">
        <f t="shared" si="11"/>
        <v>100</v>
      </c>
      <c r="O10" s="1720">
        <f t="shared" si="11"/>
        <v>100</v>
      </c>
      <c r="P10" s="1720">
        <f t="shared" si="11"/>
        <v>100</v>
      </c>
      <c r="Q10" s="1720">
        <f t="shared" si="11"/>
        <v>100</v>
      </c>
      <c r="R10" s="1720">
        <f t="shared" si="11"/>
        <v>100</v>
      </c>
      <c r="S10" s="1720">
        <f t="shared" si="11"/>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4"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2">D12-$T11</f>
        <v>100</v>
      </c>
      <c r="F12" s="1119">
        <f t="shared" si="12"/>
        <v>100</v>
      </c>
      <c r="G12" s="1119">
        <f t="shared" si="12"/>
        <v>100</v>
      </c>
      <c r="H12" s="1119">
        <f t="shared" si="12"/>
        <v>100</v>
      </c>
      <c r="I12" s="1119">
        <f t="shared" si="12"/>
        <v>100</v>
      </c>
      <c r="J12" s="1119">
        <f t="shared" si="12"/>
        <v>100</v>
      </c>
      <c r="K12" s="1119">
        <f t="shared" si="12"/>
        <v>100</v>
      </c>
      <c r="L12" s="1119">
        <f t="shared" si="12"/>
        <v>100</v>
      </c>
      <c r="M12" s="1119">
        <f t="shared" si="12"/>
        <v>100</v>
      </c>
      <c r="N12" s="1119">
        <f t="shared" si="12"/>
        <v>100</v>
      </c>
      <c r="O12" s="1119">
        <f t="shared" si="12"/>
        <v>100</v>
      </c>
      <c r="P12" s="1119">
        <f t="shared" si="12"/>
        <v>100</v>
      </c>
      <c r="Q12" s="1119">
        <f t="shared" si="12"/>
        <v>100</v>
      </c>
      <c r="R12" s="1119">
        <f>Q12-$T11</f>
        <v>100</v>
      </c>
      <c r="S12" s="1119">
        <f t="shared" si="12"/>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4"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4"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3014</v>
      </c>
      <c r="B17" s="290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3016</v>
      </c>
      <c r="E19" s="1787"/>
      <c r="F19" s="1787"/>
      <c r="G19" s="1787"/>
      <c r="H19" s="1280"/>
      <c r="I19" s="168"/>
      <c r="J19" s="168"/>
      <c r="K19" s="168"/>
      <c r="L19" s="168"/>
      <c r="M19" s="168"/>
      <c r="N19" s="168"/>
      <c r="O19" s="168"/>
      <c r="P19" s="168"/>
      <c r="Q19" s="168"/>
      <c r="R19" s="788"/>
      <c r="S19" s="138"/>
    </row>
    <row r="20" spans="1:45" ht="16.5" thickBot="1">
      <c r="A20" s="715" t="s">
        <v>3017</v>
      </c>
      <c r="B20" s="338">
        <f ca="1">IF(D20="——",S22,S22-F20)</f>
        <v>5366</v>
      </c>
      <c r="C20" s="168"/>
      <c r="D20" s="2908" t="s">
        <v>70</v>
      </c>
      <c r="E20" s="1788"/>
      <c r="F20" s="1204" t="e">
        <f ca="1">SUMIF(INDIRECT("'"&amp;H20&amp;"'"&amp;"!A:A"),"承租人权益价值",INDIRECT("'"&amp;H20&amp;"'"&amp;"!c:c"))</f>
        <v>#REF!</v>
      </c>
      <c r="G20" s="1204" t="s">
        <v>3018</v>
      </c>
      <c r="H20" s="2909"/>
      <c r="I20" s="168"/>
      <c r="J20" s="168"/>
      <c r="K20" s="168"/>
      <c r="L20" s="168"/>
      <c r="M20" s="168"/>
      <c r="N20" s="168"/>
      <c r="O20" s="168"/>
      <c r="P20" s="168"/>
      <c r="Q20" s="168"/>
      <c r="R20" s="788"/>
      <c r="S20" s="138"/>
    </row>
    <row r="21" spans="1:45" ht="15.75">
      <c r="A21" s="715" t="s">
        <v>3019</v>
      </c>
      <c r="B21" s="338">
        <f ca="1">R22</f>
        <v>46997</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1141.77</v>
      </c>
      <c r="C22" s="3077" t="s">
        <v>33</v>
      </c>
      <c r="D22" s="3078"/>
      <c r="E22" s="3078"/>
      <c r="F22" s="3078"/>
      <c r="G22" s="3078"/>
      <c r="H22" s="3078"/>
      <c r="I22" s="3078"/>
      <c r="J22" s="3078"/>
      <c r="K22" s="3078"/>
      <c r="L22" s="3078"/>
      <c r="M22" s="3078"/>
      <c r="N22" s="3078"/>
      <c r="O22" s="3078"/>
      <c r="P22" s="3078"/>
      <c r="Q22" s="3301"/>
      <c r="R22" s="716">
        <f ca="1">ROUND(S22*10000/B22,0)</f>
        <v>46997</v>
      </c>
      <c r="S22" s="24">
        <f ca="1">SUM(S24:S10000)</f>
        <v>5366</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t="s">
        <v>3150</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46663</v>
      </c>
      <c r="S24" s="719">
        <f t="shared" ref="S24:S54" ca="1" si="13">ROUND(R24*B24/10000,0)</f>
        <v>483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17层19C6</v>
      </c>
      <c r="B25" s="59">
        <f>'数据-基础表'!I14</f>
        <v>152.62</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47596</v>
      </c>
      <c r="S25" s="361">
        <f t="shared" ca="1" si="13"/>
        <v>726</v>
      </c>
    </row>
    <row r="26" spans="1:45">
      <c r="A26" s="159" t="str">
        <f>'数据-基础表'!C15</f>
        <v>17层19C7</v>
      </c>
      <c r="B26" s="59">
        <f>'数据-基础表'!I15</f>
        <v>180.72</v>
      </c>
      <c r="C26" s="24">
        <f t="shared" ref="C26:C89" si="14">IF(B26="",1,(LOOKUP(B26,$3:$3,$4:$4)-LOOKUP($B$24,$3:$3,$4:$4)+100)/100)</f>
        <v>1.02</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c r="Q26" s="24">
        <f t="shared" ref="Q26:Q89" si="21">(SUMIF($17:$17,P26,$18:$18)-SUMIF($17:$17,$P$24,$18:$18)+100)/100</f>
        <v>1</v>
      </c>
      <c r="R26" s="716">
        <f t="shared" ref="R26:R89" ca="1" si="22">IF(B26="",0,ROUND($R$24*C26*E26*G26*I26*K26*M26*O26*Q26,0))</f>
        <v>47596</v>
      </c>
      <c r="S26" s="361">
        <f t="shared" ca="1" si="13"/>
        <v>860</v>
      </c>
    </row>
    <row r="27" spans="1:45">
      <c r="A27" s="159" t="str">
        <f>'数据-基础表'!C16</f>
        <v>17层19C8</v>
      </c>
      <c r="B27" s="59">
        <f>'数据-基础表'!I16</f>
        <v>121.95</v>
      </c>
      <c r="C27" s="24">
        <f t="shared" si="14"/>
        <v>1</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c r="Q27" s="24">
        <f t="shared" si="21"/>
        <v>1</v>
      </c>
      <c r="R27" s="716">
        <f t="shared" ca="1" si="22"/>
        <v>46663</v>
      </c>
      <c r="S27" s="361">
        <f t="shared" ca="1" si="13"/>
        <v>569</v>
      </c>
    </row>
    <row r="28" spans="1:45">
      <c r="A28" s="159" t="str">
        <f>'数据-基础表'!C17</f>
        <v>17层19C9</v>
      </c>
      <c r="B28" s="59">
        <f>'数据-基础表'!I17</f>
        <v>124.27</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c r="Q28" s="24">
        <f t="shared" si="21"/>
        <v>1</v>
      </c>
      <c r="R28" s="716">
        <f t="shared" ca="1" si="22"/>
        <v>46663</v>
      </c>
      <c r="S28" s="361">
        <f t="shared" ca="1" si="13"/>
        <v>580</v>
      </c>
    </row>
    <row r="29" spans="1:45">
      <c r="A29" s="159" t="str">
        <f>'数据-基础表'!C18</f>
        <v>17层19C10</v>
      </c>
      <c r="B29" s="59">
        <f>'数据-基础表'!I18</f>
        <v>105.34</v>
      </c>
      <c r="C29" s="24">
        <f t="shared" si="14"/>
        <v>1</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c r="Q29" s="24">
        <f t="shared" si="21"/>
        <v>1</v>
      </c>
      <c r="R29" s="716">
        <f t="shared" ca="1" si="22"/>
        <v>46663</v>
      </c>
      <c r="S29" s="361">
        <f t="shared" ca="1" si="13"/>
        <v>492</v>
      </c>
    </row>
    <row r="30" spans="1:45">
      <c r="A30" s="159" t="str">
        <f>'数据-基础表'!C19</f>
        <v>17层19C11</v>
      </c>
      <c r="B30" s="59">
        <f>'数据-基础表'!I19</f>
        <v>103.53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c r="Q30" s="24">
        <f t="shared" si="21"/>
        <v>1</v>
      </c>
      <c r="R30" s="716">
        <f t="shared" ca="1" si="22"/>
        <v>46663</v>
      </c>
      <c r="S30" s="361">
        <f t="shared" ca="1" si="13"/>
        <v>483</v>
      </c>
    </row>
    <row r="31" spans="1:45">
      <c r="A31" s="159" t="str">
        <f>'数据-基础表'!C20</f>
        <v>17层19C12</v>
      </c>
      <c r="B31" s="59">
        <f>'数据-基础表'!I20</f>
        <v>165.95</v>
      </c>
      <c r="C31" s="24">
        <f t="shared" si="14"/>
        <v>1.02</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c r="Q31" s="24">
        <f t="shared" si="21"/>
        <v>1</v>
      </c>
      <c r="R31" s="716">
        <f t="shared" ca="1" si="22"/>
        <v>47596</v>
      </c>
      <c r="S31" s="361">
        <f t="shared" ca="1" si="13"/>
        <v>790</v>
      </c>
    </row>
    <row r="32" spans="1:45">
      <c r="A32" s="159" t="str">
        <f>'数据-基础表'!C21</f>
        <v>17层19C13</v>
      </c>
      <c r="B32" s="59">
        <f>'数据-基础表'!I21</f>
        <v>83.86</v>
      </c>
      <c r="C32" s="24">
        <f t="shared" si="14"/>
        <v>0.98</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ca="1" si="22"/>
        <v>45730</v>
      </c>
      <c r="S32" s="361">
        <f t="shared" ca="1" si="13"/>
        <v>383</v>
      </c>
    </row>
    <row r="33" spans="1:19">
      <c r="A33" s="159"/>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159"/>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159"/>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159"/>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159"/>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159"/>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159"/>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159"/>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159"/>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159"/>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159"/>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31636</v>
      </c>
      <c r="C2" s="2" t="s">
        <v>133</v>
      </c>
      <c r="D2" s="243"/>
      <c r="E2" s="243"/>
      <c r="F2" s="243"/>
      <c r="G2" s="243"/>
    </row>
    <row r="3" spans="1:7" s="244" customFormat="1" ht="18" customHeight="1" thickBot="1">
      <c r="A3" s="247" t="s">
        <v>85</v>
      </c>
      <c r="B3" s="248">
        <f ca="1">ROUND(B2*10000/'数据-汇总表'!E3,0)</f>
        <v>277079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1141.77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1141.77</v>
      </c>
      <c r="E19" s="255">
        <f>'数据-取费表'!B31</f>
        <v>200</v>
      </c>
      <c r="F19" s="275"/>
      <c r="G19" s="1" t="s">
        <v>1071</v>
      </c>
    </row>
    <row r="20" spans="1:7" s="258" customFormat="1" ht="13.5" customHeight="1">
      <c r="A20" s="948" t="s">
        <v>1054</v>
      </c>
      <c r="B20" s="254" t="s">
        <v>104</v>
      </c>
      <c r="C20" s="276">
        <f>ROUND((C5+C19)*F20,0)</f>
        <v>516</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2031</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5287</v>
      </c>
      <c r="D27" s="279">
        <f>C29</f>
        <v>6.3E-3</v>
      </c>
      <c r="E27" s="280" t="s">
        <v>126</v>
      </c>
      <c r="F27" s="290">
        <f>'数据-取费表'!Q16</f>
        <v>0.25</v>
      </c>
      <c r="G27" s="291" t="s">
        <v>1066</v>
      </c>
    </row>
    <row r="28" spans="1:7" s="258" customFormat="1" ht="13.5" customHeight="1">
      <c r="A28" s="951" t="s">
        <v>794</v>
      </c>
      <c r="B28" s="292" t="s">
        <v>1059</v>
      </c>
      <c r="C28" s="293">
        <f>ROUND((C5+C19+C20)*F27*'数据-取费表'!B21/'数据-取费表'!B20,0)</f>
        <v>5287</v>
      </c>
      <c r="D28" s="279"/>
      <c r="E28" s="280"/>
      <c r="F28" s="290"/>
      <c r="G28" s="291"/>
    </row>
    <row r="29" spans="1:7" s="258" customFormat="1" ht="13.5" customHeight="1">
      <c r="A29" s="951" t="s">
        <v>792</v>
      </c>
      <c r="B29" s="292" t="s">
        <v>1060</v>
      </c>
      <c r="C29" s="282">
        <f>ROUND(C21*F27*'数据-取费表'!B21/'数据-取费表'!B20,4)</f>
        <v>6.3E-3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1141.77</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11</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22</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162" t="s">
        <v>121</v>
      </c>
    </row>
    <row r="43" spans="1:7" ht="13.5" customHeight="1">
      <c r="A43" s="951" t="s">
        <v>792</v>
      </c>
      <c r="B43" s="259" t="s">
        <v>1061</v>
      </c>
      <c r="C43" s="282">
        <f ca="1">ROUND(IF('数据-取费表'!B22&lt;=1,C39*F22*'数据-取费表'!B21/2,C39*(POWER((1+F22),'数据-取费表'!B21/2)-1)),0)</f>
        <v>1</v>
      </c>
      <c r="D43" s="282"/>
      <c r="E43" s="282"/>
      <c r="F43" s="283"/>
      <c r="G43" s="3163"/>
    </row>
    <row r="44" spans="1:7" ht="13.5" customHeight="1">
      <c r="A44" s="951" t="s">
        <v>793</v>
      </c>
      <c r="B44" s="259" t="s">
        <v>1063</v>
      </c>
      <c r="C44" s="282">
        <f ca="1">ROUND(IF('数据-取费表'!B22&lt;=1,C40*F22*'数据-取费表'!B21/2,C40*(POWER((1+F22),'数据-取费表'!B21/2)-1)),4)</f>
        <v>1.1999999999999999E-3</v>
      </c>
      <c r="D44" s="282"/>
      <c r="E44" s="282"/>
      <c r="F44" s="283"/>
      <c r="G44" s="3164"/>
    </row>
    <row r="45" spans="1:7" s="258" customFormat="1" ht="13.5" customHeight="1">
      <c r="A45" s="948" t="s">
        <v>786</v>
      </c>
      <c r="B45" s="288" t="s">
        <v>112</v>
      </c>
      <c r="C45" s="289">
        <f>C46</f>
        <v>115</v>
      </c>
      <c r="D45" s="279">
        <f>C47</f>
        <v>6.3E-3</v>
      </c>
      <c r="E45" s="280" t="s">
        <v>129</v>
      </c>
      <c r="F45" s="290"/>
      <c r="G45" s="291" t="s">
        <v>1069</v>
      </c>
    </row>
    <row r="46" spans="1:7" s="258" customFormat="1" ht="13.5" customHeight="1">
      <c r="A46" s="951" t="s">
        <v>794</v>
      </c>
      <c r="B46" s="292" t="s">
        <v>1062</v>
      </c>
      <c r="C46" s="293">
        <f>ROUND((C33+C39)*F27,0)</f>
        <v>115</v>
      </c>
      <c r="D46" s="307"/>
      <c r="E46" s="280"/>
      <c r="F46" s="290"/>
      <c r="G46" s="291"/>
    </row>
    <row r="47" spans="1:7" s="258" customFormat="1" ht="13.5" customHeight="1">
      <c r="A47" s="951" t="s">
        <v>792</v>
      </c>
      <c r="B47" s="292" t="s">
        <v>1064</v>
      </c>
      <c r="C47" s="282">
        <f>ROUND(C40*F27,4)</f>
        <v>6.3E-3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652</v>
      </c>
      <c r="D49" s="276"/>
      <c r="E49" s="276"/>
      <c r="F49" s="308"/>
      <c r="G49" s="278" t="s">
        <v>1070</v>
      </c>
    </row>
    <row r="50" spans="1:7" s="302" customFormat="1" ht="24">
      <c r="A50" s="948" t="s">
        <v>789</v>
      </c>
      <c r="B50" s="254" t="s">
        <v>124</v>
      </c>
      <c r="C50" s="276"/>
      <c r="D50" s="276"/>
      <c r="E50" s="276"/>
      <c r="F50" s="308">
        <f>IF('数据-取费表'!B24=0,'数据-取费表'!N16,1)</f>
        <v>0.76</v>
      </c>
      <c r="G50" s="291" t="s">
        <v>125</v>
      </c>
    </row>
    <row r="51" spans="1:7" ht="16.5" customHeight="1">
      <c r="A51" s="948" t="s">
        <v>790</v>
      </c>
      <c r="B51" s="254" t="s">
        <v>132</v>
      </c>
      <c r="C51" s="276">
        <f ca="1">ROUND(C49*F50,0)</f>
        <v>496</v>
      </c>
      <c r="D51" s="276"/>
      <c r="E51" s="276"/>
      <c r="F51" s="308"/>
      <c r="G51" s="278" t="s">
        <v>64</v>
      </c>
    </row>
    <row r="52" spans="1:7" s="252" customFormat="1" ht="16.5" thickBot="1">
      <c r="A52" s="309" t="s">
        <v>65</v>
      </c>
      <c r="B52" s="310"/>
      <c r="C52" s="311">
        <f ca="1">C31+C51</f>
        <v>31636</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868</v>
      </c>
      <c r="B1" s="330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40"/>
  <sheetViews>
    <sheetView zoomScale="160" zoomScaleNormal="160" workbookViewId="0">
      <selection activeCell="G22" sqref="G22"/>
    </sheetView>
  </sheetViews>
  <sheetFormatPr defaultRowHeight="13.5"/>
  <sheetData>
    <row r="21" spans="1:1">
      <c r="A21" s="2965" t="s">
        <v>3158</v>
      </c>
    </row>
    <row r="22" spans="1:1">
      <c r="A22" s="2965" t="s">
        <v>3159</v>
      </c>
    </row>
    <row r="23" spans="1:1">
      <c r="A23" s="2965" t="s">
        <v>3160</v>
      </c>
    </row>
    <row r="40" spans="1:1">
      <c r="A40" s="2967" t="s">
        <v>3161</v>
      </c>
    </row>
  </sheetData>
  <phoneticPr fontId="143" type="noConversion"/>
  <hyperlinks>
    <hyperlink ref="A40"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4" t="s">
        <v>1634</v>
      </c>
      <c r="E3" s="1044" t="s">
        <v>1640</v>
      </c>
      <c r="F3" s="1044" t="s">
        <v>1634</v>
      </c>
      <c r="G3" s="1044" t="s">
        <v>1635</v>
      </c>
      <c r="H3" s="1044" t="s">
        <v>1634</v>
      </c>
      <c r="I3" s="1044" t="s">
        <v>1635</v>
      </c>
    </row>
    <row r="4" spans="1:9" ht="45">
      <c r="A4" s="1968" t="str">
        <f>项目基本情况!S2</f>
        <v>北京市西城区西直门外大街1号院2号楼17层19C5-19C13房地产</v>
      </c>
      <c r="B4" s="1044">
        <f>项目基本情况!C17</f>
        <v>1141.77</v>
      </c>
      <c r="C4" s="1044">
        <f>项目基本情况!C18</f>
        <v>0</v>
      </c>
      <c r="D4" s="1044" t="e">
        <f ca="1">结果表!D118</f>
        <v>#REF!</v>
      </c>
      <c r="E4" s="1044" t="e">
        <f ca="1">结果表!E118</f>
        <v>#REF!</v>
      </c>
      <c r="F4" s="1044" t="e">
        <f ca="1">结果表!F118</f>
        <v>#REF!</v>
      </c>
      <c r="G4" s="1044" t="e">
        <f ca="1">结果表!G118</f>
        <v>#REF!</v>
      </c>
      <c r="H4" s="1044">
        <f ca="1">结果表!H118</f>
        <v>483</v>
      </c>
      <c r="I4" s="1044">
        <f ca="1">结果表!I118</f>
        <v>4230</v>
      </c>
    </row>
    <row r="5" spans="1:9" ht="30" customHeight="1">
      <c r="A5" s="2989" t="s">
        <v>1636</v>
      </c>
      <c r="B5" s="2989"/>
      <c r="C5" s="2989"/>
      <c r="D5" s="2990" t="e">
        <f ca="1">结果表!D119</f>
        <v>#REF!</v>
      </c>
      <c r="E5" s="2990"/>
      <c r="F5" s="2990" t="e">
        <f ca="1">结果表!F119</f>
        <v>#REF!</v>
      </c>
      <c r="G5" s="2990"/>
      <c r="H5" s="2990" t="str">
        <f ca="1">结果表!H119</f>
        <v>肆佰捌拾叁万元整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1636</v>
      </c>
      <c r="B7" s="2989"/>
      <c r="C7" s="2989"/>
      <c r="D7" s="2992" t="str">
        <f>结果表!D121</f>
        <v>零元整</v>
      </c>
      <c r="E7" s="2993"/>
      <c r="F7" s="2993"/>
      <c r="G7" s="2993"/>
      <c r="H7" s="2993"/>
      <c r="I7" s="2994"/>
    </row>
    <row r="8" spans="1:9" ht="15.75">
      <c r="A8" s="2991" t="str">
        <f>结果表!A122</f>
        <v>房地产抵押价值</v>
      </c>
      <c r="B8" s="2991"/>
      <c r="C8" s="2991"/>
      <c r="D8" s="2991">
        <f ca="1">结果表!D122</f>
        <v>483</v>
      </c>
      <c r="E8" s="2991"/>
      <c r="F8" s="2991"/>
      <c r="G8" s="2991"/>
      <c r="H8" s="2991"/>
      <c r="I8" s="2991"/>
    </row>
    <row r="9" spans="1:9" ht="15">
      <c r="A9" s="2989" t="s">
        <v>1636</v>
      </c>
      <c r="B9" s="2989"/>
      <c r="C9" s="2989"/>
      <c r="D9" s="2990" t="str">
        <f ca="1">结果表!D123</f>
        <v>肆佰捌拾叁万元整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1636</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1636</v>
      </c>
      <c r="B13" s="2995"/>
      <c r="C13" s="2995"/>
      <c r="D13" s="2996" t="e">
        <f>结果表!D127</f>
        <v>#VALUE!</v>
      </c>
      <c r="E13" s="2996"/>
      <c r="F13" s="2996"/>
      <c r="G13" s="2996"/>
      <c r="H13" s="2996"/>
      <c r="I13" s="2996"/>
    </row>
    <row r="14" spans="1:9" ht="15" thickTop="1">
      <c r="A14" s="2997" t="s">
        <v>1641</v>
      </c>
      <c r="B14" s="2997"/>
      <c r="C14" s="2997"/>
      <c r="D14" s="2997"/>
      <c r="E14" s="2997"/>
      <c r="F14" s="2997"/>
      <c r="G14" s="2997"/>
      <c r="H14" s="2997"/>
      <c r="I14" s="2997"/>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8" t="s">
        <v>1658</v>
      </c>
      <c r="B1" s="2998"/>
      <c r="C1" s="2998"/>
      <c r="D1" s="2998"/>
    </row>
    <row r="2" spans="1:4" ht="18">
      <c r="A2" s="2999" t="s">
        <v>1642</v>
      </c>
      <c r="B2" s="2999"/>
      <c r="C2" s="2999"/>
      <c r="D2" s="2999"/>
    </row>
    <row r="3" spans="1:4" ht="18.75">
      <c r="A3" s="1972" t="s">
        <v>1643</v>
      </c>
      <c r="B3" s="1972" t="s">
        <v>1644</v>
      </c>
      <c r="C3" s="1972" t="s">
        <v>1645</v>
      </c>
      <c r="D3" s="1972" t="s">
        <v>1646</v>
      </c>
    </row>
    <row r="4" spans="1:4" ht="56.25" customHeight="1">
      <c r="A4" s="1973" t="str">
        <f>项目基本情况!B4</f>
        <v>王鹏</v>
      </c>
      <c r="B4" s="1974">
        <f ca="1">项目基本情况!C4</f>
        <v>1120050019</v>
      </c>
      <c r="C4" s="1975"/>
      <c r="D4" s="1976" t="s">
        <v>1647</v>
      </c>
    </row>
    <row r="5" spans="1:4" ht="56.25" customHeight="1">
      <c r="A5" s="1973" t="str">
        <f>项目基本情况!D4</f>
        <v>郑燚</v>
      </c>
      <c r="B5" s="1974">
        <f ca="1">项目基本情况!E4</f>
        <v>1120070131</v>
      </c>
      <c r="C5" s="1977"/>
      <c r="D5" s="1976" t="s">
        <v>1647</v>
      </c>
    </row>
    <row r="6" spans="1:4" ht="18">
      <c r="A6" s="2999" t="s">
        <v>1648</v>
      </c>
      <c r="B6" s="2999"/>
      <c r="C6" s="2999"/>
      <c r="D6" s="2999"/>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3000"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（1）根据估价对象《不动产权证书》复印件、《国有土地使用权》，截至价值时点，估价对象已设定抵押。上述抵押权设定日期为，权利人为，权利范围为，权利价值为。</v>
      </c>
      <c r="B15" s="3001"/>
      <c r="C15" s="3001"/>
      <c r="D15" s="3001"/>
    </row>
    <row r="16" spans="1:4" ht="30" customHeight="1">
      <c r="A16" s="3004" t="s">
        <v>1652</v>
      </c>
      <c r="B16" s="3004"/>
      <c r="C16" s="3004"/>
      <c r="D16" s="3004"/>
    </row>
    <row r="17" spans="1:4" ht="144" customHeight="1">
      <c r="A17" s="3004" t="s">
        <v>1653</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1654</v>
      </c>
      <c r="B22" s="3006"/>
      <c r="C22" s="3006"/>
      <c r="D22" s="3006"/>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12" t="s">
        <v>1665</v>
      </c>
      <c r="B15" s="3007" t="s">
        <v>136</v>
      </c>
      <c r="C15" s="3008"/>
    </row>
    <row r="16" spans="1:7" ht="13.5">
      <c r="A16" s="3013"/>
      <c r="B16" s="3007" t="s">
        <v>69</v>
      </c>
      <c r="C16" s="3008"/>
    </row>
    <row r="17" spans="1:3" ht="13.5">
      <c r="A17" s="3013"/>
      <c r="B17" s="3010" t="s">
        <v>1666</v>
      </c>
      <c r="C17" s="1995" t="s">
        <v>1665</v>
      </c>
    </row>
    <row r="18" spans="1:3" ht="13.5">
      <c r="A18" s="3013"/>
      <c r="B18" s="3010"/>
      <c r="C18" s="1995" t="s">
        <v>1667</v>
      </c>
    </row>
    <row r="19" spans="1:3" ht="13.5">
      <c r="A19" s="3013"/>
      <c r="B19" s="3010"/>
      <c r="C19" s="1995" t="s">
        <v>1668</v>
      </c>
    </row>
    <row r="20" spans="1:3" ht="13.5">
      <c r="A20" s="3014"/>
      <c r="B20" s="3009" t="s">
        <v>1669</v>
      </c>
      <c r="C20" s="3008"/>
    </row>
    <row r="21" spans="1:3" ht="13.5">
      <c r="A21" s="1996" t="s">
        <v>1670</v>
      </c>
      <c r="B21" s="1997"/>
      <c r="C21" s="1998"/>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1995" t="s">
        <v>1676</v>
      </c>
    </row>
    <row r="26" spans="1:3" ht="13.5">
      <c r="A26" s="3011"/>
      <c r="B26" s="3010"/>
      <c r="C26" s="1995" t="s">
        <v>1677</v>
      </c>
    </row>
    <row r="27" spans="1:3" ht="13.5">
      <c r="A27" s="3011"/>
      <c r="B27" s="3010"/>
      <c r="C27" s="1995" t="s">
        <v>1678</v>
      </c>
    </row>
    <row r="28" spans="1:3" ht="13.5">
      <c r="A28" s="3011"/>
      <c r="B28" s="3010"/>
      <c r="C28" s="1995" t="s">
        <v>1679</v>
      </c>
    </row>
    <row r="29" spans="1:3" ht="13.5">
      <c r="A29" s="3011"/>
      <c r="B29" s="3010"/>
      <c r="C29" s="1995" t="s">
        <v>1680</v>
      </c>
    </row>
    <row r="30" spans="1:3" ht="13.5">
      <c r="A30" s="3011"/>
      <c r="B30" s="3010"/>
      <c r="C30" s="1995" t="s">
        <v>1681</v>
      </c>
    </row>
    <row r="31" spans="1:3" ht="13.5">
      <c r="A31" s="3011"/>
      <c r="B31" s="3010"/>
      <c r="C31" s="1995" t="s">
        <v>1682</v>
      </c>
    </row>
    <row r="32" spans="1:3" ht="13.5">
      <c r="A32" s="3011"/>
      <c r="B32" s="3010"/>
      <c r="C32" s="1995" t="s">
        <v>1683</v>
      </c>
    </row>
    <row r="33" spans="1:3" ht="13.5">
      <c r="A33" s="3011"/>
      <c r="B33" s="3010"/>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t="str">
        <f ca="1">IF(C10&lt;B2,"已过期",1120060040)</f>
        <v>已过期</v>
      </c>
      <c r="C10" s="2342">
        <v>43483</v>
      </c>
      <c r="D10" s="2345" t="s">
        <v>838</v>
      </c>
      <c r="E10" s="1022">
        <f ca="1">IF(F10&lt;B2,"已过期",2004110096)</f>
        <v>2004110096</v>
      </c>
      <c r="F10" s="1030">
        <v>47118</v>
      </c>
    </row>
    <row r="11" spans="1:6" ht="24" customHeight="1">
      <c r="A11" s="1702" t="s">
        <v>839</v>
      </c>
      <c r="B11" s="1022">
        <f ca="1">IF(C11&lt;B2,"已过期",1120100036)</f>
        <v>1120100036</v>
      </c>
      <c r="C11" s="2342">
        <v>43622</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3043</v>
      </c>
      <c r="B14" s="1022">
        <f ca="1">IF(C14&lt;B2,"已过期",1120040230)</f>
        <v>1120040230</v>
      </c>
      <c r="C14" s="2342">
        <v>43835</v>
      </c>
      <c r="D14" s="2345" t="s">
        <v>3043</v>
      </c>
      <c r="E14" s="1022">
        <f ca="1">IF(F14&lt;B2,"已过期",98030020)</f>
        <v>98030020</v>
      </c>
      <c r="F14" s="1030">
        <v>47118</v>
      </c>
    </row>
    <row r="15" spans="1:6" ht="24" customHeight="1">
      <c r="A15" s="1703" t="s">
        <v>3044</v>
      </c>
      <c r="B15" s="1022">
        <f ca="1">IF(C15&lt;B2,"已过期",1120070085)</f>
        <v>1120070085</v>
      </c>
      <c r="C15" s="2342">
        <v>43814</v>
      </c>
      <c r="D15" s="2346" t="s">
        <v>3044</v>
      </c>
      <c r="E15" s="1022">
        <f ca="1">IF(F15&lt;B2,"已过期",2004110128)</f>
        <v>2004110128</v>
      </c>
      <c r="F15" s="1023">
        <v>47118</v>
      </c>
    </row>
    <row r="16" spans="1:6" ht="24" customHeight="1">
      <c r="A16" s="1702" t="s">
        <v>3045</v>
      </c>
      <c r="B16" s="1022">
        <f ca="1">IF(C16&lt;B2,"已过期",1120140022)</f>
        <v>1120140022</v>
      </c>
      <c r="C16" s="2925">
        <v>44029</v>
      </c>
      <c r="D16" s="2345" t="s">
        <v>3045</v>
      </c>
      <c r="E16" s="1022">
        <f ca="1">IF(F16&lt;B2,"已过期",2008110059)</f>
        <v>2008110059</v>
      </c>
      <c r="F16" s="1030">
        <v>47177</v>
      </c>
    </row>
    <row r="17" spans="1:7" ht="24" customHeight="1">
      <c r="A17" s="1702"/>
      <c r="B17" s="1022"/>
      <c r="C17" s="2342"/>
      <c r="D17" s="2345" t="s">
        <v>3046</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15" t="s">
        <v>843</v>
      </c>
      <c r="B25" s="3015"/>
      <c r="C25" s="3015"/>
      <c r="D25" s="3015"/>
      <c r="E25" s="3015"/>
      <c r="F25" s="3015"/>
      <c r="G25" s="3015"/>
    </row>
    <row r="26" spans="1:7" s="1025" customFormat="1" ht="24" customHeight="1">
      <c r="A26" s="3016" t="s">
        <v>844</v>
      </c>
      <c r="B26" s="3016"/>
      <c r="C26" s="3017"/>
      <c r="D26" s="3018" t="s">
        <v>845</v>
      </c>
      <c r="E26" s="3016"/>
      <c r="F26" s="3016"/>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2019-05-22T10:45:18Z</dcterms:modified>
</cp:coreProperties>
</file>