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10" windowWidth="11385" windowHeight="9585" tabRatio="899"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Y6" i="1"/>
  <c r="I34" i="78" l="1"/>
  <c r="E34" i="78"/>
  <c r="B131" i="78" l="1"/>
  <c r="B129" i="78"/>
  <c r="B127" i="78"/>
  <c r="G126" i="78"/>
  <c r="E126" i="78"/>
  <c r="F126" i="78" s="1"/>
  <c r="D126" i="78"/>
  <c r="G124" i="78"/>
  <c r="H124" i="78" s="1"/>
  <c r="I124" i="78" s="1"/>
  <c r="J124" i="78" s="1"/>
  <c r="K124" i="78" s="1"/>
  <c r="L124" i="78" s="1"/>
  <c r="M124" i="78" s="1"/>
  <c r="E124" i="78"/>
  <c r="F124" i="78" s="1"/>
  <c r="D124" i="78"/>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F90" i="78"/>
  <c r="G90" i="78" s="1"/>
  <c r="H90" i="78" s="1"/>
  <c r="I90" i="78" s="1"/>
  <c r="J90" i="78" s="1"/>
  <c r="K90" i="78" s="1"/>
  <c r="L90" i="78" s="1"/>
  <c r="M90" i="78" s="1"/>
  <c r="D90" i="78"/>
  <c r="E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E13" i="76"/>
  <c r="D7" i="73"/>
  <c r="L48" i="15"/>
  <c r="F16" i="67"/>
  <c r="D2" i="33"/>
  <c r="F6" i="67"/>
  <c r="M9" i="67"/>
  <c r="L47" i="15"/>
  <c r="D2" i="37"/>
  <c r="F37" i="67"/>
  <c r="M22" i="15"/>
  <c r="D2" i="36"/>
  <c r="B9" i="76"/>
  <c r="F7" i="15"/>
  <c r="F40" i="15"/>
  <c r="F5" i="73"/>
  <c r="E11" i="76"/>
  <c r="M8" i="67"/>
  <c r="M24" i="15"/>
  <c r="C76" i="67"/>
  <c r="AO7" i="1"/>
  <c r="F20" i="31"/>
  <c r="E9" i="76"/>
  <c r="L48" i="67"/>
  <c r="F13" i="67"/>
  <c r="AO9" i="1"/>
  <c r="B8" i="76"/>
  <c r="E12" i="76"/>
  <c r="M6" i="67"/>
  <c r="D2" i="34"/>
  <c r="J15" i="67"/>
  <c r="F37" i="15"/>
  <c r="M24" i="67"/>
  <c r="D2" i="35"/>
  <c r="F26" i="67"/>
  <c r="F7" i="73"/>
  <c r="F42" i="67"/>
  <c r="AO13" i="1"/>
  <c r="F43" i="15"/>
  <c r="D6" i="73"/>
  <c r="B11" i="76"/>
  <c r="F40" i="67"/>
  <c r="L47" i="67"/>
  <c r="M8" i="15"/>
  <c r="F4" i="73"/>
  <c r="D34" i="9"/>
  <c r="M23" i="67"/>
  <c r="M26" i="15"/>
  <c r="M9" i="15"/>
  <c r="AO10" i="1"/>
  <c r="F35" i="67"/>
  <c r="F6" i="15"/>
  <c r="D5" i="73"/>
  <c r="F38" i="15"/>
  <c r="M27" i="15"/>
  <c r="B12" i="76"/>
  <c r="AO12" i="1"/>
  <c r="F36" i="15"/>
  <c r="E10" i="76"/>
  <c r="C76" i="15"/>
  <c r="M6" i="15"/>
  <c r="F6" i="73"/>
  <c r="D35" i="9"/>
  <c r="B7" i="76"/>
  <c r="M21" i="67"/>
  <c r="F41" i="67"/>
  <c r="F3" i="73"/>
  <c r="AO8" i="1"/>
  <c r="F26" i="15"/>
  <c r="F13" i="15"/>
  <c r="F38" i="67"/>
  <c r="D4" i="73"/>
  <c r="M22" i="67"/>
  <c r="M28" i="67"/>
  <c r="D3" i="73"/>
  <c r="M27" i="67"/>
  <c r="F36" i="67"/>
  <c r="B10" i="76"/>
  <c r="F7" i="67"/>
  <c r="M29" i="15"/>
  <c r="E2" i="68"/>
  <c r="AO11" i="1"/>
  <c r="F42" i="15"/>
  <c r="F43" i="67"/>
  <c r="F9" i="15"/>
  <c r="F8" i="67"/>
  <c r="M26" i="67"/>
  <c r="B13" i="76"/>
  <c r="F9" i="67"/>
  <c r="E8" i="76"/>
  <c r="M28" i="15"/>
  <c r="E7" i="76"/>
  <c r="M23" i="15"/>
  <c r="M29" i="67"/>
  <c r="F16" i="15"/>
  <c r="F8" i="15"/>
  <c r="D2" i="21"/>
  <c r="E2" i="69"/>
  <c r="J15" i="15"/>
  <c r="AC30" i="34" l="1"/>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4" i="15"/>
  <c r="C16" i="67"/>
  <c r="C17" i="15"/>
  <c r="C17" i="67"/>
  <c r="G1" i="73"/>
  <c r="C14" i="67"/>
  <c r="C16" i="15"/>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C31" i="67" s="1"/>
  <c r="J14" i="67"/>
  <c r="C57" i="67"/>
  <c r="C13" i="67"/>
  <c r="J19" i="67"/>
  <c r="J17" i="67" s="1"/>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M21" i="15"/>
  <c r="F35" i="15"/>
  <c r="C25" i="69" l="1"/>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J16" i="67"/>
  <c r="J25" i="67" s="1"/>
  <c r="C40" i="67"/>
  <c r="Q69" i="67"/>
  <c r="Q68" i="67" s="1"/>
  <c r="C58" i="67"/>
  <c r="C67" i="67" s="1"/>
  <c r="C68" i="67" s="1"/>
  <c r="C80" i="67"/>
  <c r="C79" i="67" s="1"/>
  <c r="L51" i="67"/>
  <c r="L51" i="15"/>
  <c r="C40" i="15" l="1"/>
  <c r="C43" i="15" s="1"/>
  <c r="Q69" i="15"/>
  <c r="Q68" i="15" s="1"/>
  <c r="C80" i="15"/>
  <c r="C79" i="15" s="1"/>
  <c r="C49" i="69"/>
  <c r="C51" i="69" s="1"/>
  <c r="C52" i="69" s="1"/>
  <c r="B2" i="69" s="1"/>
  <c r="B3" i="69" s="1"/>
  <c r="C49" i="68"/>
  <c r="C51" i="68" s="1"/>
  <c r="C31" i="68"/>
  <c r="N59" i="34"/>
  <c r="L46" i="36"/>
  <c r="N52" i="37"/>
  <c r="K68" i="39"/>
  <c r="J70" i="39"/>
  <c r="B3" i="76"/>
  <c r="Q67" i="67"/>
  <c r="L57" i="67"/>
  <c r="L60" i="67" s="1"/>
  <c r="Q67" i="15"/>
  <c r="L57" i="15"/>
  <c r="L60" i="15" s="1"/>
  <c r="L46" i="15" s="1"/>
  <c r="C71" i="67"/>
  <c r="C45" i="67"/>
  <c r="C46" i="67" s="1"/>
  <c r="Q56" i="67"/>
  <c r="Q47" i="67"/>
  <c r="Q53" i="67" s="1"/>
  <c r="Q65" i="67"/>
  <c r="C43" i="67"/>
  <c r="D2"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AO6" i="1"/>
  <c r="D19" i="9"/>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<sst xmlns="http://schemas.openxmlformats.org/spreadsheetml/2006/main" count="7822" uniqueCount="3172">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</sst>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483</v>
      </c>
    </row>
    <row r="21" spans="1:2" s="1593" customFormat="1">
      <c r="A21" s="1591" t="s">
        <v>1231</v>
      </c>
      <c r="B21" s="1592">
        <f ca="1">'预评函-2'!D7</f>
        <v>4230</v>
      </c>
    </row>
    <row r="22" spans="1:2" s="1593" customFormat="1">
      <c r="A22" s="1591" t="s">
        <v>1232</v>
      </c>
      <c r="B22" s="1592" t="str">
        <f ca="1">'预评函-2'!D6</f>
        <v>肆佰捌拾叁万元整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483</v>
      </c>
    </row>
    <row r="31" spans="1:2" s="1593" customFormat="1">
      <c r="A31" s="1591" t="s">
        <v>1270</v>
      </c>
      <c r="B31" s="1592">
        <f ca="1">'预评函-2'!D15</f>
        <v>4230</v>
      </c>
    </row>
    <row r="32" spans="1:2" s="1593" customFormat="1">
      <c r="A32" s="1591" t="s">
        <v>1237</v>
      </c>
      <c r="B32" s="1592" t="str">
        <f ca="1">'预评函-2'!D14</f>
        <v>肆佰捌拾叁万元整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5"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5"/>
      <c r="B54" s="2017" t="s">
        <v>861</v>
      </c>
      <c r="C54" s="2014" t="s">
        <v>1277</v>
      </c>
    </row>
    <row r="55" spans="1:4">
      <c r="A55" s="3015"/>
      <c r="B55" s="2017" t="s">
        <v>862</v>
      </c>
      <c r="C55" s="2014" t="s">
        <v>1278</v>
      </c>
    </row>
    <row r="56" spans="1:4">
      <c r="A56" s="3015"/>
      <c r="B56" s="2017" t="s">
        <v>863</v>
      </c>
      <c r="C56" s="2014" t="s">
        <v>1282</v>
      </c>
    </row>
    <row r="57" spans="1:4">
      <c r="A57" s="3015"/>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16"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17"/>
      <c r="D1" s="3017"/>
      <c r="E1" s="3017"/>
      <c r="F1" s="3017"/>
      <c r="G1" s="3017"/>
      <c r="H1" s="3017"/>
      <c r="I1" s="301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19"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20"/>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26" t="s">
        <v>3063</v>
      </c>
      <c r="C16" s="3027"/>
      <c r="D16" s="3028"/>
      <c r="E16" s="2079" t="s">
        <v>1798</v>
      </c>
      <c r="F16" s="3029"/>
      <c r="G16" s="3030"/>
      <c r="H16" s="3030"/>
      <c r="I16" s="3031"/>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32" t="s">
        <v>1802</v>
      </c>
      <c r="F17" s="3033"/>
      <c r="G17" s="3033"/>
      <c r="H17" s="3033"/>
      <c r="I17" s="3034"/>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35" t="s">
        <v>1805</v>
      </c>
      <c r="F18" s="3036"/>
      <c r="G18" s="3036"/>
      <c r="H18" s="3036"/>
      <c r="I18" s="3037"/>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22" t="s">
        <v>1810</v>
      </c>
      <c r="C20" s="3023"/>
      <c r="D20" s="3024" t="s">
        <v>1811</v>
      </c>
      <c r="E20" s="3025"/>
      <c r="F20" s="2091" t="s">
        <v>1812</v>
      </c>
      <c r="G20" s="2037"/>
      <c r="H20" s="2037"/>
      <c r="I20" s="2037"/>
      <c r="J20" s="2037"/>
      <c r="K20" s="3021"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39"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39"/>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39"/>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0"/>
      <c r="B30" s="2030" t="s">
        <v>1826</v>
      </c>
      <c r="C30" s="3041"/>
      <c r="D30" s="3042"/>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3"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4"/>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4"/>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38" t="s">
        <v>1836</v>
      </c>
      <c r="T34" s="2128" t="str">
        <f>NUMBERSTRING(7-K34,1)&amp;"通"</f>
        <v>五通</v>
      </c>
      <c r="U34" s="2024"/>
      <c r="V34" s="2024"/>
    </row>
    <row r="35" spans="1:22" ht="18" customHeight="1">
      <c r="A35" s="2129"/>
      <c r="B35" s="3045" t="s">
        <v>1837</v>
      </c>
      <c r="C35" s="3045"/>
      <c r="D35" s="3045"/>
      <c r="E35" s="3045"/>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8"/>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57" t="s">
        <v>1933</v>
      </c>
      <c r="B2" s="3057"/>
      <c r="C2" s="3057"/>
      <c r="D2" s="967" t="s">
        <v>1909</v>
      </c>
      <c r="E2" s="2221" t="s">
        <v>1910</v>
      </c>
      <c r="F2" s="1392"/>
      <c r="G2" s="2222"/>
      <c r="H2" s="2223"/>
      <c r="I2" s="2224" t="s">
        <v>1934</v>
      </c>
      <c r="J2" s="1392"/>
      <c r="K2" s="1392"/>
      <c r="L2" s="1392"/>
      <c r="M2" s="1392"/>
      <c r="N2" s="1427"/>
      <c r="O2" s="1392"/>
      <c r="P2" s="1392"/>
    </row>
    <row r="3" spans="1:16" ht="15.75" thickBot="1">
      <c r="A3" s="3058" t="s">
        <v>1907</v>
      </c>
      <c r="B3" s="3058"/>
      <c r="C3" s="3058"/>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59"/>
      <c r="B4" s="3060"/>
      <c r="C4" s="3061"/>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2" t="s">
        <v>1912</v>
      </c>
      <c r="C5" s="3062"/>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2" t="s">
        <v>1913</v>
      </c>
      <c r="C6" s="3062"/>
      <c r="D6" s="48">
        <f>ROUND($D$3*E6/$E$3,2)</f>
        <v>0</v>
      </c>
      <c r="E6" s="49">
        <f>E3-E5</f>
        <v>1141.77</v>
      </c>
      <c r="F6" s="1392"/>
      <c r="G6" s="2229" t="s">
        <v>1914</v>
      </c>
      <c r="H6" s="1399" t="s">
        <v>1915</v>
      </c>
      <c r="I6" s="939" t="e">
        <f>ROUND(F31/D31,2)</f>
        <v>#DIV/0!</v>
      </c>
      <c r="J6" s="1392"/>
      <c r="K6" s="1392"/>
      <c r="L6" s="1392"/>
      <c r="M6" s="1392"/>
      <c r="N6" s="1392"/>
      <c r="O6" s="1392"/>
      <c r="P6" s="1392"/>
    </row>
    <row r="7" spans="1:16" ht="15">
      <c r="A7" s="3054"/>
      <c r="B7" s="3055"/>
      <c r="C7" s="3056"/>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1" t="s">
        <v>1937</v>
      </c>
      <c r="L16" s="3052"/>
      <c r="M16" s="3052"/>
      <c r="N16" s="3052"/>
      <c r="O16" s="3052"/>
      <c r="P16" s="3053"/>
    </row>
    <row r="17" spans="1:19" ht="15">
      <c r="A17" s="2236" t="s">
        <v>1938</v>
      </c>
      <c r="B17" s="2237" t="s">
        <v>1939</v>
      </c>
      <c r="C17" s="2238" t="s">
        <v>1940</v>
      </c>
      <c r="D17" s="2239" t="s">
        <v>1928</v>
      </c>
      <c r="E17" s="2240" t="s">
        <v>1929</v>
      </c>
      <c r="F17" s="2241"/>
      <c r="G17" s="2242"/>
      <c r="H17" s="2243" t="s">
        <v>1941</v>
      </c>
      <c r="I17" s="2244" t="s">
        <v>1926</v>
      </c>
      <c r="J17" s="1392"/>
      <c r="K17" s="3048" t="s">
        <v>1942</v>
      </c>
      <c r="L17" s="3049"/>
      <c r="M17" s="3050"/>
      <c r="N17" s="3048" t="s">
        <v>1943</v>
      </c>
      <c r="O17" s="3049"/>
      <c r="P17" s="3050"/>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8.3000000000000007</v>
      </c>
      <c r="V6" s="79">
        <v>0.02</v>
      </c>
      <c r="W6" s="79">
        <v>0.1</v>
      </c>
      <c r="X6" s="1261"/>
      <c r="Y6" s="80">
        <f>N6</f>
        <v>0.76</v>
      </c>
      <c r="Z6" s="81"/>
      <c r="AA6" s="74"/>
      <c r="AB6" s="74"/>
      <c r="AC6" s="1261"/>
      <c r="AD6" s="82"/>
      <c r="AE6" s="1262">
        <f ca="1">IF(AN6="",0,SUMIF(INDIRECT("'"&amp;AN6&amp;"'"&amp;"!E:E"),$AE$5,INDIRECT("'"&amp;AN6&amp;"'"&amp;"!F:F")))</f>
        <v>35.32</v>
      </c>
      <c r="AF6" s="1799"/>
      <c r="AG6" s="147">
        <f>IF(AF6="",0,AE6-AF6)</f>
        <v>0</v>
      </c>
      <c r="AH6" s="83"/>
      <c r="AI6" s="85">
        <v>365</v>
      </c>
      <c r="AJ6" s="86"/>
      <c r="AK6" s="87">
        <v>0.02</v>
      </c>
      <c r="AL6" s="88">
        <v>3.0000000000000001E-3</v>
      </c>
      <c r="AM6" s="89">
        <v>0.03</v>
      </c>
      <c r="AN6" s="2303" t="s">
        <v>3100</v>
      </c>
      <c r="AO6" s="55">
        <f ca="1">SUMIF(INDIRECT("'"&amp;AN6&amp;"'"&amp;"!A:A"),"总价",INDIRECT("'"&amp;AN6&amp;"'"&amp;"!B:B"))</f>
        <v>478</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0.76</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0.76</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0.03</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0.03</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3" t="s">
        <v>2078</v>
      </c>
      <c r="B1" s="3064"/>
      <c r="C1" s="3064"/>
      <c r="D1" s="3064"/>
      <c r="E1" s="3064"/>
      <c r="F1" s="3064"/>
      <c r="G1" s="306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5365</v>
      </c>
      <c r="C5" s="1738">
        <f ca="1">ROUND(B5*10000/$B$1,0)</f>
        <v>46988</v>
      </c>
      <c r="D5" s="1738" t="e">
        <f ca="1">ROUND(B5*10000/$B$2,0)</f>
        <v>#DIV/0!</v>
      </c>
      <c r="E5" s="1737"/>
      <c r="F5" s="1735"/>
      <c r="G5" s="1735"/>
    </row>
    <row r="6" spans="1:10" ht="16.5">
      <c r="A6" s="1738" t="s">
        <v>1352</v>
      </c>
      <c r="B6" s="1738">
        <f ca="1">SUM(G14:G23)</f>
        <v>5365</v>
      </c>
      <c r="C6" s="1738">
        <f ca="1">ROUND(B6*10000/$B$1,0)</f>
        <v>46988</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483</v>
      </c>
      <c r="E14" s="1736">
        <f ca="1">ROUND(D14*10000/B14,0)</f>
        <v>4230</v>
      </c>
      <c r="F14" s="1736" t="e">
        <f ca="1">ROUND(D14*10000/C14,0)</f>
        <v>#DIV/0!</v>
      </c>
      <c r="G14" s="1736">
        <f ca="1">结果表!D122</f>
        <v>483</v>
      </c>
      <c r="H14" s="1736" t="str">
        <f>结果表!D124</f>
        <v>——</v>
      </c>
      <c r="I14" s="1736" t="str">
        <f>结果表!D126</f>
        <v>——</v>
      </c>
      <c r="J14" s="1735"/>
    </row>
    <row r="15" spans="1:10" ht="16.5">
      <c r="A15" s="1734" t="s">
        <v>1345</v>
      </c>
      <c r="B15" s="1741"/>
      <c r="C15" s="1741"/>
      <c r="D15" s="1741">
        <f ca="1">SUM(典型户型修正!S25:S32)</f>
        <v>4882</v>
      </c>
      <c r="E15" s="1736" t="e">
        <f t="shared" ref="E15:E23" ca="1" si="0">ROUND(D15*10000/B15,0)</f>
        <v>#DIV/0!</v>
      </c>
      <c r="F15" s="1736" t="e">
        <f t="shared" ref="F15:F23" ca="1" si="1">ROUND(D15*10000/C15,0)</f>
        <v>#DIV/0!</v>
      </c>
      <c r="G15" s="1742">
        <f ca="1">D15</f>
        <v>4882</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137" t="str">
        <f>项目基本情况!S2</f>
        <v>北京市西城区西直门外大街1号院2号楼17层19C5-19C13房地产</v>
      </c>
      <c r="B2" s="3138"/>
      <c r="C2" s="3138"/>
      <c r="D2" s="3138"/>
      <c r="E2" s="3138"/>
      <c r="F2" s="3138"/>
      <c r="G2" s="3138"/>
      <c r="H2" s="3138"/>
      <c r="I2" s="3139"/>
    </row>
    <row r="3" spans="1:12" ht="12.75">
      <c r="A3" s="3140" t="s">
        <v>2117</v>
      </c>
      <c r="B3" s="3141"/>
      <c r="C3" s="3141"/>
      <c r="D3" s="3141"/>
      <c r="E3" s="3141"/>
      <c r="F3" s="3141"/>
      <c r="G3" s="3141"/>
      <c r="H3" s="3141"/>
      <c r="I3" s="3141"/>
    </row>
    <row r="4" spans="1:12" ht="14.25">
      <c r="A4" s="2420" t="s">
        <v>2118</v>
      </c>
      <c r="B4" s="2421" t="s">
        <v>2119</v>
      </c>
      <c r="C4" s="2422" t="s">
        <v>3149</v>
      </c>
      <c r="D4" s="2422" t="s">
        <v>3100</v>
      </c>
      <c r="E4" s="3121" t="s">
        <v>2120</v>
      </c>
      <c r="F4" s="3134"/>
      <c r="G4" s="3134"/>
      <c r="H4" s="3134"/>
      <c r="I4" s="3122"/>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2121</v>
      </c>
      <c r="B5" s="3038">
        <v>25</v>
      </c>
      <c r="C5" s="3142"/>
      <c r="D5" s="3130"/>
      <c r="E5" s="140" t="s">
        <v>2122</v>
      </c>
      <c r="F5" s="2424"/>
      <c r="G5" s="2424"/>
      <c r="H5" s="2424"/>
      <c r="I5" s="1826"/>
    </row>
    <row r="6" spans="1:12" ht="12.75">
      <c r="A6" s="3112"/>
      <c r="B6" s="3038"/>
      <c r="C6" s="3144"/>
      <c r="D6" s="3130"/>
      <c r="E6" s="140" t="s">
        <v>2123</v>
      </c>
      <c r="F6" s="2424"/>
      <c r="G6" s="2424"/>
      <c r="H6" s="2424"/>
      <c r="I6" s="1826"/>
    </row>
    <row r="7" spans="1:12" ht="12.75">
      <c r="A7" s="3112"/>
      <c r="B7" s="3038"/>
      <c r="C7" s="3143"/>
      <c r="D7" s="3130"/>
      <c r="E7" s="140" t="s">
        <v>2124</v>
      </c>
      <c r="F7" s="2424"/>
      <c r="G7" s="2424"/>
      <c r="H7" s="2424"/>
      <c r="I7" s="1826"/>
    </row>
    <row r="8" spans="1:12" ht="12.75">
      <c r="A8" s="3112" t="s">
        <v>2125</v>
      </c>
      <c r="B8" s="3038">
        <v>15</v>
      </c>
      <c r="C8" s="3142"/>
      <c r="D8" s="3130"/>
      <c r="E8" s="140" t="s">
        <v>2126</v>
      </c>
      <c r="F8" s="2424"/>
      <c r="G8" s="2424"/>
      <c r="H8" s="2424"/>
      <c r="I8" s="1826"/>
    </row>
    <row r="9" spans="1:12" ht="12.75">
      <c r="A9" s="3112"/>
      <c r="B9" s="3038"/>
      <c r="C9" s="3143"/>
      <c r="D9" s="3130"/>
      <c r="E9" s="140" t="s">
        <v>2127</v>
      </c>
      <c r="F9" s="2424"/>
      <c r="G9" s="2424"/>
      <c r="H9" s="2424"/>
      <c r="I9" s="1826"/>
    </row>
    <row r="10" spans="1:12" ht="12.75">
      <c r="A10" s="3112" t="s">
        <v>2128</v>
      </c>
      <c r="B10" s="3038">
        <v>15</v>
      </c>
      <c r="C10" s="3142"/>
      <c r="D10" s="3130"/>
      <c r="E10" s="140" t="s">
        <v>2129</v>
      </c>
      <c r="F10" s="2424"/>
      <c r="G10" s="2424"/>
      <c r="H10" s="2424"/>
      <c r="I10" s="1826"/>
    </row>
    <row r="11" spans="1:12" ht="12.75">
      <c r="A11" s="3112"/>
      <c r="B11" s="3038"/>
      <c r="C11" s="3143"/>
      <c r="D11" s="3130"/>
      <c r="E11" s="140" t="s">
        <v>2130</v>
      </c>
      <c r="F11" s="2424"/>
      <c r="G11" s="2424"/>
      <c r="H11" s="2424"/>
      <c r="I11" s="1826"/>
    </row>
    <row r="12" spans="1:12" ht="12.75">
      <c r="A12" s="3112" t="s">
        <v>2131</v>
      </c>
      <c r="B12" s="3038">
        <v>15</v>
      </c>
      <c r="C12" s="3142"/>
      <c r="D12" s="3130"/>
      <c r="E12" s="140" t="s">
        <v>2132</v>
      </c>
      <c r="F12" s="2424"/>
      <c r="G12" s="2424"/>
      <c r="H12" s="2424"/>
      <c r="I12" s="1826"/>
    </row>
    <row r="13" spans="1:12" ht="12.75">
      <c r="A13" s="3112"/>
      <c r="B13" s="3038"/>
      <c r="C13" s="3143"/>
      <c r="D13" s="3130"/>
      <c r="E13" s="140" t="s">
        <v>2133</v>
      </c>
      <c r="F13" s="2424"/>
      <c r="G13" s="2424"/>
      <c r="H13" s="2424"/>
      <c r="I13" s="1826"/>
    </row>
    <row r="14" spans="1:12" ht="12.75">
      <c r="A14" s="3112" t="s">
        <v>2134</v>
      </c>
      <c r="B14" s="3038">
        <v>30</v>
      </c>
      <c r="C14" s="3142">
        <v>5</v>
      </c>
      <c r="D14" s="3130">
        <v>5</v>
      </c>
      <c r="E14" s="140" t="s">
        <v>2135</v>
      </c>
      <c r="F14" s="2424"/>
      <c r="G14" s="2424"/>
      <c r="H14" s="2424"/>
      <c r="I14" s="1826"/>
    </row>
    <row r="15" spans="1:12" ht="12.75">
      <c r="A15" s="3112"/>
      <c r="B15" s="3038"/>
      <c r="C15" s="3144"/>
      <c r="D15" s="3130"/>
      <c r="E15" s="140" t="s">
        <v>2136</v>
      </c>
      <c r="F15" s="2424"/>
      <c r="G15" s="2424"/>
      <c r="H15" s="2424"/>
      <c r="I15" s="1826"/>
    </row>
    <row r="16" spans="1:12" ht="12.75">
      <c r="A16" s="3112"/>
      <c r="B16" s="3038"/>
      <c r="C16" s="3143"/>
      <c r="D16" s="3130"/>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478</v>
      </c>
      <c r="E19" s="2429" t="s">
        <v>2145</v>
      </c>
      <c r="F19" s="2430" t="s">
        <v>2144</v>
      </c>
      <c r="G19" s="145">
        <f ca="1">ROUND(C19*$C$18+D19*$D$18,0)</f>
        <v>483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46170</v>
      </c>
      <c r="E20" s="2432"/>
      <c r="F20" s="1247" t="s">
        <v>2148</v>
      </c>
      <c r="G20" s="148">
        <f ca="1">ROUND(C20*$C$18+D20*$D$18,0)</f>
        <v>46647</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2.0920502092050208E-2</v>
      </c>
      <c r="E22" s="138"/>
      <c r="F22" s="138"/>
      <c r="G22" s="138"/>
      <c r="H22" s="138"/>
      <c r="I22" s="138"/>
    </row>
    <row r="23" spans="1:35" ht="13.5" thickBot="1">
      <c r="A23" s="2413"/>
      <c r="B23" s="2413"/>
      <c r="C23" s="2413"/>
      <c r="D23" s="2413"/>
      <c r="E23" s="138"/>
      <c r="F23" s="138"/>
      <c r="G23" s="138"/>
      <c r="H23" s="138"/>
      <c r="I23" s="138"/>
    </row>
    <row r="24" spans="1:35" ht="14.25">
      <c r="A24" s="3151" t="s">
        <v>2152</v>
      </c>
      <c r="B24" s="2430" t="s">
        <v>2144</v>
      </c>
      <c r="C24" s="145">
        <f>IF(B30=0,0,D30)</f>
        <v>0</v>
      </c>
      <c r="D24" s="2437"/>
      <c r="E24" s="138"/>
      <c r="F24" s="138"/>
      <c r="G24" s="138"/>
      <c r="H24" s="138"/>
      <c r="I24" s="138"/>
    </row>
    <row r="25" spans="1:35" ht="14.25">
      <c r="A25" s="3152"/>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483</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131" t="s">
        <v>2166</v>
      </c>
      <c r="B36" s="2456" t="s">
        <v>2167</v>
      </c>
      <c r="C36" s="154"/>
      <c r="D36" s="2457"/>
      <c r="E36" s="2458"/>
      <c r="F36" s="2459"/>
      <c r="G36" s="138"/>
      <c r="H36" s="138"/>
      <c r="I36" s="138"/>
    </row>
    <row r="37" spans="1:15" ht="15.75" thickBot="1">
      <c r="A37" s="3132"/>
      <c r="B37" s="2261" t="s">
        <v>2168</v>
      </c>
      <c r="C37" s="156"/>
      <c r="D37" s="1392"/>
      <c r="E37" s="1392"/>
      <c r="F37" s="2459"/>
      <c r="G37" s="138"/>
      <c r="H37" s="138"/>
      <c r="I37" s="138"/>
    </row>
    <row r="38" spans="1:15" ht="15.75" thickBot="1">
      <c r="A38" s="3133"/>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148" t="s">
        <v>2180</v>
      </c>
      <c r="B45" s="3149"/>
      <c r="C45" s="3150"/>
      <c r="D45" s="164">
        <f ca="1">ROUND(H101*F45,0)</f>
        <v>483</v>
      </c>
      <c r="E45" s="165" t="s">
        <v>2181</v>
      </c>
      <c r="F45" s="166">
        <v>1</v>
      </c>
      <c r="G45" s="167" t="s">
        <v>2182</v>
      </c>
      <c r="H45" s="138"/>
      <c r="I45" s="138"/>
      <c r="J45" s="3067" t="s">
        <v>2183</v>
      </c>
      <c r="K45" s="3067"/>
      <c r="L45" s="3067"/>
      <c r="M45" s="3067"/>
      <c r="N45" s="3067"/>
      <c r="O45" s="3067"/>
    </row>
    <row r="46" spans="1:15" ht="14.25" customHeight="1">
      <c r="A46" s="3145" t="s">
        <v>2184</v>
      </c>
      <c r="B46" s="3146"/>
      <c r="C46" s="3146"/>
      <c r="D46" s="3146"/>
      <c r="E46" s="3146"/>
      <c r="F46" s="3146"/>
      <c r="G46" s="3147"/>
      <c r="H46" s="2475"/>
      <c r="I46" s="168"/>
      <c r="J46" s="1804">
        <v>1</v>
      </c>
      <c r="K46" s="3067" t="s">
        <v>2185</v>
      </c>
      <c r="L46" s="3067"/>
      <c r="M46" s="3068"/>
      <c r="N46" s="3068"/>
      <c r="O46" s="3068"/>
    </row>
    <row r="47" spans="1:15" ht="12" customHeight="1">
      <c r="A47" s="169" t="s">
        <v>2186</v>
      </c>
      <c r="B47" s="170"/>
      <c r="C47" s="171"/>
      <c r="D47" s="172" t="s">
        <v>2187</v>
      </c>
      <c r="E47" s="24" t="s">
        <v>2188</v>
      </c>
      <c r="F47" s="173" t="s">
        <v>2189</v>
      </c>
      <c r="G47" s="174" t="s">
        <v>2190</v>
      </c>
      <c r="H47" s="2475"/>
      <c r="I47" s="168"/>
      <c r="J47" s="1804">
        <v>2</v>
      </c>
      <c r="K47" s="3067" t="s">
        <v>2191</v>
      </c>
      <c r="L47" s="3067"/>
      <c r="M47" s="3069">
        <f>'数据-取费表'!B2</f>
        <v>43592</v>
      </c>
      <c r="N47" s="3069"/>
      <c r="O47" s="3069"/>
    </row>
    <row r="48" spans="1:15" ht="25.5">
      <c r="A48" s="3135" t="s">
        <v>2192</v>
      </c>
      <c r="B48" s="3136"/>
      <c r="C48" s="3136"/>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067" t="s">
        <v>2195</v>
      </c>
      <c r="L48" s="3067"/>
      <c r="M48" s="3070">
        <f ca="1">H101</f>
        <v>483</v>
      </c>
      <c r="N48" s="3070"/>
      <c r="O48" s="3070"/>
    </row>
    <row r="49" spans="1:35" ht="25.5" customHeight="1">
      <c r="A49" s="176" t="s">
        <v>2196</v>
      </c>
      <c r="B49" s="3115" t="s">
        <v>2197</v>
      </c>
      <c r="C49" s="3115"/>
      <c r="D49" s="177">
        <v>0</v>
      </c>
      <c r="E49" s="23" t="s">
        <v>2198</v>
      </c>
      <c r="F49" s="28" t="s">
        <v>34</v>
      </c>
      <c r="G49" s="3096"/>
      <c r="H49" s="138"/>
      <c r="I49" s="2478"/>
      <c r="J49" s="1804">
        <v>4</v>
      </c>
      <c r="K49" s="3067" t="str">
        <f>IF(项目基本情况!E8="房地产抵押价值","房地产抵押价值","抵押担保权已注销时的房地产抵押价值")</f>
        <v>抵押担保权已注销时的房地产抵押价值</v>
      </c>
      <c r="L49" s="3067"/>
      <c r="M49" s="3070" t="str">
        <f>IF(项目基本情况!E8="房地产抵押价值",H107,H109)</f>
        <v>——</v>
      </c>
      <c r="N49" s="3070"/>
      <c r="O49" s="3070"/>
    </row>
    <row r="50" spans="1:35" ht="25.5" customHeight="1">
      <c r="A50" s="178"/>
      <c r="B50" s="3115" t="s">
        <v>2199</v>
      </c>
      <c r="C50" s="3115"/>
      <c r="D50" s="179"/>
      <c r="E50" s="31"/>
      <c r="F50" s="180"/>
      <c r="G50" s="3097"/>
      <c r="H50" s="138"/>
      <c r="I50" s="2478"/>
      <c r="J50" s="3067" t="s">
        <v>2200</v>
      </c>
      <c r="K50" s="3067"/>
      <c r="L50" s="3067"/>
      <c r="M50" s="3067"/>
      <c r="N50" s="3067"/>
      <c r="O50" s="3067"/>
    </row>
    <row r="51" spans="1:35" ht="12" customHeight="1">
      <c r="A51" s="181"/>
      <c r="B51" s="3115" t="s">
        <v>2201</v>
      </c>
      <c r="C51" s="3115"/>
      <c r="D51" s="182"/>
      <c r="E51" s="30"/>
      <c r="F51" s="180"/>
      <c r="G51" s="3098"/>
      <c r="H51" s="138"/>
      <c r="I51" s="2478"/>
      <c r="J51" s="2479" t="s">
        <v>2202</v>
      </c>
      <c r="K51" s="3067" t="s">
        <v>2203</v>
      </c>
      <c r="L51" s="3067"/>
      <c r="M51" s="2479" t="s">
        <v>2204</v>
      </c>
      <c r="N51" s="2479" t="s">
        <v>2205</v>
      </c>
      <c r="O51" s="2479" t="s">
        <v>2206</v>
      </c>
    </row>
    <row r="52" spans="1:35" ht="24" customHeight="1">
      <c r="A52" s="183" t="s">
        <v>2207</v>
      </c>
      <c r="B52" s="3115" t="s">
        <v>2208</v>
      </c>
      <c r="C52" s="3115"/>
      <c r="D52" s="182">
        <f ca="1">ROUND(D45*'数据-取费表'!B41/(1+'数据-取费表'!C42),0)</f>
        <v>26</v>
      </c>
      <c r="E52" s="11" t="s">
        <v>2209</v>
      </c>
      <c r="F52" s="184">
        <f>'数据-取费表'!B41</f>
        <v>5.6000000000000001E-2</v>
      </c>
      <c r="G52" s="2480"/>
      <c r="H52" s="138"/>
      <c r="I52" s="2478"/>
      <c r="J52" s="1804">
        <v>1</v>
      </c>
      <c r="K52" s="3090" t="s">
        <v>2210</v>
      </c>
      <c r="L52" s="3090"/>
      <c r="M52" s="1746">
        <f>D48</f>
        <v>0</v>
      </c>
      <c r="N52" s="1804" t="str">
        <f>E48</f>
        <v>销售额×税（费）率</v>
      </c>
      <c r="O52" s="1747" t="str">
        <f>F48</f>
        <v>免征</v>
      </c>
    </row>
    <row r="53" spans="1:35" ht="12" customHeight="1">
      <c r="A53" s="183" t="s">
        <v>2211</v>
      </c>
      <c r="B53" s="3116" t="s">
        <v>2212</v>
      </c>
      <c r="C53" s="3117"/>
      <c r="D53" s="182">
        <f ca="1">ROUND(D45*'数据-取费表'!B41/(1+'数据-取费表'!C42),0)</f>
        <v>26</v>
      </c>
      <c r="E53" s="11" t="s">
        <v>2209</v>
      </c>
      <c r="F53" s="184">
        <f>'数据-取费表'!B41</f>
        <v>5.6000000000000001E-2</v>
      </c>
      <c r="G53" s="2480"/>
      <c r="H53" s="138"/>
      <c r="I53" s="2478"/>
      <c r="J53" s="1804">
        <v>2</v>
      </c>
      <c r="K53" s="3090" t="s">
        <v>2213</v>
      </c>
      <c r="L53" s="3090"/>
      <c r="M53" s="1746">
        <f t="shared" ref="M53:O54" ca="1" si="0">D55</f>
        <v>0</v>
      </c>
      <c r="N53" s="1804" t="str">
        <f t="shared" si="0"/>
        <v>销售额×税（费）率</v>
      </c>
      <c r="O53" s="1747">
        <f t="shared" si="0"/>
        <v>5.0000000000000001E-4</v>
      </c>
    </row>
    <row r="54" spans="1:35" ht="12" customHeight="1">
      <c r="A54" s="183" t="s">
        <v>2214</v>
      </c>
      <c r="B54" s="3116" t="s">
        <v>2215</v>
      </c>
      <c r="C54" s="3117"/>
      <c r="D54" s="182">
        <f ca="1">C68</f>
        <v>26</v>
      </c>
      <c r="E54" s="30" t="s">
        <v>2216</v>
      </c>
      <c r="F54" s="184">
        <f>'数据-取费表'!B41</f>
        <v>5.6000000000000001E-2</v>
      </c>
      <c r="G54" s="2480"/>
      <c r="H54" s="2481"/>
      <c r="I54" s="2478"/>
      <c r="J54" s="1804">
        <v>3</v>
      </c>
      <c r="K54" s="3090" t="s">
        <v>2217</v>
      </c>
      <c r="L54" s="3090"/>
      <c r="M54" s="1746">
        <f t="shared" ca="1" si="0"/>
        <v>273</v>
      </c>
      <c r="N54" s="1804" t="str">
        <f t="shared" si="0"/>
        <v>增值额×税（费）率</v>
      </c>
      <c r="O54" s="1748" t="str">
        <f t="shared" si="0"/>
        <v>——</v>
      </c>
    </row>
    <row r="55" spans="1:35" ht="24" customHeight="1">
      <c r="A55" s="3154" t="s">
        <v>2218</v>
      </c>
      <c r="B55" s="3136"/>
      <c r="C55" s="3136"/>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090" t="str">
        <f>IF(H59="非个人房产","——","个人所得税")</f>
        <v>——</v>
      </c>
      <c r="L55" s="3090"/>
      <c r="M55" s="1749" t="str">
        <f>D59</f>
        <v>——</v>
      </c>
      <c r="N55" s="1802" t="str">
        <f>E59</f>
        <v>——</v>
      </c>
      <c r="O55" s="1750" t="str">
        <f>F59</f>
        <v>——</v>
      </c>
    </row>
    <row r="56" spans="1:35" ht="24.75">
      <c r="A56" s="3154" t="s">
        <v>2221</v>
      </c>
      <c r="B56" s="3136"/>
      <c r="C56" s="3136"/>
      <c r="D56" s="185">
        <f ca="1">IF(H56="个人住宅",D57,D58)</f>
        <v>273</v>
      </c>
      <c r="E56" s="11" t="s">
        <v>2222</v>
      </c>
      <c r="F56" s="184" t="str">
        <f>IF(H56="正常",F58,"免征")</f>
        <v>——</v>
      </c>
      <c r="G56" s="2482" t="s">
        <v>2223</v>
      </c>
      <c r="H56" s="2483" t="s">
        <v>2220</v>
      </c>
      <c r="I56" s="2484"/>
      <c r="J56" s="1804" t="str">
        <f>IF(项目基本情况!K6="上海银行",IF(J55="",4,J55+1),"")</f>
        <v/>
      </c>
      <c r="K56" s="3073" t="str">
        <f>IF(项目基本情况!K6="上海银行","其他处置费用","")</f>
        <v/>
      </c>
      <c r="L56" s="3074"/>
      <c r="M56" s="1746" t="str">
        <f>IF(项目基本情况!K6="上海银行",M69,"")</f>
        <v/>
      </c>
      <c r="N56" s="3076" t="str">
        <f>IF(项目基本情况!K6="上海银行","包含处置中涉及的律师、诉讼、拍卖、评估等费用","")</f>
        <v/>
      </c>
      <c r="O56" s="3077"/>
    </row>
    <row r="57" spans="1:35" ht="12.75">
      <c r="A57" s="183" t="s">
        <v>2196</v>
      </c>
      <c r="B57" s="3121" t="s">
        <v>2224</v>
      </c>
      <c r="C57" s="3122"/>
      <c r="D57" s="187">
        <v>0</v>
      </c>
      <c r="E57" s="23" t="s">
        <v>2198</v>
      </c>
      <c r="F57" s="155"/>
      <c r="G57" s="2480"/>
      <c r="H57" s="2484"/>
      <c r="I57" s="2484"/>
      <c r="J57" s="3090">
        <f>IF(AND(J55="",J56=""),4,IF(项目基本情况!K6="上海银行",结果表!J56+1,结果表!J55+1))</f>
        <v>4</v>
      </c>
      <c r="K57" s="3090" t="s">
        <v>2225</v>
      </c>
      <c r="L57" s="2485" t="s">
        <v>2226</v>
      </c>
      <c r="M57" s="1751"/>
      <c r="N57" s="1752">
        <f ca="1">SUMIF(M52:M56,"&lt;9e307")</f>
        <v>273</v>
      </c>
      <c r="O57" s="2486"/>
      <c r="P57" s="1745" t="e">
        <f ca="1">N57/M49</f>
        <v>#VALUE!</v>
      </c>
    </row>
    <row r="58" spans="1:35" ht="24.75">
      <c r="A58" s="183" t="s">
        <v>2207</v>
      </c>
      <c r="B58" s="3121" t="s">
        <v>2227</v>
      </c>
      <c r="C58" s="3134"/>
      <c r="D58" s="185">
        <f ca="1">IF(H58="转让取得",C81,C97)</f>
        <v>273</v>
      </c>
      <c r="E58" s="11" t="s">
        <v>2222</v>
      </c>
      <c r="F58" s="24" t="s">
        <v>34</v>
      </c>
      <c r="G58" s="2480"/>
      <c r="H58" s="2483" t="s">
        <v>2228</v>
      </c>
      <c r="I58" s="2484"/>
      <c r="J58" s="3090"/>
      <c r="K58" s="3090"/>
      <c r="L58" s="2485" t="s">
        <v>2229</v>
      </c>
      <c r="M58" s="1753"/>
      <c r="N58" s="2487" t="str">
        <f ca="1">NUMBERSTRING(INT(N57*10000),2)&amp;"元整"</f>
        <v>贰佰柒拾叁万元整</v>
      </c>
      <c r="O58" s="2488"/>
    </row>
    <row r="59" spans="1:35" ht="24.75" thickBot="1">
      <c r="A59" s="3094" t="s">
        <v>2230</v>
      </c>
      <c r="B59" s="3095"/>
      <c r="C59" s="3095"/>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092">
        <f>J57+1</f>
        <v>5</v>
      </c>
      <c r="K59" s="3090" t="s">
        <v>2232</v>
      </c>
      <c r="L59" s="1804" t="s">
        <v>2226</v>
      </c>
      <c r="M59" s="1754"/>
      <c r="N59" s="1755" t="e">
        <f ca="1">M49-N57</f>
        <v>#VALUE!</v>
      </c>
      <c r="O59" s="2490"/>
    </row>
    <row r="60" spans="1:35" ht="12" customHeight="1">
      <c r="A60" s="2491"/>
      <c r="B60" s="2413"/>
      <c r="C60" s="2413"/>
      <c r="D60" s="2413"/>
      <c r="E60" s="2160"/>
      <c r="F60" s="2484"/>
      <c r="G60" s="2484"/>
      <c r="H60" s="2492"/>
      <c r="I60" s="138"/>
      <c r="J60" s="3093"/>
      <c r="K60" s="3090"/>
      <c r="L60" s="2485" t="s">
        <v>2229</v>
      </c>
      <c r="M60" s="1753"/>
      <c r="N60" s="2487" t="e">
        <f ca="1">NUMBERSTRING(INT(N59*10000),2)&amp;"元整"</f>
        <v>#VALUE!</v>
      </c>
      <c r="O60" s="2488"/>
    </row>
    <row r="61" spans="1:35" ht="13.5" thickBot="1">
      <c r="A61" s="3153" t="s">
        <v>2233</v>
      </c>
      <c r="B61" s="3153"/>
      <c r="C61" s="3153"/>
      <c r="D61" s="3153"/>
      <c r="E61" s="3153"/>
      <c r="F61" s="2484"/>
      <c r="G61" s="2484"/>
      <c r="H61" s="2492"/>
      <c r="I61" s="138"/>
      <c r="J61" s="1804">
        <f>J59+1</f>
        <v>6</v>
      </c>
      <c r="K61" s="3090" t="s">
        <v>2234</v>
      </c>
      <c r="L61" s="3090"/>
      <c r="M61" s="1756"/>
      <c r="N61" s="1757" t="e">
        <f ca="1">ROUND(N59*10000/'数据-汇总表'!E3,0)</f>
        <v>#VALUE!</v>
      </c>
      <c r="O61" s="2493"/>
    </row>
    <row r="62" spans="1:35" ht="12.75">
      <c r="A62" s="3110" t="s">
        <v>2235</v>
      </c>
      <c r="B62" s="3111"/>
      <c r="C62" s="1796"/>
      <c r="D62" s="1796" t="s">
        <v>2236</v>
      </c>
      <c r="E62" s="192" t="s">
        <v>2237</v>
      </c>
      <c r="F62" s="2484"/>
      <c r="G62" s="2484"/>
      <c r="H62" s="2492"/>
      <c r="I62" s="138"/>
    </row>
    <row r="63" spans="1:35" ht="12.75">
      <c r="A63" s="203" t="s">
        <v>775</v>
      </c>
      <c r="B63" s="193" t="s">
        <v>2238</v>
      </c>
      <c r="C63" s="194">
        <f ca="1">ROUND((C64+C65)/(1+'数据-取费表'!C42),0)</f>
        <v>460</v>
      </c>
      <c r="D63" s="195"/>
      <c r="E63" s="196"/>
      <c r="F63" s="2484"/>
      <c r="G63" s="2484"/>
      <c r="H63" s="2492"/>
      <c r="I63" s="138"/>
      <c r="J63" s="3075"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483</v>
      </c>
      <c r="D64" s="200" t="s">
        <v>32</v>
      </c>
      <c r="E64" s="201"/>
      <c r="F64" s="2484"/>
      <c r="G64" s="2484"/>
      <c r="H64" s="2492"/>
      <c r="I64" s="138"/>
      <c r="J64" s="3075"/>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075"/>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075"/>
      <c r="K66" s="2494" t="s">
        <v>2247</v>
      </c>
      <c r="L66" s="1744" t="e">
        <f>M49*0.5%</f>
        <v>#VALUE!</v>
      </c>
      <c r="M66" s="24" t="e">
        <f>IF(L66&gt;0.5,0.5,ROUND(L66,0))</f>
        <v>#VALUE!</v>
      </c>
      <c r="N66" s="138" t="s">
        <v>2248</v>
      </c>
      <c r="Z66" s="2418"/>
      <c r="AI66" s="2419"/>
    </row>
    <row r="67" spans="1:35" ht="14.25" customHeight="1">
      <c r="A67" s="203" t="s">
        <v>773</v>
      </c>
      <c r="B67" s="204" t="s">
        <v>2249</v>
      </c>
      <c r="C67" s="207">
        <f ca="1">C63-C66</f>
        <v>460</v>
      </c>
      <c r="D67" s="200" t="s">
        <v>32</v>
      </c>
      <c r="E67" s="201"/>
      <c r="F67" s="2484"/>
      <c r="G67" s="2484"/>
      <c r="H67" s="2492"/>
      <c r="I67" s="138"/>
      <c r="J67" s="3075"/>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075"/>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075"/>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9" t="s">
        <v>2254</v>
      </c>
      <c r="B70" s="3120"/>
      <c r="C70" s="3120"/>
      <c r="D70" s="3120"/>
      <c r="E70" s="3120"/>
      <c r="F70" s="3120"/>
      <c r="G70" s="3120"/>
      <c r="H70" s="312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0" t="s">
        <v>2235</v>
      </c>
      <c r="B71" s="3111"/>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460</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116" t="s">
        <v>2263</v>
      </c>
      <c r="F76" s="3115"/>
      <c r="G76" s="3115"/>
      <c r="H76" s="311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107" t="s">
        <v>2268</v>
      </c>
      <c r="F78" s="3108"/>
      <c r="G78" s="3108"/>
      <c r="H78" s="310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457</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9" t="s">
        <v>2272</v>
      </c>
      <c r="B83" s="3120"/>
      <c r="C83" s="3120"/>
      <c r="D83" s="3120"/>
      <c r="E83" s="3120"/>
      <c r="F83" s="3120"/>
      <c r="G83" s="3120"/>
      <c r="H83" s="312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0" t="s">
        <v>2235</v>
      </c>
      <c r="B84" s="3111"/>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460</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107" t="s">
        <v>2281</v>
      </c>
      <c r="F91" s="3108"/>
      <c r="G91" s="3108"/>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107" t="s">
        <v>2285</v>
      </c>
      <c r="F92" s="3108"/>
      <c r="G92" s="3108"/>
      <c r="H92" s="310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107" t="s">
        <v>2268</v>
      </c>
      <c r="F93" s="3108"/>
      <c r="G93" s="3108"/>
      <c r="H93" s="310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155" t="s">
        <v>2289</v>
      </c>
      <c r="F94" s="3156"/>
      <c r="G94" s="3156"/>
      <c r="H94" s="31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457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9" t="s">
        <v>2291</v>
      </c>
      <c r="B100" s="3060"/>
      <c r="C100" s="3060"/>
      <c r="D100" s="3091"/>
      <c r="E100" s="3060" t="s">
        <v>2292</v>
      </c>
      <c r="F100" s="3060"/>
      <c r="G100" s="3060"/>
      <c r="H100" s="3091"/>
      <c r="I100" s="138"/>
    </row>
    <row r="101" spans="1:35" ht="18.75" customHeight="1">
      <c r="A101" s="3099" t="s">
        <v>2293</v>
      </c>
      <c r="B101" s="3100"/>
      <c r="C101" s="736" t="str">
        <f>C4</f>
        <v>比较法-办公</v>
      </c>
      <c r="D101" s="737" t="str">
        <f>D4</f>
        <v>收益法</v>
      </c>
      <c r="E101" s="3071" t="s">
        <v>2294</v>
      </c>
      <c r="F101" s="3072"/>
      <c r="G101" s="2515" t="s">
        <v>2295</v>
      </c>
      <c r="H101" s="1045">
        <f ca="1">H118</f>
        <v>483</v>
      </c>
      <c r="I101" s="138"/>
    </row>
    <row r="102" spans="1:35" ht="18.75" customHeight="1">
      <c r="A102" s="3101" t="s">
        <v>2296</v>
      </c>
      <c r="B102" s="2515" t="s">
        <v>2295</v>
      </c>
      <c r="C102" s="736">
        <f ca="1">C19</f>
        <v>488</v>
      </c>
      <c r="D102" s="737">
        <f ca="1">D19</f>
        <v>478</v>
      </c>
      <c r="E102" s="3071"/>
      <c r="F102" s="3072"/>
      <c r="G102" s="2515" t="s">
        <v>2297</v>
      </c>
      <c r="H102" s="371">
        <f ca="1">I118</f>
        <v>4230</v>
      </c>
      <c r="I102" s="138"/>
    </row>
    <row r="103" spans="1:35" ht="42.75" customHeight="1">
      <c r="A103" s="3101"/>
      <c r="B103" s="2515" t="s">
        <v>2297</v>
      </c>
      <c r="C103" s="738">
        <f ca="1">C20</f>
        <v>47123</v>
      </c>
      <c r="D103" s="739">
        <f ca="1">D20</f>
        <v>46170</v>
      </c>
      <c r="E103" s="3065" t="s">
        <v>2298</v>
      </c>
      <c r="F103" s="3066"/>
      <c r="G103" s="2516" t="s">
        <v>2299</v>
      </c>
      <c r="H103" s="1045">
        <f>IF(D36="正常操作",H104+H105+H106,H105+H106)</f>
        <v>0</v>
      </c>
      <c r="I103" s="138"/>
    </row>
    <row r="104" spans="1:35" ht="18.75" customHeight="1">
      <c r="A104" s="3101" t="s">
        <v>2300</v>
      </c>
      <c r="B104" s="2517" t="s">
        <v>2295</v>
      </c>
      <c r="C104" s="740">
        <f ca="1">H118</f>
        <v>483</v>
      </c>
      <c r="D104" s="741"/>
      <c r="E104" s="2261" t="s">
        <v>2301</v>
      </c>
      <c r="F104" s="2252"/>
      <c r="G104" s="2516" t="s">
        <v>2299</v>
      </c>
      <c r="H104" s="1046">
        <f>IF(D36="同一抵押权人同一抵押物续贷",C36&amp;"（未扣减，详见特别提示）",C36)</f>
        <v>0</v>
      </c>
      <c r="I104" s="138"/>
    </row>
    <row r="105" spans="1:35" ht="18.75" customHeight="1" thickBot="1">
      <c r="A105" s="3113"/>
      <c r="B105" s="2518" t="s">
        <v>2297</v>
      </c>
      <c r="C105" s="742">
        <f ca="1">I118</f>
        <v>4230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2" t="str">
        <f>IF(项目基本情况!E8="已注销","——","3.房地产抵押价值")</f>
        <v>3.房地产抵押价值</v>
      </c>
      <c r="F107" s="3072"/>
      <c r="G107" s="2515" t="s">
        <v>2295</v>
      </c>
      <c r="H107" s="1045">
        <f ca="1">IF(E107="——","——",H101-H103)</f>
        <v>483</v>
      </c>
      <c r="I107" s="138"/>
    </row>
    <row r="108" spans="1:35" ht="18.75" customHeight="1">
      <c r="A108" s="138"/>
      <c r="B108" s="138"/>
      <c r="C108" s="138"/>
      <c r="D108" s="138"/>
      <c r="E108" s="3102"/>
      <c r="F108" s="3072"/>
      <c r="G108" s="2515" t="s">
        <v>2297</v>
      </c>
      <c r="H108" s="371">
        <f ca="1">ROUND(H107*10000/'数据-汇总表'!E3,0)</f>
        <v>4230</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15" t="s">
        <v>2295</v>
      </c>
      <c r="H109" s="348" t="str">
        <f>IF(E109="——","——",H101-H105-H106)</f>
        <v>——</v>
      </c>
      <c r="I109" s="138"/>
    </row>
    <row r="110" spans="1:35" ht="18.75" customHeight="1">
      <c r="A110" s="138"/>
      <c r="B110" s="138"/>
      <c r="C110" s="138"/>
      <c r="D110" s="138"/>
      <c r="E110" s="3102"/>
      <c r="F110" s="3072"/>
      <c r="G110" s="2515" t="s">
        <v>2297</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5" t="s">
        <v>2295</v>
      </c>
      <c r="H111" s="1045" t="str">
        <f>IF(E111="——","——",N59)</f>
        <v>——</v>
      </c>
      <c r="I111" s="138"/>
    </row>
    <row r="112" spans="1:35" ht="18.75" customHeight="1" thickBot="1">
      <c r="A112" s="138"/>
      <c r="B112" s="138"/>
      <c r="C112" s="138"/>
      <c r="D112" s="138"/>
      <c r="E112" s="3105"/>
      <c r="F112" s="3106"/>
      <c r="G112" s="2520" t="s">
        <v>2297</v>
      </c>
      <c r="H112" s="790" t="str">
        <f>IF(E111="——","——",N61)</f>
        <v>——</v>
      </c>
      <c r="I112" s="138"/>
    </row>
    <row r="113" spans="1:11" ht="18.75" customHeight="1">
      <c r="A113" s="138"/>
      <c r="B113" s="138"/>
      <c r="C113" s="138"/>
      <c r="D113" s="138"/>
      <c r="E113" s="3114" t="s">
        <v>2303</v>
      </c>
      <c r="F113" s="3114"/>
      <c r="G113" s="3114"/>
      <c r="H113" s="3114"/>
      <c r="I113" s="138"/>
    </row>
    <row r="114" spans="1:11" ht="3.75" customHeight="1">
      <c r="A114" s="2413"/>
      <c r="B114" s="2413"/>
      <c r="C114" s="2413"/>
      <c r="D114" s="2413"/>
      <c r="E114" s="2491"/>
      <c r="F114" s="2491"/>
      <c r="G114" s="2491"/>
      <c r="H114" s="2491"/>
      <c r="I114" s="2413"/>
    </row>
    <row r="115" spans="1:11" ht="18.75" customHeight="1">
      <c r="A115" s="3127" t="s">
        <v>2305</v>
      </c>
      <c r="B115" s="3128"/>
      <c r="C115" s="3128"/>
      <c r="D115" s="3128"/>
      <c r="E115" s="3128"/>
      <c r="F115" s="3128"/>
      <c r="G115" s="3128"/>
      <c r="H115" s="3128"/>
      <c r="I115" s="3129"/>
    </row>
    <row r="116" spans="1:11" ht="27" customHeight="1">
      <c r="A116" s="3038" t="s">
        <v>2306</v>
      </c>
      <c r="B116" s="3081" t="s">
        <v>2307</v>
      </c>
      <c r="C116" s="3081" t="s">
        <v>2308</v>
      </c>
      <c r="D116" s="3087" t="s">
        <v>2309</v>
      </c>
      <c r="E116" s="3088"/>
      <c r="F116" s="3123" t="s">
        <v>2310</v>
      </c>
      <c r="G116" s="3123"/>
      <c r="H116" s="3038" t="s">
        <v>2311</v>
      </c>
      <c r="I116" s="3038"/>
    </row>
    <row r="117" spans="1:11" ht="18.75" customHeight="1">
      <c r="A117" s="3038"/>
      <c r="B117" s="3082"/>
      <c r="C117" s="3082"/>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483</v>
      </c>
      <c r="I118" s="1790">
        <f ca="1">ROUND(IF(D32="楼面单价",C32,H118*10000/B118),0)</f>
        <v>4230</v>
      </c>
    </row>
    <row r="119" spans="1:11" ht="18.75" customHeight="1">
      <c r="A119" s="3038" t="s">
        <v>2315</v>
      </c>
      <c r="B119" s="3038"/>
      <c r="C119" s="3038"/>
      <c r="D119" s="3083" t="e">
        <f ca="1">NUMBERSTRING(INT(D118*10000),2)&amp;"元整"</f>
        <v>#REF!</v>
      </c>
      <c r="E119" s="3084"/>
      <c r="F119" s="3083" t="e">
        <f ca="1">NUMBERSTRING(INT(F118*10000),2)&amp;"元整"</f>
        <v>#REF!</v>
      </c>
      <c r="G119" s="3084"/>
      <c r="H119" s="3083" t="str">
        <f ca="1">NUMBERSTRING(INT(H118*10000),2)&amp;"元整"</f>
        <v>肆佰捌拾叁万元整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18" t="str">
        <f>IF(D120=0,"故，本次评估不存在"&amp;A120,"故，本次评估"&amp;A120&amp;"为人民币"&amp;D120&amp;"万元整。")</f>
        <v>故，本次评估不存在估价师知悉的法定优先受偿款</v>
      </c>
    </row>
    <row r="121" spans="1:11" ht="18.75" customHeight="1">
      <c r="A121" s="3124" t="s">
        <v>2315</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483</v>
      </c>
      <c r="E122" s="3079"/>
      <c r="F122" s="3079"/>
      <c r="G122" s="3079"/>
      <c r="H122" s="3079"/>
      <c r="I122" s="3080"/>
    </row>
    <row r="123" spans="1:11" ht="18.75" customHeight="1">
      <c r="A123" s="3038" t="s">
        <v>2315</v>
      </c>
      <c r="B123" s="3038"/>
      <c r="C123" s="3038"/>
      <c r="D123" s="3083" t="str">
        <f ca="1">NUMBERSTRING(INT(D122*10000),2)&amp;"元整"</f>
        <v>肆佰捌拾叁万元整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2315</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2315</v>
      </c>
      <c r="B127" s="3038"/>
      <c r="C127" s="3038"/>
      <c r="D127" s="3083" t="e">
        <f>NUMBERSTRING(INT(D126*10000),2)&amp;"元整"</f>
        <v>#VALUE!</v>
      </c>
      <c r="E127" s="3085"/>
      <c r="F127" s="3085"/>
      <c r="G127" s="3085"/>
      <c r="H127" s="3085"/>
      <c r="I127" s="3084"/>
    </row>
    <row r="128" spans="1:11" ht="21.75" customHeight="1">
      <c r="A128" s="3086" t="s">
        <v>2316</v>
      </c>
      <c r="B128" s="3086"/>
      <c r="C128" s="3086"/>
      <c r="D128" s="3086"/>
      <c r="E128" s="3086"/>
      <c r="F128" s="3086"/>
      <c r="G128" s="3086"/>
      <c r="H128" s="3086"/>
      <c r="I128" s="3086"/>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536</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4694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2</v>
      </c>
      <c r="D22" s="279">
        <f ca="1">C26</f>
        <v>1.4E-3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6</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3">
        <f>F21</f>
        <v>0.03</v>
      </c>
      <c r="D40" s="280" t="s">
        <v>2402</v>
      </c>
      <c r="E40" s="276"/>
      <c r="F40" s="277"/>
      <c r="G40" s="278" t="s">
        <v>2403</v>
      </c>
    </row>
    <row r="41" spans="1:7" s="258" customFormat="1" ht="13.5" customHeight="1">
      <c r="A41" s="299" t="s">
        <v>2404</v>
      </c>
      <c r="B41" s="254" t="s">
        <v>2405</v>
      </c>
      <c r="C41" s="276">
        <f ca="1">ROUND(SUM(C42:C43),0)</f>
        <v>22</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58" t="s">
        <v>2407</v>
      </c>
    </row>
    <row r="43" spans="1:7" ht="13.5" customHeight="1">
      <c r="A43" s="951" t="s">
        <v>792</v>
      </c>
      <c r="B43" s="259" t="s">
        <v>2408</v>
      </c>
      <c r="C43" s="282">
        <f ca="1">ROUND(IF('数据-取费表'!B22&lt;=1,C39*F22*'数据-取费表'!B21/2,C39*(POWER((1+F22),'数据-取费表'!B21/2)-1)),0)</f>
        <v>1</v>
      </c>
      <c r="D43" s="282"/>
      <c r="E43" s="282"/>
      <c r="F43" s="283"/>
      <c r="G43" s="3159"/>
    </row>
    <row r="44" spans="1:7" ht="13.5" customHeight="1">
      <c r="A44" s="951" t="s">
        <v>793</v>
      </c>
      <c r="B44" s="259" t="s">
        <v>2409</v>
      </c>
      <c r="C44" s="282">
        <f ca="1">ROUND(IF('数据-取费表'!B22&lt;=1,C40*F22*'数据-取费表'!B21/2,C40*(POWER((1+F22),'数据-取费表'!B21/2)-1)),4)</f>
        <v>1.4E-3</v>
      </c>
      <c r="D44" s="282"/>
      <c r="E44" s="282"/>
      <c r="F44" s="283"/>
      <c r="G44" s="3160"/>
    </row>
    <row r="45" spans="1:7" s="258" customFormat="1" ht="13.5" customHeight="1">
      <c r="A45" s="299" t="s">
        <v>2410</v>
      </c>
      <c r="B45" s="288" t="s">
        <v>2376</v>
      </c>
      <c r="C45" s="289">
        <f ca="1">C46</f>
        <v>115</v>
      </c>
      <c r="D45" s="279">
        <f ca="1">C47</f>
        <v>7.4999999999999997E-3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659</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501</v>
      </c>
      <c r="D51" s="276"/>
      <c r="E51" s="276"/>
      <c r="F51" s="308"/>
      <c r="G51" s="278" t="s">
        <v>2423</v>
      </c>
    </row>
    <row r="52" spans="1:7" s="252" customFormat="1" ht="16.5" thickBot="1">
      <c r="A52" s="309" t="s">
        <v>2424</v>
      </c>
      <c r="B52" s="310"/>
      <c r="C52" s="311">
        <f ca="1">C31+C51</f>
        <v>536</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北京市西城区西直门外大街1号院2号楼17层19C5-19C13房地产抵押价值预评估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537</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4703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6851</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22534</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325</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58801</v>
      </c>
      <c r="D27" s="279">
        <f ca="1">C29</f>
        <v>7.4999999999999997E-3</v>
      </c>
      <c r="E27" s="280" t="s">
        <v>2377</v>
      </c>
      <c r="F27" s="290">
        <f ca="1">IF(B1="",'数据-取费表'!Q16,INDIRECT("'数据-取费表'!q"&amp;$G$1))</f>
        <v>0.25</v>
      </c>
      <c r="G27" s="291" t="s">
        <v>2378</v>
      </c>
    </row>
    <row r="28" spans="1:7" s="258" customFormat="1" ht="13.5" customHeight="1">
      <c r="A28" s="951" t="s">
        <v>791</v>
      </c>
      <c r="B28" s="292" t="s">
        <v>2379</v>
      </c>
      <c r="C28" s="293">
        <f ca="1">ROUND((C5+C19+C20)*F27,0)</f>
        <v>58801</v>
      </c>
      <c r="D28" s="279"/>
      <c r="E28" s="280"/>
      <c r="F28" s="290"/>
      <c r="G28" s="291"/>
    </row>
    <row r="29" spans="1:7" s="258" customFormat="1" ht="13.5" customHeight="1">
      <c r="A29" s="951" t="s">
        <v>792</v>
      </c>
      <c r="B29" s="292" t="s">
        <v>2380</v>
      </c>
      <c r="C29" s="282">
        <f ca="1">ROUND(C21*F27,4)</f>
        <v>7.4999999999999997E-3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348689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134529</v>
      </c>
      <c r="D39" s="276"/>
      <c r="E39" s="276"/>
      <c r="F39" s="277"/>
      <c r="G39" s="278" t="s">
        <v>2399</v>
      </c>
    </row>
    <row r="40" spans="1:7" s="258" customFormat="1" ht="13.5" customHeight="1">
      <c r="A40" s="299" t="s">
        <v>2400</v>
      </c>
      <c r="B40" s="254" t="s">
        <v>2401</v>
      </c>
      <c r="C40" s="1723">
        <f>F21</f>
        <v>0.03</v>
      </c>
      <c r="D40" s="280" t="s">
        <v>2402</v>
      </c>
      <c r="E40" s="276"/>
      <c r="F40" s="277"/>
      <c r="G40" s="278" t="s">
        <v>2403</v>
      </c>
    </row>
    <row r="41" spans="1:7" s="258" customFormat="1" ht="13.5" customHeight="1">
      <c r="A41" s="299" t="s">
        <v>2404</v>
      </c>
      <c r="B41" s="254" t="s">
        <v>2405</v>
      </c>
      <c r="C41" s="276">
        <f ca="1">ROUND(SUM(C42:C43),0)</f>
        <v>219394</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58" t="s">
        <v>2454</v>
      </c>
    </row>
    <row r="43" spans="1:7" ht="13.5" customHeight="1">
      <c r="A43" s="951" t="s">
        <v>792</v>
      </c>
      <c r="B43" s="259" t="s">
        <v>2408</v>
      </c>
      <c r="C43" s="282">
        <f ca="1">ROUND(IF('数据-取费表'!B22&lt;=1,C39*F22*'数据-取费表'!B20/2,C39*(POWER((1+F22),'数据-取费表'!B20/2)-1)),0)</f>
        <v>6390</v>
      </c>
      <c r="D43" s="282"/>
      <c r="E43" s="282"/>
      <c r="F43" s="283"/>
      <c r="G43" s="3159"/>
    </row>
    <row r="44" spans="1:7" ht="13.5" customHeight="1">
      <c r="A44" s="951" t="s">
        <v>793</v>
      </c>
      <c r="B44" s="259" t="s">
        <v>2409</v>
      </c>
      <c r="C44" s="282">
        <f ca="1">ROUND(IF('数据-取费表'!B22&lt;=1,C40*F22*'数据-取费表'!B20/2,C40*(POWER((1+F22),'数据-取费表'!B20/2)-1)),4)</f>
        <v>1.4E-3</v>
      </c>
      <c r="D44" s="282"/>
      <c r="E44" s="282"/>
      <c r="F44" s="283"/>
      <c r="G44" s="3160"/>
    </row>
    <row r="45" spans="1:7" s="258" customFormat="1" ht="13.5" customHeight="1">
      <c r="A45" s="299" t="s">
        <v>2410</v>
      </c>
      <c r="B45" s="288" t="s">
        <v>2376</v>
      </c>
      <c r="C45" s="289">
        <f ca="1">C46</f>
        <v>1154708</v>
      </c>
      <c r="D45" s="279">
        <f ca="1">C47</f>
        <v>7.4999999999999997E-3</v>
      </c>
      <c r="E45" s="280" t="s">
        <v>2402</v>
      </c>
      <c r="F45" s="290"/>
      <c r="G45" s="291" t="s">
        <v>2411</v>
      </c>
    </row>
    <row r="46" spans="1:7" s="258" customFormat="1" ht="13.5" customHeight="1">
      <c r="A46" s="951" t="s">
        <v>791</v>
      </c>
      <c r="B46" s="292" t="s">
        <v>2412</v>
      </c>
      <c r="C46" s="293">
        <f ca="1">ROUND((C33+C39)*F27,0)</f>
        <v>1154708</v>
      </c>
      <c r="D46" s="307"/>
      <c r="E46" s="280"/>
      <c r="F46" s="290"/>
      <c r="G46" s="291"/>
    </row>
    <row r="47" spans="1:7" s="258" customFormat="1" ht="13.5" customHeight="1">
      <c r="A47" s="951" t="s">
        <v>792</v>
      </c>
      <c r="B47" s="292" t="s">
        <v>2413</v>
      </c>
      <c r="C47" s="282">
        <f ca="1">ROUND(C40*F27,4)</f>
        <v>7.4999999999999997E-3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6601601</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5017217</v>
      </c>
      <c r="D51" s="276"/>
      <c r="E51" s="276"/>
      <c r="F51" s="308"/>
      <c r="G51" s="278" t="s">
        <v>2423</v>
      </c>
    </row>
    <row r="52" spans="1:7" s="252" customFormat="1" ht="16.5" thickBot="1">
      <c r="A52" s="309" t="s">
        <v>2424</v>
      </c>
      <c r="B52" s="310"/>
      <c r="C52" s="311">
        <f ca="1">C31+C51</f>
        <v>5365906</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478</v>
      </c>
      <c r="C2" s="1840" t="s">
        <v>1512</v>
      </c>
      <c r="D2" s="1840"/>
      <c r="E2" s="1841"/>
      <c r="F2" s="1842"/>
      <c r="G2" s="1843"/>
      <c r="H2" s="1835"/>
      <c r="I2" s="1835"/>
      <c r="J2" s="1835"/>
      <c r="K2" s="1836"/>
      <c r="L2" s="1835"/>
      <c r="M2" s="1835"/>
    </row>
    <row r="3" spans="1:37" ht="18" customHeight="1" thickBot="1">
      <c r="A3" s="1844" t="s">
        <v>1513</v>
      </c>
      <c r="B3" s="1845">
        <f ca="1">IF(ISERROR(B2*10000/F43),0,ROUND(B2*10000/F43,0))</f>
        <v>46170</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28</v>
      </c>
      <c r="D5" s="1817" t="s">
        <v>1398</v>
      </c>
      <c r="E5" s="1293"/>
      <c r="F5" s="1294"/>
      <c r="G5" s="1846"/>
      <c r="H5" s="344">
        <v>1</v>
      </c>
      <c r="I5" s="345" t="s">
        <v>1397</v>
      </c>
      <c r="J5" s="1292">
        <f ca="1">J6+J10+J12</f>
        <v>0</v>
      </c>
      <c r="K5" s="1817" t="s">
        <v>1398</v>
      </c>
      <c r="L5" s="1293"/>
      <c r="M5" s="1294"/>
    </row>
    <row r="6" spans="1:37" ht="18" customHeight="1">
      <c r="A6" s="1291" t="s">
        <v>1032</v>
      </c>
      <c r="B6" s="3163" t="s">
        <v>1399</v>
      </c>
      <c r="C6" s="1296">
        <f ca="1">ROUND(F6*F8*F7*(1-F9)/10000,0)</f>
        <v>28</v>
      </c>
      <c r="D6" s="164" t="s">
        <v>3029</v>
      </c>
      <c r="E6" s="347" t="s">
        <v>1401</v>
      </c>
      <c r="F6" s="348">
        <f ca="1">INDIRECT("'数据-取费表'!u"&amp;$G$1)</f>
        <v>8.3000000000000007</v>
      </c>
      <c r="G6" s="1846"/>
      <c r="H6" s="1291" t="s">
        <v>1032</v>
      </c>
      <c r="I6" s="3163" t="s">
        <v>1399</v>
      </c>
      <c r="J6" s="346">
        <f ca="1">ROUND(M6*M8*M7*(1-M9)/10000,0)</f>
        <v>0</v>
      </c>
      <c r="K6" s="164" t="s">
        <v>3028</v>
      </c>
      <c r="L6" s="347" t="s">
        <v>1401</v>
      </c>
      <c r="M6" s="348">
        <f ca="1">INDIRECT("'数据-取费表'!z"&amp;$G$1)</f>
        <v>0</v>
      </c>
    </row>
    <row r="7" spans="1:37" ht="18" customHeight="1">
      <c r="A7" s="1295"/>
      <c r="B7" s="3164"/>
      <c r="C7" s="1297"/>
      <c r="D7" s="352"/>
      <c r="E7" s="1298" t="s">
        <v>1402</v>
      </c>
      <c r="F7" s="348">
        <f ca="1">IF(INDIRECT("'数据-取费表'!ah"&amp;$G$1)="",INDIRECT("'数据-取费表'!k"&amp;$G$1),INDIRECT("'数据-取费表'!ah"&amp;$G$1))</f>
        <v>103.53</v>
      </c>
      <c r="G7" s="1846"/>
      <c r="H7" s="349"/>
      <c r="I7" s="3164"/>
      <c r="J7" s="351"/>
      <c r="K7" s="352"/>
      <c r="L7" s="347" t="s">
        <v>1402</v>
      </c>
      <c r="M7" s="348">
        <f ca="1">F7</f>
        <v>103.53</v>
      </c>
    </row>
    <row r="8" spans="1:37" ht="18" customHeight="1">
      <c r="A8" s="349"/>
      <c r="B8" s="3164"/>
      <c r="C8" s="351"/>
      <c r="D8" s="352"/>
      <c r="E8" s="347" t="s">
        <v>1403</v>
      </c>
      <c r="F8" s="348">
        <f ca="1">INDIRECT("'数据-取费表'!ai"&amp;$G$1)</f>
        <v>365</v>
      </c>
      <c r="G8" s="1846"/>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6"/>
      <c r="H9" s="349"/>
      <c r="I9" s="3165"/>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61</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0.51</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0.03</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0.03</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1.2</v>
      </c>
      <c r="K22" s="1793" t="s">
        <v>1446</v>
      </c>
      <c r="L22" s="347" t="s">
        <v>1418</v>
      </c>
      <c r="M22" s="374">
        <f ca="1">INDIRECT("'数据-取费表'!Ak"&amp;$G$1)</f>
        <v>0.02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7.4999999999999997E-3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61</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4</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2</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1.49</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0.51</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1.2</v>
      </c>
      <c r="D36" s="1793" t="s">
        <v>1478</v>
      </c>
      <c r="E36" s="347" t="s">
        <v>1418</v>
      </c>
      <c r="F36" s="374">
        <f ca="1">INDIRECT("'数据-取费表'!Ak"&amp;$G$1)</f>
        <v>0.02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0.8</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24</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477</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0.02</v>
      </c>
      <c r="G42" s="1846"/>
      <c r="H42" s="732"/>
      <c r="I42" s="1855"/>
      <c r="J42" s="1856"/>
      <c r="K42" s="751"/>
      <c r="L42" s="732"/>
      <c r="M42" s="732"/>
    </row>
    <row r="43" spans="1:18" ht="18" customHeight="1" thickBot="1">
      <c r="A43" s="380" t="s">
        <v>1030</v>
      </c>
      <c r="B43" s="381" t="s">
        <v>1483</v>
      </c>
      <c r="C43" s="382">
        <f ca="1">ROUND(C40*10000/F43,0)</f>
        <v>46074</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-508</v>
      </c>
      <c r="D46" s="1867" t="str">
        <f>C2</f>
        <v>万元</v>
      </c>
      <c r="E46" s="1861"/>
      <c r="F46" s="1861"/>
      <c r="I46" s="1868" t="s">
        <v>1517</v>
      </c>
      <c r="J46" s="1869"/>
      <c r="K46" s="1870"/>
      <c r="L46" s="1871">
        <f ca="1">IF(M47="住宅",0,IF(L48&gt;J51,L60,J60))</f>
        <v>1</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477</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f ca="1">J60</f>
        <v>1</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61</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f ca="1">J58</f>
        <v>0.4</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352</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1" t="s">
        <v>1544</v>
      </c>
      <c r="L53" s="3162"/>
      <c r="O53" s="1879" t="s">
        <v>1043</v>
      </c>
      <c r="P53" s="1880" t="s">
        <v>1545</v>
      </c>
      <c r="Q53" s="1881">
        <f ca="1">Q47+Q48</f>
        <v>478</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f ca="1">ROUND(IF(J47="钢混",J57/J50,1-(1-2%)*(J50-J57)/J50),3)</f>
        <v>0.17799999999999999</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3068</v>
      </c>
      <c r="K56" s="1882" t="s">
        <v>1551</v>
      </c>
      <c r="L56" s="1885" t="str">
        <f ca="1">IF(L48&lt;J51,"——",L48-J53)</f>
        <v>——</v>
      </c>
      <c r="O56" s="1879" t="s">
        <v>1037</v>
      </c>
      <c r="P56" s="1880" t="s">
        <v>1524</v>
      </c>
      <c r="Q56" s="1881">
        <f ca="1">C40+J29</f>
        <v>477</v>
      </c>
      <c r="R56" s="1881" t="s">
        <v>1525</v>
      </c>
    </row>
    <row r="57" spans="1:18" s="1837" customFormat="1" ht="24.75" thickBot="1">
      <c r="A57" s="1913"/>
      <c r="B57" s="1169" t="s">
        <v>1474</v>
      </c>
      <c r="C57" s="282">
        <f ca="1">C29</f>
        <v>61</v>
      </c>
      <c r="D57" s="1914"/>
      <c r="E57" s="1915"/>
      <c r="F57" s="1916"/>
      <c r="I57" s="1917" t="s">
        <v>1552</v>
      </c>
      <c r="J57" s="1918">
        <f ca="1">IF(OR(M47="住宅",J51&lt;L48,J56="是"),"——",J51-L48)</f>
        <v>10.68</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2</v>
      </c>
      <c r="D58" s="1179" t="s">
        <v>1421</v>
      </c>
      <c r="E58" s="1180"/>
      <c r="F58" s="1181"/>
      <c r="I58" s="1917" t="s">
        <v>1556</v>
      </c>
      <c r="J58" s="1919">
        <f ca="1">IF(J55&lt;0.4,0.4,J55)</f>
        <v>0.4</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0.5</v>
      </c>
      <c r="D59" s="1182" t="s">
        <v>1426</v>
      </c>
      <c r="E59" s="1183" t="s">
        <v>1427</v>
      </c>
      <c r="F59" s="368" t="str">
        <f ca="1">IF(项目基本情况!B11="企业","",IF(INDIRECT("'数据-取费表'!c"&amp;$G$1)="住宅",5%,IF(F49*F50*F51/12/(1+'数据-取费表'!C42)&gt;20000,12%,7%)))</f>
        <v/>
      </c>
      <c r="I59" s="1917" t="s">
        <v>1559</v>
      </c>
      <c r="J59" s="1918">
        <f ca="1">IF(OR(M47="住宅",J51&lt;L48,J56="是"),"——",ROUND(C29*J58,0))</f>
        <v>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f ca="1">IF(OR(M47="住宅",J51&lt;L48,J56="是"),"0",ROUND(J59/(1+J52)^J53,0))</f>
        <v>1</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0.51</v>
      </c>
      <c r="D61" s="1823" t="s">
        <v>1434</v>
      </c>
      <c r="E61" s="1169" t="s">
        <v>1490</v>
      </c>
      <c r="F61" s="367">
        <f t="shared" si="0"/>
        <v>1.2E-2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477</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1.2</v>
      </c>
      <c r="D64" s="1183" t="s">
        <v>1498</v>
      </c>
      <c r="E64" s="1169" t="s">
        <v>1490</v>
      </c>
      <c r="F64" s="374">
        <f t="shared" ca="1" si="0"/>
        <v>0.02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477</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-2</v>
      </c>
      <c r="D67" s="1182" t="s">
        <v>1460</v>
      </c>
      <c r="E67" s="1187"/>
      <c r="F67" s="1188"/>
      <c r="O67" s="1889" t="s">
        <v>1039</v>
      </c>
      <c r="P67" s="1880" t="s">
        <v>1558</v>
      </c>
      <c r="Q67" s="1928">
        <f ca="1">L51</f>
        <v>352</v>
      </c>
      <c r="R67" s="1881" t="s">
        <v>1578</v>
      </c>
    </row>
    <row r="68" spans="1:18" s="1837" customFormat="1" ht="16.5" thickBot="1">
      <c r="A68" s="1166" t="s">
        <v>1029</v>
      </c>
      <c r="B68" s="1167" t="s">
        <v>1481</v>
      </c>
      <c r="C68" s="346">
        <f ca="1">ROUND(C67*(1-((1+F70)/(1+F68))^F69)/(F68-F70),0)</f>
        <v>-31</v>
      </c>
      <c r="D68" s="1184" t="s">
        <v>1465</v>
      </c>
      <c r="E68" s="1169" t="s">
        <v>1466</v>
      </c>
      <c r="F68" s="357">
        <f ca="1">F40</f>
        <v>5.5E-2</v>
      </c>
      <c r="O68" s="1889" t="s">
        <v>1040</v>
      </c>
      <c r="P68" s="1929" t="s">
        <v>1579</v>
      </c>
      <c r="Q68" s="1881">
        <f ca="1">ROUND(Q69-Q70*Q71,0)</f>
        <v>20</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24</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-2994</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477</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0.83299999999999996</v>
      </c>
    </row>
    <row r="80" spans="1:18">
      <c r="B80" s="386" t="s">
        <v>1507</v>
      </c>
      <c r="C80" s="318">
        <f ca="1">ROUND(C75/C39,3)</f>
        <v>0.16700000000000001</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c r="D1" s="1815"/>
      <c r="E1" s="1816" t="s">
        <v>1383</v>
      </c>
      <c r="F1" s="1283" t="b">
        <f>J53</f>
        <v>0</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0</v>
      </c>
      <c r="D5" s="1817" t="s">
        <v>1597</v>
      </c>
      <c r="E5" s="1293"/>
      <c r="F5" s="1294"/>
      <c r="G5" s="1846"/>
      <c r="H5" s="344">
        <v>1</v>
      </c>
      <c r="I5" s="345" t="s">
        <v>1596</v>
      </c>
      <c r="J5" s="1292">
        <f ca="1">J6+J10+J12</f>
        <v>0</v>
      </c>
      <c r="K5" s="1817" t="s">
        <v>1597</v>
      </c>
      <c r="L5" s="1293"/>
      <c r="M5" s="1294"/>
    </row>
    <row r="6" spans="1:37" ht="18" customHeight="1">
      <c r="A6" s="1291" t="s">
        <v>1032</v>
      </c>
      <c r="B6" s="3163" t="s">
        <v>1399</v>
      </c>
      <c r="C6" s="1296">
        <f ca="1">ROUND(F6*F8*F7*(1-F9),0)</f>
        <v>0</v>
      </c>
      <c r="D6" s="164" t="s">
        <v>3026</v>
      </c>
      <c r="E6" s="347" t="s">
        <v>1401</v>
      </c>
      <c r="F6" s="348">
        <f ca="1">INDIRECT("'数据-取费表'!u"&amp;$G$1)</f>
        <v>0</v>
      </c>
      <c r="G6" s="1846"/>
      <c r="H6" s="1291" t="s">
        <v>1032</v>
      </c>
      <c r="I6" s="3163" t="s">
        <v>1399</v>
      </c>
      <c r="J6" s="346">
        <f ca="1">ROUND(M6*M8*M7*(1-M9),0)</f>
        <v>0</v>
      </c>
      <c r="K6" s="1829" t="s">
        <v>3027</v>
      </c>
      <c r="L6" s="347" t="s">
        <v>1401</v>
      </c>
      <c r="M6" s="348">
        <f ca="1">INDIRECT("'数据-取费表'!z"&amp;$G$1)</f>
        <v>0</v>
      </c>
    </row>
    <row r="7" spans="1:37" ht="18" customHeight="1">
      <c r="A7" s="1295"/>
      <c r="B7" s="3164"/>
      <c r="C7" s="1297"/>
      <c r="D7" s="352"/>
      <c r="E7" s="1298" t="s">
        <v>1402</v>
      </c>
      <c r="F7" s="348">
        <f ca="1">IF(INDIRECT("'数据-取费表'!ah"&amp;$G$1)="",INDIRECT("'数据-取费表'!k"&amp;$G$1),INDIRECT("'数据-取费表'!ah"&amp;$G$1))</f>
        <v>0</v>
      </c>
      <c r="G7" s="1846"/>
      <c r="H7" s="349"/>
      <c r="I7" s="3164"/>
      <c r="J7" s="351"/>
      <c r="K7" s="352"/>
      <c r="L7" s="347" t="s">
        <v>1402</v>
      </c>
      <c r="M7" s="348">
        <f ca="1">F7</f>
        <v>0</v>
      </c>
    </row>
    <row r="8" spans="1:37" ht="18" customHeight="1">
      <c r="A8" s="349"/>
      <c r="B8" s="3164"/>
      <c r="C8" s="351"/>
      <c r="D8" s="352"/>
      <c r="E8" s="347" t="s">
        <v>1403</v>
      </c>
      <c r="F8" s="348">
        <f ca="1">INDIRECT("'数据-取费表'!ai"&amp;$G$1)</f>
        <v>0</v>
      </c>
      <c r="G8" s="1846"/>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46"/>
      <c r="H9" s="349"/>
      <c r="I9" s="3165"/>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0</v>
      </c>
      <c r="D14" s="1795" t="s">
        <v>1414</v>
      </c>
      <c r="E14" s="1789"/>
      <c r="F14" s="364"/>
      <c r="G14" s="1846"/>
      <c r="H14" s="1201" t="s">
        <v>1032</v>
      </c>
      <c r="I14" s="347" t="s">
        <v>1415</v>
      </c>
      <c r="J14" s="24">
        <f ca="1">C29</f>
        <v>0</v>
      </c>
      <c r="K14" s="15"/>
      <c r="L14" s="979"/>
      <c r="M14" s="980"/>
    </row>
    <row r="15" spans="1:37" s="1853" customFormat="1" ht="18" customHeight="1" thickBot="1">
      <c r="A15" s="1201" t="s">
        <v>1033</v>
      </c>
      <c r="B15" s="347" t="s">
        <v>1416</v>
      </c>
      <c r="C15" s="24">
        <f ca="1">ROUND(C14*F15,0)</f>
        <v>0</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0</v>
      </c>
      <c r="K16" s="1337" t="s">
        <v>1421</v>
      </c>
      <c r="L16" s="1338"/>
      <c r="M16" s="1294"/>
    </row>
    <row r="17" spans="1:37" s="1853" customFormat="1" ht="18" customHeight="1">
      <c r="A17" s="1201" t="s">
        <v>1386</v>
      </c>
      <c r="B17" s="347" t="s">
        <v>1422</v>
      </c>
      <c r="C17" s="24">
        <f ca="1">ROUND(F17*(F43+INDIRECT("'数据-取费表'!S"&amp;$G$1)),0)</f>
        <v>0</v>
      </c>
      <c r="D17" s="347" t="s">
        <v>1423</v>
      </c>
      <c r="E17" s="347" t="s">
        <v>1424</v>
      </c>
      <c r="F17" s="26">
        <f>'数据-取费表'!B35</f>
        <v>200</v>
      </c>
      <c r="G17" s="1849"/>
      <c r="H17" s="1201"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0</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0</v>
      </c>
      <c r="D19" s="140" t="s">
        <v>1432</v>
      </c>
      <c r="E19" s="1813"/>
      <c r="F19" s="26"/>
      <c r="G19" s="1846"/>
      <c r="H19" s="1201"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201" t="s">
        <v>1036</v>
      </c>
      <c r="B20" s="347" t="s">
        <v>1435</v>
      </c>
      <c r="C20" s="24">
        <f ca="1">ROUND(C19*F20,0)</f>
        <v>0</v>
      </c>
      <c r="D20" s="369" t="s">
        <v>1436</v>
      </c>
      <c r="E20" s="347" t="s">
        <v>1418</v>
      </c>
      <c r="F20" s="367">
        <f>'数据-取费表'!B37</f>
        <v>0.03</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0.03</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0</v>
      </c>
      <c r="K22" s="1793" t="s">
        <v>1446</v>
      </c>
      <c r="L22" s="347" t="s">
        <v>1418</v>
      </c>
      <c r="M22" s="374">
        <f ca="1">INDIRECT("'数据-取费表'!Ak"&amp;$G$1)</f>
        <v>0</v>
      </c>
    </row>
    <row r="23" spans="1:37" s="1853"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0</v>
      </c>
      <c r="D29" s="1342"/>
      <c r="E29" s="1340"/>
      <c r="F29" s="1343"/>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0</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0</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0</v>
      </c>
      <c r="D36" s="1793" t="s">
        <v>1478</v>
      </c>
      <c r="E36" s="347" t="s">
        <v>1418</v>
      </c>
      <c r="F36" s="374">
        <f ca="1">INDIRECT("'数据-取费表'!Ak"&amp;$G$1)</f>
        <v>0</v>
      </c>
      <c r="G36" s="1846"/>
      <c r="H36" s="1854"/>
      <c r="I36" s="1855"/>
      <c r="J36" s="1856"/>
      <c r="K36" s="751"/>
      <c r="L36" s="1854"/>
      <c r="M36" s="1854"/>
    </row>
    <row r="37" spans="1:18" ht="18" customHeight="1">
      <c r="A37" s="1201" t="s">
        <v>1072</v>
      </c>
      <c r="B37" s="347" t="s">
        <v>1449</v>
      </c>
      <c r="C37" s="24">
        <f ca="1">ROUND(C13*F37,0)</f>
        <v>0</v>
      </c>
      <c r="D37" s="1793" t="s">
        <v>1450</v>
      </c>
      <c r="E37" s="347" t="s">
        <v>1451</v>
      </c>
      <c r="F37" s="376">
        <f ca="1">INDIRECT("'数据-取费表'!Al"&amp;$G$1)</f>
        <v>0</v>
      </c>
      <c r="G37" s="1846"/>
      <c r="H37" s="1854"/>
      <c r="I37" s="1855"/>
      <c r="J37" s="1856"/>
      <c r="K37" s="751"/>
      <c r="L37" s="1854"/>
      <c r="M37" s="1854"/>
    </row>
    <row r="38" spans="1:18" ht="18" customHeight="1" thickBot="1">
      <c r="A38" s="1339" t="s">
        <v>1389</v>
      </c>
      <c r="B38" s="1340" t="s">
        <v>1435</v>
      </c>
      <c r="C38" s="1341">
        <f ca="1">ROUND(C5*F38,1)</f>
        <v>0</v>
      </c>
      <c r="D38" s="1342" t="s">
        <v>1455</v>
      </c>
      <c r="E38" s="1340" t="s">
        <v>1451</v>
      </c>
      <c r="F38" s="1336">
        <f ca="1">INDIRECT("'数据-取费表'!Am"&amp;$G$1)</f>
        <v>0</v>
      </c>
      <c r="G38" s="1846"/>
      <c r="H38" s="1854"/>
      <c r="I38" s="1855"/>
      <c r="J38" s="1856"/>
      <c r="K38" s="1860"/>
      <c r="L38" s="1854"/>
      <c r="M38" s="1854"/>
    </row>
    <row r="39" spans="1:18" ht="24.6" customHeight="1" thickTop="1">
      <c r="A39" s="1329" t="s">
        <v>1028</v>
      </c>
      <c r="B39" s="1344" t="s">
        <v>1479</v>
      </c>
      <c r="C39" s="355">
        <f ca="1">C5-C30</f>
        <v>0</v>
      </c>
      <c r="D39" s="1345" t="s">
        <v>1480</v>
      </c>
      <c r="E39" s="1346"/>
      <c r="F39" s="1347"/>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1473</v>
      </c>
      <c r="F42" s="357">
        <f ca="1">INDIRECT("'数据-取费表'!v"&amp;$G$1)</f>
        <v>0</v>
      </c>
      <c r="G42" s="1846"/>
      <c r="H42" s="732"/>
      <c r="I42" s="1855"/>
      <c r="J42" s="1856"/>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60" t="s">
        <v>1132</v>
      </c>
      <c r="B48" s="345" t="s">
        <v>1397</v>
      </c>
      <c r="C48" s="1812">
        <f ca="1">C49+C53+C55</f>
        <v>0</v>
      </c>
      <c r="D48" s="1362"/>
      <c r="E48" s="1363"/>
      <c r="F48" s="1181"/>
      <c r="G48" s="792"/>
      <c r="H48" s="793"/>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c r="K49" s="1884" t="s">
        <v>1531</v>
      </c>
      <c r="L49" s="1888"/>
      <c r="O49" s="1889" t="s">
        <v>1039</v>
      </c>
      <c r="P49" s="1880" t="s">
        <v>1532</v>
      </c>
      <c r="Q49" s="1881">
        <f ca="1">C29</f>
        <v>0</v>
      </c>
      <c r="R49" s="1881" t="s">
        <v>1525</v>
      </c>
    </row>
    <row r="50" spans="1:18" s="1837" customFormat="1" ht="13.5" thickBot="1">
      <c r="A50" s="1195"/>
      <c r="B50" s="1198"/>
      <c r="C50" s="1199"/>
      <c r="D50" s="1172"/>
      <c r="E50" s="1277" t="s">
        <v>1402</v>
      </c>
      <c r="F50" s="1278">
        <f ca="1">F7</f>
        <v>0</v>
      </c>
      <c r="H50" s="793"/>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6"/>
      <c r="B51" s="1198"/>
      <c r="C51" s="1199"/>
      <c r="D51" s="1172"/>
      <c r="E51" s="1200"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t="b">
        <f>J53</f>
        <v>0</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t="b">
        <f>IF(M47="住宅",IF(D1="——",MAX(J51,L48),IF(D1="在建（套用方法）",MAX(J51,L48-'数据-取费表'!B24),MAX(J51,L48-'数据-取费表'!B20))),IF(D1="——",MIN(J51,L48),IF(D1="在建（套用方法）",MIN(J51,L48-'数据-取费表'!B24),IF(D1="土地（套用方法）",MIN(J51,L48-'数据-取费表'!B20)))))</f>
        <v>0</v>
      </c>
      <c r="K53" s="3161" t="s">
        <v>1544</v>
      </c>
      <c r="L53" s="3162"/>
      <c r="O53" s="1879" t="s">
        <v>1043</v>
      </c>
      <c r="P53" s="1880" t="s">
        <v>1545</v>
      </c>
      <c r="Q53" s="1881" t="e">
        <f ca="1">Q47+Q48</f>
        <v>#DIV/0!</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9"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7" t="s">
        <v>1420</v>
      </c>
      <c r="C58" s="361">
        <f ca="1">ROUND(C59+C64+C65+C66,0)</f>
        <v>0</v>
      </c>
      <c r="D58" s="1179" t="s">
        <v>1421</v>
      </c>
      <c r="E58" s="1180"/>
      <c r="F58" s="1181"/>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0</v>
      </c>
      <c r="D61" s="1823" t="s">
        <v>1434</v>
      </c>
      <c r="E61" s="1169"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0</v>
      </c>
      <c r="D64" s="1183" t="s">
        <v>1498</v>
      </c>
      <c r="E64" s="1169"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0</v>
      </c>
      <c r="D65" s="1183" t="s">
        <v>1450</v>
      </c>
      <c r="E65" s="1169"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201" t="s">
        <v>1500</v>
      </c>
      <c r="B66" s="1169" t="s">
        <v>1435</v>
      </c>
      <c r="C66" s="24">
        <f ca="1">ROUND(C48*F66,0)</f>
        <v>0</v>
      </c>
      <c r="D66" s="1183" t="s">
        <v>1501</v>
      </c>
      <c r="E66" s="1169" t="s">
        <v>1418</v>
      </c>
      <c r="F66" s="357">
        <f t="shared" ca="1" si="0"/>
        <v>0</v>
      </c>
      <c r="O66" s="1879" t="s">
        <v>1038</v>
      </c>
      <c r="P66" s="1880" t="s">
        <v>1554</v>
      </c>
      <c r="Q66" s="1881" t="e">
        <f ca="1">L60</f>
        <v>#DIV/0!</v>
      </c>
      <c r="R66" s="1881" t="s">
        <v>1577</v>
      </c>
    </row>
    <row r="67" spans="1:18" s="1837" customFormat="1" ht="16.5" thickBot="1">
      <c r="A67" s="1176" t="s">
        <v>1028</v>
      </c>
      <c r="B67" s="1186" t="s">
        <v>1459</v>
      </c>
      <c r="C67" s="361">
        <f ca="1">C48-C58</f>
        <v>0</v>
      </c>
      <c r="D67" s="1182" t="s">
        <v>1460</v>
      </c>
      <c r="E67" s="1187"/>
      <c r="F67" s="1188"/>
      <c r="O67" s="1889" t="s">
        <v>1039</v>
      </c>
      <c r="P67" s="1880" t="s">
        <v>1558</v>
      </c>
      <c r="Q67" s="1928">
        <f ca="1">L51</f>
        <v>0</v>
      </c>
      <c r="R67" s="1881" t="s">
        <v>1578</v>
      </c>
    </row>
    <row r="68" spans="1:18" s="1837" customFormat="1" ht="16.5" thickBot="1">
      <c r="A68" s="1166" t="s">
        <v>1029</v>
      </c>
      <c r="B68" s="1167" t="s">
        <v>1481</v>
      </c>
      <c r="C68" s="346" t="e">
        <f ca="1">ROUND(C67*(1-((1+F70)/(1+F68))^F69)/(F68-F70),0)</f>
        <v>#DIV/0!</v>
      </c>
      <c r="D68" s="1184" t="s">
        <v>1465</v>
      </c>
      <c r="E68" s="1169" t="s">
        <v>1466</v>
      </c>
      <c r="F68" s="357">
        <f ca="1">F40</f>
        <v>0</v>
      </c>
      <c r="O68" s="1889" t="s">
        <v>1040</v>
      </c>
      <c r="P68" s="1929" t="s">
        <v>1579</v>
      </c>
      <c r="Q68" s="1881">
        <f ca="1">ROUND(Q69-Q70*Q71,0)</f>
        <v>0</v>
      </c>
      <c r="R68" s="1881" t="s">
        <v>1048</v>
      </c>
    </row>
    <row r="69" spans="1:18" s="1837" customFormat="1" ht="13.5" thickBot="1">
      <c r="A69" s="1170"/>
      <c r="B69" s="1171"/>
      <c r="C69" s="351"/>
      <c r="D69" s="1189" t="s">
        <v>1469</v>
      </c>
      <c r="E69" s="1169" t="s">
        <v>1470</v>
      </c>
      <c r="F69" s="379">
        <f ca="1">F41</f>
        <v>0</v>
      </c>
      <c r="O69" s="1889" t="s">
        <v>1045</v>
      </c>
      <c r="P69" s="1929" t="s">
        <v>1580</v>
      </c>
      <c r="Q69" s="1881">
        <f ca="1">C39</f>
        <v>0</v>
      </c>
      <c r="R69" s="1881" t="s">
        <v>1525</v>
      </c>
    </row>
    <row r="70" spans="1:18" s="1837" customFormat="1" ht="13.5" thickBot="1">
      <c r="A70" s="1173"/>
      <c r="B70" s="1174"/>
      <c r="C70" s="355"/>
      <c r="D70" s="1185"/>
      <c r="E70" s="1169" t="s">
        <v>1473</v>
      </c>
      <c r="F70" s="1275">
        <f ca="1">F42</f>
        <v>0</v>
      </c>
      <c r="O70" s="1889" t="s">
        <v>1046</v>
      </c>
      <c r="P70" s="1929" t="s">
        <v>1581</v>
      </c>
      <c r="Q70" s="1881">
        <f ca="1">C13</f>
        <v>0</v>
      </c>
      <c r="R70" s="1881" t="s">
        <v>1525</v>
      </c>
    </row>
    <row r="71" spans="1:18" s="1837" customFormat="1" ht="13.5" thickBot="1">
      <c r="A71" s="1190" t="s">
        <v>1030</v>
      </c>
      <c r="B71" s="1191" t="s">
        <v>1483</v>
      </c>
      <c r="C71" s="382" t="e">
        <f ca="1">ROUND(C68/F71,0)</f>
        <v>#DIV/0!</v>
      </c>
      <c r="D71" s="1192" t="s">
        <v>1484</v>
      </c>
      <c r="E71" s="1193" t="s">
        <v>1485</v>
      </c>
      <c r="F71" s="385">
        <f ca="1">F43</f>
        <v>0</v>
      </c>
      <c r="O71" s="1889" t="s">
        <v>1047</v>
      </c>
      <c r="P71" s="1929" t="s">
        <v>1582</v>
      </c>
      <c r="Q71" s="1892">
        <f ca="1">C76</f>
        <v>0</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478</v>
      </c>
      <c r="C2" s="2563" t="s">
        <v>2517</v>
      </c>
      <c r="D2" s="2564" t="s">
        <v>2518</v>
      </c>
      <c r="E2" s="2565">
        <f>SUM(E6:E13)</f>
        <v>103.53</v>
      </c>
    </row>
    <row r="3" spans="1:6" ht="15.75">
      <c r="A3" s="2561" t="s">
        <v>1391</v>
      </c>
      <c r="B3" s="2562">
        <f ca="1">ROUND(B2*10000/E2,0)</f>
        <v>46170</v>
      </c>
      <c r="C3" s="2563" t="s">
        <v>2525</v>
      </c>
      <c r="D3" s="2566"/>
      <c r="E3" s="2567"/>
    </row>
    <row r="4" spans="1:6" ht="15.75">
      <c r="A4" s="2568"/>
      <c r="B4" s="2566"/>
      <c r="C4" s="2566"/>
      <c r="D4" s="2566"/>
      <c r="E4" s="2567"/>
    </row>
    <row r="5" spans="1:6" ht="15">
      <c r="A5" s="2569" t="s">
        <v>2519</v>
      </c>
      <c r="B5" s="3166" t="s">
        <v>2520</v>
      </c>
      <c r="C5" s="3166"/>
      <c r="D5" s="2570"/>
      <c r="E5" s="2571" t="s">
        <v>2521</v>
      </c>
      <c r="F5" s="2572" t="s">
        <v>2522</v>
      </c>
    </row>
    <row r="6" spans="1:6">
      <c r="A6" s="2573" t="str">
        <f>'数据-取费表'!AN6</f>
        <v>收益法</v>
      </c>
      <c r="B6" s="2572">
        <f ca="1">IF(F6="是",'数据-取费表'!AO6,0)</f>
        <v>478</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1073</v>
      </c>
      <c r="B1" s="3168"/>
      <c r="C1" s="3169"/>
      <c r="D1" s="3170">
        <f>SUM(I10,I15,I20,I21,I23)</f>
        <v>0</v>
      </c>
      <c r="E1" s="3170"/>
      <c r="F1" s="3170"/>
      <c r="G1" s="3170"/>
      <c r="H1" s="3170"/>
      <c r="I1" s="3171"/>
    </row>
    <row r="2" spans="1:9">
      <c r="A2" s="3172" t="s">
        <v>1074</v>
      </c>
      <c r="B2" s="3173" t="s">
        <v>1075</v>
      </c>
      <c r="C2" s="3173"/>
      <c r="D2" s="1301" t="s">
        <v>1076</v>
      </c>
      <c r="E2" s="1301" t="s">
        <v>1077</v>
      </c>
      <c r="F2" s="1301" t="s">
        <v>1078</v>
      </c>
      <c r="G2" s="1301" t="s">
        <v>1079</v>
      </c>
      <c r="H2" s="1301" t="s">
        <v>1080</v>
      </c>
      <c r="I2" s="1302" t="s">
        <v>1081</v>
      </c>
    </row>
    <row r="3" spans="1:9">
      <c r="A3" s="3172"/>
      <c r="B3" s="3173" t="s">
        <v>1082</v>
      </c>
      <c r="C3" s="3173"/>
      <c r="D3" s="1303"/>
      <c r="E3" s="1301"/>
      <c r="F3" s="1304"/>
      <c r="G3" s="1304"/>
      <c r="H3" s="1305"/>
      <c r="I3" s="1306">
        <f>ROUND(D3*E3*F3*G3*H3/10000,0)</f>
        <v>0</v>
      </c>
    </row>
    <row r="4" spans="1:9">
      <c r="A4" s="3172"/>
      <c r="B4" s="3173" t="s">
        <v>1083</v>
      </c>
      <c r="C4" s="3173"/>
      <c r="D4" s="1303"/>
      <c r="E4" s="1301"/>
      <c r="F4" s="1304"/>
      <c r="G4" s="1304"/>
      <c r="H4" s="1305"/>
      <c r="I4" s="1306">
        <f t="shared" ref="I4:I9" si="0">ROUND(D4*E4*F4*G4*H4/10000,0)</f>
        <v>0</v>
      </c>
    </row>
    <row r="5" spans="1:9">
      <c r="A5" s="3172"/>
      <c r="B5" s="3173" t="s">
        <v>1084</v>
      </c>
      <c r="C5" s="3173"/>
      <c r="D5" s="1303"/>
      <c r="E5" s="1301"/>
      <c r="F5" s="1304"/>
      <c r="G5" s="1304"/>
      <c r="H5" s="1305"/>
      <c r="I5" s="1306">
        <f t="shared" si="0"/>
        <v>0</v>
      </c>
    </row>
    <row r="6" spans="1:9">
      <c r="A6" s="3172"/>
      <c r="B6" s="3173" t="s">
        <v>1085</v>
      </c>
      <c r="C6" s="3173"/>
      <c r="D6" s="1303"/>
      <c r="E6" s="1301"/>
      <c r="F6" s="1304"/>
      <c r="G6" s="1304"/>
      <c r="H6" s="1305"/>
      <c r="I6" s="1306">
        <f t="shared" si="0"/>
        <v>0</v>
      </c>
    </row>
    <row r="7" spans="1:9">
      <c r="A7" s="3172"/>
      <c r="B7" s="3173" t="s">
        <v>1086</v>
      </c>
      <c r="C7" s="3173"/>
      <c r="D7" s="1303"/>
      <c r="E7" s="1301"/>
      <c r="F7" s="1304"/>
      <c r="G7" s="1304"/>
      <c r="H7" s="1305"/>
      <c r="I7" s="1306">
        <f t="shared" si="0"/>
        <v>0</v>
      </c>
    </row>
    <row r="8" spans="1:9">
      <c r="A8" s="3172"/>
      <c r="B8" s="3173" t="s">
        <v>1087</v>
      </c>
      <c r="C8" s="3173"/>
      <c r="D8" s="1303"/>
      <c r="E8" s="1301"/>
      <c r="F8" s="1304"/>
      <c r="G8" s="1304"/>
      <c r="H8" s="1305"/>
      <c r="I8" s="1306">
        <f t="shared" si="0"/>
        <v>0</v>
      </c>
    </row>
    <row r="9" spans="1:9">
      <c r="A9" s="3172"/>
      <c r="B9" s="3173" t="s">
        <v>1088</v>
      </c>
      <c r="C9" s="3173"/>
      <c r="D9" s="1303"/>
      <c r="E9" s="1301"/>
      <c r="F9" s="1304"/>
      <c r="G9" s="1304"/>
      <c r="H9" s="1305"/>
      <c r="I9" s="1306">
        <f t="shared" si="0"/>
        <v>0</v>
      </c>
    </row>
    <row r="10" spans="1:9">
      <c r="A10" s="3172"/>
      <c r="B10" s="3174" t="s">
        <v>1089</v>
      </c>
      <c r="C10" s="3174"/>
      <c r="D10" s="1307"/>
      <c r="E10" s="1307" t="e">
        <f>ROUND(D1*10000/D10/H9,0)</f>
        <v>#DIV/0!</v>
      </c>
      <c r="F10" s="1308"/>
      <c r="G10" s="1308"/>
      <c r="H10" s="1309"/>
      <c r="I10" s="1310">
        <f>SUM(I3:I9)</f>
        <v>0</v>
      </c>
    </row>
    <row r="11" spans="1:9" ht="14.25">
      <c r="A11" s="3172" t="s">
        <v>1090</v>
      </c>
      <c r="B11" s="3173" t="s">
        <v>1091</v>
      </c>
      <c r="C11" s="3173"/>
      <c r="D11" s="1303" t="s">
        <v>1092</v>
      </c>
      <c r="E11" s="1303" t="s">
        <v>1093</v>
      </c>
      <c r="F11" s="1304" t="s">
        <v>1094</v>
      </c>
      <c r="G11" s="1304" t="s">
        <v>1080</v>
      </c>
      <c r="H11" s="1311" t="s">
        <v>1095</v>
      </c>
      <c r="I11" s="1302" t="s">
        <v>1081</v>
      </c>
    </row>
    <row r="12" spans="1:9">
      <c r="A12" s="3172"/>
      <c r="B12" s="3173" t="s">
        <v>1096</v>
      </c>
      <c r="C12" s="3173"/>
      <c r="D12" s="1303"/>
      <c r="E12" s="1303"/>
      <c r="F12" s="1304"/>
      <c r="G12" s="1305"/>
      <c r="H12" s="1312"/>
      <c r="I12" s="1302">
        <f>ROUND(D12*E12*F12*G12/10000,0)</f>
        <v>0</v>
      </c>
    </row>
    <row r="13" spans="1:9">
      <c r="A13" s="3172"/>
      <c r="B13" s="3173" t="s">
        <v>1097</v>
      </c>
      <c r="C13" s="3173"/>
      <c r="D13" s="1303"/>
      <c r="E13" s="1303"/>
      <c r="F13" s="1304"/>
      <c r="G13" s="1305"/>
      <c r="H13" s="1312"/>
      <c r="I13" s="1302">
        <f>ROUND(D13*E13*F13*G13/10000,0)</f>
        <v>0</v>
      </c>
    </row>
    <row r="14" spans="1:9">
      <c r="A14" s="3172"/>
      <c r="B14" s="3173" t="s">
        <v>1098</v>
      </c>
      <c r="C14" s="3173"/>
      <c r="D14" s="1303"/>
      <c r="E14" s="1303"/>
      <c r="F14" s="1304"/>
      <c r="G14" s="1305"/>
      <c r="H14" s="1312"/>
      <c r="I14" s="1302">
        <f>ROUND(D14*E14*F14*G14/10000,0)</f>
        <v>0</v>
      </c>
    </row>
    <row r="15" spans="1:9">
      <c r="A15" s="3172"/>
      <c r="B15" s="3174" t="s">
        <v>1089</v>
      </c>
      <c r="C15" s="3174"/>
      <c r="D15" s="1307"/>
      <c r="E15" s="1307">
        <f>SUM(E12:E14)</f>
        <v>0</v>
      </c>
      <c r="F15" s="1308"/>
      <c r="G15" s="1305"/>
      <c r="H15" s="1312"/>
      <c r="I15" s="1313">
        <f>SUM(I12:I14)</f>
        <v>0</v>
      </c>
    </row>
    <row r="16" spans="1:9" ht="24">
      <c r="A16" s="3172" t="s">
        <v>1099</v>
      </c>
      <c r="B16" s="3173" t="s">
        <v>1100</v>
      </c>
      <c r="C16" s="3173"/>
      <c r="D16" s="1303" t="s">
        <v>1076</v>
      </c>
      <c r="E16" s="1314" t="s">
        <v>1101</v>
      </c>
      <c r="F16" s="1304" t="s">
        <v>1102</v>
      </c>
      <c r="G16" s="1305" t="s">
        <v>1080</v>
      </c>
      <c r="H16" s="1311" t="s">
        <v>1095</v>
      </c>
      <c r="I16" s="1302" t="s">
        <v>1081</v>
      </c>
    </row>
    <row r="17" spans="1:9" ht="14.25">
      <c r="A17" s="3172"/>
      <c r="B17" s="3173" t="s">
        <v>1103</v>
      </c>
      <c r="C17" s="3173"/>
      <c r="D17" s="1303"/>
      <c r="E17" s="1303"/>
      <c r="F17" s="1304"/>
      <c r="G17" s="1305"/>
      <c r="H17" s="1315"/>
      <c r="I17" s="1316">
        <f>ROUND(D17*E17*F17*G17/10000,0)</f>
        <v>0</v>
      </c>
    </row>
    <row r="18" spans="1:9" ht="14.25">
      <c r="A18" s="3172"/>
      <c r="B18" s="3173" t="s">
        <v>1104</v>
      </c>
      <c r="C18" s="3173"/>
      <c r="D18" s="1303"/>
      <c r="E18" s="1303"/>
      <c r="F18" s="1304"/>
      <c r="G18" s="1305"/>
      <c r="H18" s="1315"/>
      <c r="I18" s="1316">
        <f>ROUND(D18*E18*F18*G18/10000,0)</f>
        <v>0</v>
      </c>
    </row>
    <row r="19" spans="1:9" ht="14.25">
      <c r="A19" s="3172"/>
      <c r="B19" s="3173" t="s">
        <v>1105</v>
      </c>
      <c r="C19" s="3173"/>
      <c r="D19" s="1303"/>
      <c r="E19" s="1303"/>
      <c r="F19" s="1304"/>
      <c r="G19" s="1305"/>
      <c r="H19" s="1315"/>
      <c r="I19" s="1316">
        <f>ROUND(D19*E19*F19*G19/10000,0)</f>
        <v>0</v>
      </c>
    </row>
    <row r="20" spans="1:9">
      <c r="A20" s="3172"/>
      <c r="B20" s="3174" t="s">
        <v>1089</v>
      </c>
      <c r="C20" s="3174"/>
      <c r="D20" s="1307">
        <f>SUM(D17:D19)</f>
        <v>0</v>
      </c>
      <c r="E20" s="1307"/>
      <c r="F20" s="1308"/>
      <c r="G20" s="1305"/>
      <c r="H20" s="1312"/>
      <c r="I20" s="1313">
        <f>SUM(I17:I19)</f>
        <v>0</v>
      </c>
    </row>
    <row r="21" spans="1:9">
      <c r="A21" s="3172" t="s">
        <v>1106</v>
      </c>
      <c r="B21" s="3176"/>
      <c r="C21" s="3176"/>
      <c r="D21" s="3176"/>
      <c r="E21" s="3176"/>
      <c r="F21" s="3176"/>
      <c r="G21" s="3176"/>
      <c r="H21" s="1760">
        <v>0.1</v>
      </c>
      <c r="I21" s="1310">
        <f>ROUND(I10*H21,0)</f>
        <v>0</v>
      </c>
    </row>
    <row r="22" spans="1:9" ht="14.25">
      <c r="A22" s="3177" t="s">
        <v>1107</v>
      </c>
      <c r="B22" s="3178"/>
      <c r="C22" s="3179"/>
      <c r="D22" s="1317" t="s">
        <v>1108</v>
      </c>
      <c r="E22" s="1317" t="s">
        <v>1109</v>
      </c>
      <c r="F22" s="1318" t="s">
        <v>1110</v>
      </c>
      <c r="G22" s="1318" t="s">
        <v>1111</v>
      </c>
      <c r="H22" s="1311" t="s">
        <v>1112</v>
      </c>
      <c r="I22" s="1302" t="s">
        <v>1113</v>
      </c>
    </row>
    <row r="23" spans="1:9" ht="14.25" thickBot="1">
      <c r="A23" s="3180"/>
      <c r="B23" s="3181"/>
      <c r="C23" s="3182"/>
      <c r="D23" s="1319"/>
      <c r="E23" s="1319"/>
      <c r="F23" s="1319"/>
      <c r="G23" s="1320"/>
      <c r="H23" s="1321"/>
      <c r="I23" s="1322">
        <f>ROUND(E23*D23*F23*(1-G23)/10000,0)</f>
        <v>0</v>
      </c>
    </row>
    <row r="26" spans="1:9">
      <c r="A26" s="1323" t="s">
        <v>1114</v>
      </c>
      <c r="B26" s="1323"/>
      <c r="C26" s="1323"/>
      <c r="D26" s="1323"/>
      <c r="E26" s="3183">
        <f>C27-C30-C31-C32</f>
        <v>0</v>
      </c>
      <c r="F26" s="3183"/>
      <c r="G26" s="3183"/>
      <c r="H26" s="1732" t="s">
        <v>1336</v>
      </c>
    </row>
    <row r="27" spans="1:9">
      <c r="A27" s="1324">
        <v>1</v>
      </c>
      <c r="B27" s="1325" t="s">
        <v>1115</v>
      </c>
      <c r="C27" s="1325">
        <f>C28+C29</f>
        <v>0</v>
      </c>
      <c r="D27" s="1325"/>
      <c r="E27" s="3184"/>
      <c r="F27" s="3184"/>
      <c r="G27" s="3184"/>
    </row>
    <row r="28" spans="1:9">
      <c r="A28" s="1326" t="s">
        <v>1116</v>
      </c>
      <c r="B28" s="1325" t="s">
        <v>1117</v>
      </c>
      <c r="C28" s="1325"/>
      <c r="D28" s="1325"/>
      <c r="E28" s="3184"/>
      <c r="F28" s="3184"/>
      <c r="G28" s="318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5"/>
      <c r="F32" s="3175"/>
      <c r="G32" s="3175"/>
    </row>
    <row r="33" spans="1:7" hidden="1">
      <c r="A33" s="3185" t="s">
        <v>1126</v>
      </c>
      <c r="B33" s="3186"/>
      <c r="C33" s="3186"/>
      <c r="D33" s="3187"/>
      <c r="E33" s="3183"/>
      <c r="F33" s="3183"/>
      <c r="G33" s="3183"/>
    </row>
    <row r="34" spans="1:7" hidden="1">
      <c r="A34" s="1328">
        <v>1</v>
      </c>
      <c r="B34" s="1325" t="s">
        <v>1127</v>
      </c>
      <c r="C34" s="1325"/>
      <c r="D34" s="1325"/>
      <c r="E34" s="3184"/>
      <c r="F34" s="3184"/>
      <c r="G34" s="3184"/>
    </row>
    <row r="35" spans="1:7" hidden="1">
      <c r="A35" s="1328">
        <v>2</v>
      </c>
      <c r="B35" s="1325" t="s">
        <v>1128</v>
      </c>
      <c r="C35" s="1325"/>
      <c r="D35" s="1325"/>
      <c r="E35" s="3184"/>
      <c r="F35" s="3184"/>
      <c r="G35" s="3184"/>
    </row>
    <row r="36" spans="1:7" hidden="1">
      <c r="A36" s="1328">
        <v>3</v>
      </c>
      <c r="B36" s="1325" t="s">
        <v>1129</v>
      </c>
      <c r="C36" s="1325"/>
      <c r="D36" s="1325"/>
      <c r="E36" s="3184"/>
      <c r="F36" s="3184"/>
      <c r="G36" s="3184"/>
    </row>
    <row r="37" spans="1:7" hidden="1">
      <c r="A37" s="1328">
        <v>4</v>
      </c>
      <c r="B37" s="1325" t="s">
        <v>1130</v>
      </c>
      <c r="C37" s="1325"/>
      <c r="D37" s="1325"/>
      <c r="E37" s="3184"/>
      <c r="F37" s="3184"/>
      <c r="G37" s="3184"/>
    </row>
    <row r="38" spans="1:7" hidden="1">
      <c r="A38" s="3185" t="s">
        <v>1131</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06" t="s">
        <v>2534</v>
      </c>
      <c r="D4" s="3207"/>
      <c r="E4" s="3208" t="s">
        <v>2535</v>
      </c>
      <c r="F4" s="3209"/>
      <c r="G4" s="3206" t="s">
        <v>2536</v>
      </c>
      <c r="H4" s="3207"/>
      <c r="I4" s="3206" t="s">
        <v>2537</v>
      </c>
      <c r="J4" s="3207"/>
      <c r="K4" s="2593" t="s">
        <v>2538</v>
      </c>
      <c r="L4" s="1130"/>
      <c r="M4" s="1131"/>
      <c r="N4" s="1131"/>
      <c r="O4" s="1131"/>
      <c r="P4" s="3210" t="s">
        <v>2539</v>
      </c>
      <c r="Q4" s="3211"/>
      <c r="R4" s="3193" t="s">
        <v>2535</v>
      </c>
      <c r="S4" s="3194"/>
      <c r="T4" s="3193" t="s">
        <v>2536</v>
      </c>
      <c r="U4" s="3194"/>
      <c r="V4" s="3218" t="s">
        <v>2537</v>
      </c>
      <c r="W4" s="3218"/>
      <c r="X4" s="1808"/>
      <c r="Y4" s="3193" t="s">
        <v>2539</v>
      </c>
      <c r="Z4" s="3194"/>
      <c r="AA4" s="3188" t="s">
        <v>2535</v>
      </c>
      <c r="AB4" s="3188" t="s">
        <v>2536</v>
      </c>
      <c r="AC4" s="3188" t="s">
        <v>2537</v>
      </c>
    </row>
    <row r="5" spans="1:29" ht="15">
      <c r="A5" s="404"/>
      <c r="B5" s="405"/>
      <c r="C5" s="3199" t="s">
        <v>2540</v>
      </c>
      <c r="D5" s="3200"/>
      <c r="E5" s="3197" t="s">
        <v>2541</v>
      </c>
      <c r="F5" s="3198"/>
      <c r="G5" s="3199" t="s">
        <v>2542</v>
      </c>
      <c r="H5" s="3200"/>
      <c r="I5" s="3199" t="s">
        <v>2543</v>
      </c>
      <c r="J5" s="3200"/>
      <c r="K5" s="2594"/>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2594"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91" t="s">
        <v>2547</v>
      </c>
      <c r="Q7" s="3219"/>
      <c r="R7" s="770" t="s">
        <v>23</v>
      </c>
      <c r="S7" s="771">
        <f t="shared" ref="S7:S15" si="0">F7</f>
        <v>0</v>
      </c>
      <c r="T7" s="770" t="s">
        <v>23</v>
      </c>
      <c r="U7" s="771">
        <f t="shared" ref="U7:U15" si="1">H7</f>
        <v>0</v>
      </c>
      <c r="V7" s="770" t="s">
        <v>23</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91" t="s">
        <v>2550</v>
      </c>
      <c r="Q8" s="3192"/>
      <c r="R8" s="770" t="s">
        <v>23</v>
      </c>
      <c r="S8" s="771">
        <f t="shared" si="0"/>
        <v>0</v>
      </c>
      <c r="T8" s="770" t="s">
        <v>23</v>
      </c>
      <c r="U8" s="771">
        <f t="shared" si="1"/>
        <v>0</v>
      </c>
      <c r="V8" s="770" t="s">
        <v>23</v>
      </c>
      <c r="W8" s="771">
        <f t="shared" si="2"/>
        <v>0</v>
      </c>
      <c r="X8" s="772"/>
      <c r="Y8" s="3191" t="s">
        <v>2550</v>
      </c>
      <c r="Z8" s="319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5"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90"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5"/>
      <c r="Q12" s="1790">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5"/>
      <c r="Q13" s="1790">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5"/>
      <c r="Q14" s="1790">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2558</v>
      </c>
      <c r="Q15" s="1805" t="str">
        <f t="shared" si="6"/>
        <v>居住社区成熟度</v>
      </c>
      <c r="R15" s="774" t="s">
        <v>21</v>
      </c>
      <c r="S15" s="775">
        <f t="shared" si="0"/>
        <v>100</v>
      </c>
      <c r="T15" s="774" t="s">
        <v>21</v>
      </c>
      <c r="U15" s="775">
        <f t="shared" si="1"/>
        <v>100</v>
      </c>
      <c r="V15" s="774" t="s">
        <v>21</v>
      </c>
      <c r="W15" s="775">
        <f t="shared" si="2"/>
        <v>100</v>
      </c>
      <c r="X15" s="1808"/>
      <c r="Y15" s="3225"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33"/>
      <c r="Q16" s="1805"/>
      <c r="R16" s="774"/>
      <c r="S16" s="775"/>
      <c r="T16" s="774"/>
      <c r="U16" s="775"/>
      <c r="V16" s="774"/>
      <c r="W16" s="775"/>
      <c r="X16" s="1808"/>
      <c r="Y16" s="3226"/>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05" t="str">
        <f>B17</f>
        <v>交通便捷度</v>
      </c>
      <c r="R17" s="774" t="s">
        <v>21</v>
      </c>
      <c r="S17" s="775">
        <f>F17</f>
        <v>100</v>
      </c>
      <c r="T17" s="774" t="s">
        <v>21</v>
      </c>
      <c r="U17" s="775">
        <f>H17</f>
        <v>100</v>
      </c>
      <c r="V17" s="774" t="s">
        <v>21</v>
      </c>
      <c r="W17" s="775">
        <f>J17</f>
        <v>100</v>
      </c>
      <c r="X17" s="1808"/>
      <c r="Y17" s="3226"/>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33"/>
      <c r="Q18" s="1805"/>
      <c r="R18" s="774"/>
      <c r="S18" s="775"/>
      <c r="T18" s="774"/>
      <c r="U18" s="775"/>
      <c r="V18" s="774"/>
      <c r="W18" s="775"/>
      <c r="X18" s="1808"/>
      <c r="Y18" s="3226"/>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05" t="str">
        <f>B19</f>
        <v>公共配套设施</v>
      </c>
      <c r="R19" s="774" t="s">
        <v>21</v>
      </c>
      <c r="S19" s="775">
        <f>F19</f>
        <v>100</v>
      </c>
      <c r="T19" s="774" t="s">
        <v>21</v>
      </c>
      <c r="U19" s="775">
        <f>H19</f>
        <v>100</v>
      </c>
      <c r="V19" s="774" t="s">
        <v>21</v>
      </c>
      <c r="W19" s="775">
        <f>J19</f>
        <v>100</v>
      </c>
      <c r="X19" s="1808"/>
      <c r="Y19" s="3226"/>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33"/>
      <c r="Q20" s="1805"/>
      <c r="R20" s="774"/>
      <c r="S20" s="775"/>
      <c r="T20" s="774"/>
      <c r="U20" s="775"/>
      <c r="V20" s="774"/>
      <c r="W20" s="775"/>
      <c r="X20" s="1808"/>
      <c r="Y20" s="3226"/>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33"/>
      <c r="Q22" s="1805"/>
      <c r="R22" s="774"/>
      <c r="S22" s="775"/>
      <c r="T22" s="774"/>
      <c r="U22" s="775"/>
      <c r="V22" s="774"/>
      <c r="W22" s="775"/>
      <c r="X22" s="1808"/>
      <c r="Y22" s="3226"/>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05" t="str">
        <f>B23</f>
        <v>自然及人文环境</v>
      </c>
      <c r="R23" s="774" t="s">
        <v>21</v>
      </c>
      <c r="S23" s="775">
        <f>F23</f>
        <v>100</v>
      </c>
      <c r="T23" s="774" t="s">
        <v>21</v>
      </c>
      <c r="U23" s="775">
        <f>H23</f>
        <v>100</v>
      </c>
      <c r="V23" s="774" t="s">
        <v>21</v>
      </c>
      <c r="W23" s="775">
        <f>J23</f>
        <v>100</v>
      </c>
      <c r="X23" s="1808"/>
      <c r="Y23" s="3226"/>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33"/>
      <c r="Q24" s="1805"/>
      <c r="R24" s="774"/>
      <c r="S24" s="775"/>
      <c r="T24" s="774"/>
      <c r="U24" s="775"/>
      <c r="V24" s="774"/>
      <c r="W24" s="775"/>
      <c r="X24" s="1808"/>
      <c r="Y24" s="3226"/>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3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26"/>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33"/>
      <c r="Q26" s="1805" t="str">
        <f t="shared" si="11"/>
        <v>朝向</v>
      </c>
      <c r="R26" s="774" t="s">
        <v>21</v>
      </c>
      <c r="S26" s="775">
        <f t="shared" si="12"/>
        <v>100</v>
      </c>
      <c r="T26" s="774" t="s">
        <v>21</v>
      </c>
      <c r="U26" s="775">
        <f t="shared" si="13"/>
        <v>100</v>
      </c>
      <c r="V26" s="774" t="s">
        <v>21</v>
      </c>
      <c r="W26" s="775">
        <f t="shared" si="14"/>
        <v>100</v>
      </c>
      <c r="X26" s="1808"/>
      <c r="Y26" s="3226"/>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3"/>
      <c r="Q27" s="1790">
        <f t="shared" si="11"/>
        <v>111</v>
      </c>
      <c r="R27" s="770" t="s">
        <v>21</v>
      </c>
      <c r="S27" s="771">
        <f t="shared" si="12"/>
        <v>100</v>
      </c>
      <c r="T27" s="770" t="s">
        <v>21</v>
      </c>
      <c r="U27" s="771">
        <f t="shared" si="13"/>
        <v>100</v>
      </c>
      <c r="V27" s="770" t="s">
        <v>21</v>
      </c>
      <c r="W27" s="771">
        <f t="shared" si="14"/>
        <v>100</v>
      </c>
      <c r="X27" s="772"/>
      <c r="Y27" s="3226"/>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3"/>
      <c r="Q28" s="1805">
        <f t="shared" si="11"/>
        <v>111</v>
      </c>
      <c r="R28" s="774" t="s">
        <v>21</v>
      </c>
      <c r="S28" s="775">
        <f t="shared" si="12"/>
        <v>100</v>
      </c>
      <c r="T28" s="774" t="s">
        <v>21</v>
      </c>
      <c r="U28" s="775">
        <f t="shared" si="13"/>
        <v>100</v>
      </c>
      <c r="V28" s="774" t="s">
        <v>21</v>
      </c>
      <c r="W28" s="775">
        <f t="shared" si="14"/>
        <v>100</v>
      </c>
      <c r="X28" s="1808"/>
      <c r="Y28" s="3226"/>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3"/>
      <c r="Q29" s="1805">
        <f t="shared" si="11"/>
        <v>111</v>
      </c>
      <c r="R29" s="774" t="s">
        <v>21</v>
      </c>
      <c r="S29" s="775">
        <f t="shared" si="12"/>
        <v>100</v>
      </c>
      <c r="T29" s="774" t="s">
        <v>21</v>
      </c>
      <c r="U29" s="775">
        <f t="shared" si="13"/>
        <v>100</v>
      </c>
      <c r="V29" s="774" t="s">
        <v>21</v>
      </c>
      <c r="W29" s="775">
        <f t="shared" si="14"/>
        <v>100</v>
      </c>
      <c r="X29" s="1808"/>
      <c r="Y29" s="3226"/>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3"/>
      <c r="Q30" s="1805">
        <f t="shared" si="11"/>
        <v>111</v>
      </c>
      <c r="R30" s="774" t="s">
        <v>21</v>
      </c>
      <c r="S30" s="775">
        <f t="shared" si="12"/>
        <v>100</v>
      </c>
      <c r="T30" s="774" t="s">
        <v>21</v>
      </c>
      <c r="U30" s="775">
        <f t="shared" si="13"/>
        <v>100</v>
      </c>
      <c r="V30" s="774" t="s">
        <v>21</v>
      </c>
      <c r="W30" s="775">
        <f t="shared" si="14"/>
        <v>100</v>
      </c>
      <c r="X30" s="1808"/>
      <c r="Y30" s="3226"/>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3"/>
      <c r="Q31" s="1805">
        <f t="shared" si="11"/>
        <v>111</v>
      </c>
      <c r="R31" s="774" t="s">
        <v>21</v>
      </c>
      <c r="S31" s="775">
        <f t="shared" si="12"/>
        <v>100</v>
      </c>
      <c r="T31" s="774" t="s">
        <v>21</v>
      </c>
      <c r="U31" s="775">
        <f t="shared" si="13"/>
        <v>100</v>
      </c>
      <c r="V31" s="774" t="s">
        <v>21</v>
      </c>
      <c r="W31" s="775">
        <f t="shared" si="14"/>
        <v>100</v>
      </c>
      <c r="X31" s="1808"/>
      <c r="Y31" s="3226"/>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27" t="s">
        <v>2563</v>
      </c>
      <c r="Q32" s="1805" t="str">
        <f t="shared" si="11"/>
        <v>建筑类型</v>
      </c>
      <c r="R32" s="774" t="s">
        <v>21</v>
      </c>
      <c r="S32" s="775">
        <f t="shared" si="12"/>
        <v>100</v>
      </c>
      <c r="T32" s="774" t="s">
        <v>21</v>
      </c>
      <c r="U32" s="775">
        <f t="shared" si="13"/>
        <v>100</v>
      </c>
      <c r="V32" s="774" t="s">
        <v>21</v>
      </c>
      <c r="W32" s="775">
        <f t="shared" si="14"/>
        <v>100</v>
      </c>
      <c r="X32" s="1808"/>
      <c r="Y32" s="3230"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28"/>
      <c r="Q34" s="1805" t="str">
        <f t="shared" si="11"/>
        <v>建筑结构</v>
      </c>
      <c r="R34" s="774" t="s">
        <v>21</v>
      </c>
      <c r="S34" s="775">
        <f t="shared" si="12"/>
        <v>100</v>
      </c>
      <c r="T34" s="774" t="s">
        <v>21</v>
      </c>
      <c r="U34" s="775">
        <f t="shared" si="13"/>
        <v>100</v>
      </c>
      <c r="V34" s="774" t="s">
        <v>21</v>
      </c>
      <c r="W34" s="775">
        <f t="shared" si="14"/>
        <v>100</v>
      </c>
      <c r="X34" s="1808"/>
      <c r="Y34" s="3230"/>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28"/>
      <c r="Q35" s="1805" t="str">
        <f t="shared" si="11"/>
        <v>建筑品质</v>
      </c>
      <c r="R35" s="774" t="s">
        <v>21</v>
      </c>
      <c r="S35" s="775">
        <f t="shared" si="12"/>
        <v>100</v>
      </c>
      <c r="T35" s="774" t="s">
        <v>21</v>
      </c>
      <c r="U35" s="775">
        <f t="shared" si="13"/>
        <v>100</v>
      </c>
      <c r="V35" s="774" t="s">
        <v>21</v>
      </c>
      <c r="W35" s="775">
        <f t="shared" si="14"/>
        <v>100</v>
      </c>
      <c r="X35" s="1808"/>
      <c r="Y35" s="3230"/>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28"/>
      <c r="Q36" s="1805" t="str">
        <f t="shared" si="11"/>
        <v>公共部分装修</v>
      </c>
      <c r="R36" s="774" t="s">
        <v>21</v>
      </c>
      <c r="S36" s="775">
        <f t="shared" si="12"/>
        <v>100</v>
      </c>
      <c r="T36" s="774" t="s">
        <v>21</v>
      </c>
      <c r="U36" s="775">
        <f t="shared" si="13"/>
        <v>100</v>
      </c>
      <c r="V36" s="774" t="s">
        <v>21</v>
      </c>
      <c r="W36" s="775">
        <f t="shared" si="14"/>
        <v>100</v>
      </c>
      <c r="X36" s="1808"/>
      <c r="Y36" s="3230"/>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0"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28" t="s">
        <v>2563</v>
      </c>
      <c r="Q38" s="1805" t="str">
        <f t="shared" si="11"/>
        <v>物业管理</v>
      </c>
      <c r="R38" s="774" t="s">
        <v>21</v>
      </c>
      <c r="S38" s="775">
        <f t="shared" si="12"/>
        <v>100</v>
      </c>
      <c r="T38" s="774" t="s">
        <v>21</v>
      </c>
      <c r="U38" s="775">
        <f t="shared" si="13"/>
        <v>100</v>
      </c>
      <c r="V38" s="774" t="s">
        <v>21</v>
      </c>
      <c r="W38" s="775">
        <f t="shared" si="14"/>
        <v>100</v>
      </c>
      <c r="X38" s="1808"/>
      <c r="Y38" s="3230"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28"/>
      <c r="Q39" s="1805" t="str">
        <f t="shared" si="11"/>
        <v>市政基础设施</v>
      </c>
      <c r="R39" s="774" t="s">
        <v>21</v>
      </c>
      <c r="S39" s="775">
        <f t="shared" si="12"/>
        <v>100</v>
      </c>
      <c r="T39" s="774" t="s">
        <v>21</v>
      </c>
      <c r="U39" s="775">
        <f t="shared" si="13"/>
        <v>100</v>
      </c>
      <c r="V39" s="774" t="s">
        <v>21</v>
      </c>
      <c r="W39" s="775">
        <f t="shared" si="14"/>
        <v>100</v>
      </c>
      <c r="X39" s="1808"/>
      <c r="Y39" s="3230"/>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28"/>
      <c r="Q40" s="1805" t="str">
        <f t="shared" si="11"/>
        <v>房型</v>
      </c>
      <c r="R40" s="774" t="s">
        <v>21</v>
      </c>
      <c r="S40" s="775">
        <f t="shared" si="12"/>
        <v>100</v>
      </c>
      <c r="T40" s="774" t="s">
        <v>21</v>
      </c>
      <c r="U40" s="775">
        <f t="shared" si="13"/>
        <v>100</v>
      </c>
      <c r="V40" s="774" t="s">
        <v>21</v>
      </c>
      <c r="W40" s="775">
        <f t="shared" si="14"/>
        <v>100</v>
      </c>
      <c r="X40" s="1808"/>
      <c r="Y40" s="3230"/>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28"/>
      <c r="Q42" s="1805" t="str">
        <f t="shared" si="11"/>
        <v>内部装修</v>
      </c>
      <c r="R42" s="774" t="s">
        <v>21</v>
      </c>
      <c r="S42" s="775">
        <f t="shared" si="12"/>
        <v>100</v>
      </c>
      <c r="T42" s="774" t="s">
        <v>21</v>
      </c>
      <c r="U42" s="775">
        <f t="shared" si="13"/>
        <v>100</v>
      </c>
      <c r="V42" s="774" t="s">
        <v>21</v>
      </c>
      <c r="W42" s="775">
        <f t="shared" si="14"/>
        <v>100</v>
      </c>
      <c r="X42" s="1808"/>
      <c r="Y42" s="3230"/>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28"/>
      <c r="Q43" s="1805" t="str">
        <f t="shared" si="11"/>
        <v>内部装修维护情况</v>
      </c>
      <c r="R43" s="774" t="s">
        <v>21</v>
      </c>
      <c r="S43" s="775">
        <f t="shared" si="12"/>
        <v>100</v>
      </c>
      <c r="T43" s="774" t="s">
        <v>21</v>
      </c>
      <c r="U43" s="775">
        <f t="shared" si="13"/>
        <v>100</v>
      </c>
      <c r="V43" s="774" t="s">
        <v>21</v>
      </c>
      <c r="W43" s="775">
        <f t="shared" si="14"/>
        <v>100</v>
      </c>
      <c r="X43" s="1808"/>
      <c r="Y43" s="3230"/>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8"/>
      <c r="Q44" s="1790">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8"/>
      <c r="Q45" s="1805">
        <f t="shared" si="11"/>
        <v>111</v>
      </c>
      <c r="R45" s="774" t="s">
        <v>21</v>
      </c>
      <c r="S45" s="775">
        <f t="shared" si="12"/>
        <v>100</v>
      </c>
      <c r="T45" s="774" t="s">
        <v>21</v>
      </c>
      <c r="U45" s="775">
        <f t="shared" si="13"/>
        <v>100</v>
      </c>
      <c r="V45" s="774" t="s">
        <v>21</v>
      </c>
      <c r="W45" s="775">
        <f t="shared" si="14"/>
        <v>100</v>
      </c>
      <c r="X45" s="1808"/>
      <c r="Y45" s="3230"/>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9"/>
      <c r="Q46" s="1805">
        <f t="shared" si="11"/>
        <v>111</v>
      </c>
      <c r="R46" s="774" t="s">
        <v>20</v>
      </c>
      <c r="S46" s="775">
        <f t="shared" si="12"/>
        <v>100</v>
      </c>
      <c r="T46" s="774" t="s">
        <v>20</v>
      </c>
      <c r="U46" s="775">
        <f t="shared" si="13"/>
        <v>100</v>
      </c>
      <c r="V46" s="774" t="s">
        <v>20</v>
      </c>
      <c r="W46" s="775">
        <f t="shared" si="14"/>
        <v>100</v>
      </c>
      <c r="X46" s="1808"/>
      <c r="Y46" s="3231"/>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218"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218"/>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218"/>
      <c r="AC6" s="3190"/>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2558</v>
      </c>
      <c r="Q15" s="1805" t="str">
        <f t="shared" si="6"/>
        <v>商业繁华度</v>
      </c>
      <c r="R15" s="774" t="s">
        <v>17</v>
      </c>
      <c r="S15" s="775">
        <f t="shared" si="0"/>
        <v>100</v>
      </c>
      <c r="T15" s="774" t="s">
        <v>17</v>
      </c>
      <c r="U15" s="775">
        <f t="shared" si="1"/>
        <v>100</v>
      </c>
      <c r="V15" s="774" t="s">
        <v>17</v>
      </c>
      <c r="W15" s="775">
        <f t="shared" si="2"/>
        <v>100</v>
      </c>
      <c r="X15" s="1808"/>
      <c r="Y15" s="3225"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33"/>
      <c r="Q16" s="1805"/>
      <c r="R16" s="774"/>
      <c r="S16" s="775"/>
      <c r="T16" s="774"/>
      <c r="U16" s="775"/>
      <c r="V16" s="774"/>
      <c r="W16" s="775"/>
      <c r="X16" s="1808"/>
      <c r="Y16" s="3226"/>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33"/>
      <c r="Q18" s="1805"/>
      <c r="R18" s="774"/>
      <c r="S18" s="775"/>
      <c r="T18" s="774"/>
      <c r="U18" s="775"/>
      <c r="V18" s="774"/>
      <c r="W18" s="775"/>
      <c r="X18" s="1808"/>
      <c r="Y18" s="3226"/>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05" t="str">
        <f>B19</f>
        <v>公共配套设施</v>
      </c>
      <c r="R19" s="774" t="s">
        <v>17</v>
      </c>
      <c r="S19" s="775">
        <f>F19</f>
        <v>100</v>
      </c>
      <c r="T19" s="774" t="s">
        <v>17</v>
      </c>
      <c r="U19" s="775">
        <f>H19</f>
        <v>100</v>
      </c>
      <c r="V19" s="774" t="s">
        <v>17</v>
      </c>
      <c r="W19" s="775">
        <f>J19</f>
        <v>100</v>
      </c>
      <c r="X19" s="1808"/>
      <c r="Y19" s="3226"/>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33"/>
      <c r="Q20" s="1805"/>
      <c r="R20" s="774"/>
      <c r="S20" s="775"/>
      <c r="T20" s="774"/>
      <c r="U20" s="775"/>
      <c r="V20" s="774"/>
      <c r="W20" s="775"/>
      <c r="X20" s="1808"/>
      <c r="Y20" s="3226"/>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33"/>
      <c r="Q22" s="1805"/>
      <c r="R22" s="774"/>
      <c r="S22" s="775"/>
      <c r="T22" s="774"/>
      <c r="U22" s="775"/>
      <c r="V22" s="774"/>
      <c r="W22" s="775"/>
      <c r="X22" s="1808"/>
      <c r="Y22" s="3226"/>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05" t="str">
        <f>B23</f>
        <v>自然及人文环境</v>
      </c>
      <c r="R23" s="774" t="s">
        <v>17</v>
      </c>
      <c r="S23" s="775">
        <f>F23</f>
        <v>100</v>
      </c>
      <c r="T23" s="774" t="s">
        <v>17</v>
      </c>
      <c r="U23" s="775">
        <f>H23</f>
        <v>100</v>
      </c>
      <c r="V23" s="774" t="s">
        <v>17</v>
      </c>
      <c r="W23" s="775">
        <f>J23</f>
        <v>100</v>
      </c>
      <c r="X23" s="1808"/>
      <c r="Y23" s="3226"/>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33"/>
      <c r="Q24" s="1805"/>
      <c r="R24" s="774"/>
      <c r="S24" s="775"/>
      <c r="T24" s="774"/>
      <c r="U24" s="775"/>
      <c r="V24" s="774"/>
      <c r="W24" s="775"/>
      <c r="X24" s="1808"/>
      <c r="Y24" s="3226"/>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05" t="str">
        <f t="shared" ref="Q25:Q46" si="11">B25</f>
        <v>临街状况</v>
      </c>
      <c r="R25" s="774" t="s">
        <v>17</v>
      </c>
      <c r="S25" s="775">
        <f>F25</f>
        <v>100</v>
      </c>
      <c r="T25" s="774" t="s">
        <v>17</v>
      </c>
      <c r="U25" s="775">
        <f>H25</f>
        <v>100</v>
      </c>
      <c r="V25" s="774" t="s">
        <v>17</v>
      </c>
      <c r="W25" s="775">
        <f>J25</f>
        <v>100</v>
      </c>
      <c r="X25" s="1808"/>
      <c r="Y25" s="3226"/>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05" t="str">
        <f t="shared" si="11"/>
        <v>平面位置/可视性</v>
      </c>
      <c r="R26" s="774" t="s">
        <v>17</v>
      </c>
      <c r="S26" s="775">
        <f>F26</f>
        <v>100</v>
      </c>
      <c r="T26" s="774" t="s">
        <v>17</v>
      </c>
      <c r="U26" s="775">
        <f>H26</f>
        <v>100</v>
      </c>
      <c r="V26" s="774" t="s">
        <v>17</v>
      </c>
      <c r="W26" s="775">
        <f>J26</f>
        <v>100</v>
      </c>
      <c r="X26" s="1808"/>
      <c r="Y26" s="3226"/>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33"/>
      <c r="Q27" s="1790" t="str">
        <f t="shared" si="11"/>
        <v>人流量</v>
      </c>
      <c r="R27" s="770" t="s">
        <v>17</v>
      </c>
      <c r="S27" s="771">
        <f>F27</f>
        <v>100</v>
      </c>
      <c r="T27" s="770" t="s">
        <v>17</v>
      </c>
      <c r="U27" s="771">
        <f>H27</f>
        <v>100</v>
      </c>
      <c r="V27" s="770" t="s">
        <v>17</v>
      </c>
      <c r="W27" s="771">
        <f>J27</f>
        <v>100</v>
      </c>
      <c r="X27" s="772"/>
      <c r="Y27" s="3226"/>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26"/>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05">
        <f t="shared" si="11"/>
        <v>111</v>
      </c>
      <c r="R29" s="774" t="s">
        <v>17</v>
      </c>
      <c r="S29" s="775">
        <f t="shared" si="12"/>
        <v>100</v>
      </c>
      <c r="T29" s="774" t="s">
        <v>17</v>
      </c>
      <c r="U29" s="775">
        <f t="shared" si="13"/>
        <v>100</v>
      </c>
      <c r="V29" s="774" t="s">
        <v>17</v>
      </c>
      <c r="W29" s="775">
        <f t="shared" si="14"/>
        <v>100</v>
      </c>
      <c r="X29" s="1808"/>
      <c r="Y29" s="3226"/>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05">
        <f t="shared" si="11"/>
        <v>111</v>
      </c>
      <c r="R30" s="774" t="s">
        <v>17</v>
      </c>
      <c r="S30" s="775">
        <f t="shared" si="12"/>
        <v>100</v>
      </c>
      <c r="T30" s="774" t="s">
        <v>17</v>
      </c>
      <c r="U30" s="775">
        <f t="shared" si="13"/>
        <v>100</v>
      </c>
      <c r="V30" s="774" t="s">
        <v>17</v>
      </c>
      <c r="W30" s="775">
        <f t="shared" si="14"/>
        <v>100</v>
      </c>
      <c r="X30" s="1808"/>
      <c r="Y30" s="3226"/>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05">
        <f t="shared" si="11"/>
        <v>111</v>
      </c>
      <c r="R31" s="774" t="s">
        <v>17</v>
      </c>
      <c r="S31" s="775">
        <f t="shared" si="12"/>
        <v>100</v>
      </c>
      <c r="T31" s="774" t="s">
        <v>17</v>
      </c>
      <c r="U31" s="775">
        <f t="shared" si="13"/>
        <v>100</v>
      </c>
      <c r="V31" s="774" t="s">
        <v>17</v>
      </c>
      <c r="W31" s="775">
        <f t="shared" si="14"/>
        <v>100</v>
      </c>
      <c r="X31" s="1808"/>
      <c r="Y31" s="3226"/>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27" t="s">
        <v>2563</v>
      </c>
      <c r="Q32" s="1805" t="str">
        <f t="shared" si="11"/>
        <v>商业类型</v>
      </c>
      <c r="R32" s="774" t="s">
        <v>17</v>
      </c>
      <c r="S32" s="775">
        <f t="shared" si="12"/>
        <v>100</v>
      </c>
      <c r="T32" s="774" t="s">
        <v>17</v>
      </c>
      <c r="U32" s="775">
        <f t="shared" si="13"/>
        <v>100</v>
      </c>
      <c r="V32" s="774" t="s">
        <v>17</v>
      </c>
      <c r="W32" s="775">
        <f t="shared" si="14"/>
        <v>100</v>
      </c>
      <c r="X32" s="1808"/>
      <c r="Y32" s="3230"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28"/>
      <c r="Q34" s="1805" t="str">
        <f t="shared" si="11"/>
        <v>建筑结构</v>
      </c>
      <c r="R34" s="774" t="s">
        <v>17</v>
      </c>
      <c r="S34" s="775">
        <f t="shared" si="12"/>
        <v>100</v>
      </c>
      <c r="T34" s="774" t="s">
        <v>17</v>
      </c>
      <c r="U34" s="775">
        <f t="shared" si="13"/>
        <v>100</v>
      </c>
      <c r="V34" s="774" t="s">
        <v>17</v>
      </c>
      <c r="W34" s="775">
        <f t="shared" si="14"/>
        <v>100</v>
      </c>
      <c r="X34" s="1808"/>
      <c r="Y34" s="3230"/>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28"/>
      <c r="Q35" s="1805" t="str">
        <f t="shared" si="11"/>
        <v>公共部分装修</v>
      </c>
      <c r="R35" s="774" t="s">
        <v>17</v>
      </c>
      <c r="S35" s="775">
        <f t="shared" si="12"/>
        <v>100</v>
      </c>
      <c r="T35" s="774" t="s">
        <v>17</v>
      </c>
      <c r="U35" s="775">
        <f t="shared" si="13"/>
        <v>100</v>
      </c>
      <c r="V35" s="774" t="s">
        <v>17</v>
      </c>
      <c r="W35" s="775">
        <f t="shared" si="14"/>
        <v>100</v>
      </c>
      <c r="X35" s="1808"/>
      <c r="Y35" s="3230"/>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05" t="str">
        <f t="shared" si="11"/>
        <v>成新度</v>
      </c>
      <c r="R36" s="774" t="s">
        <v>17</v>
      </c>
      <c r="S36" s="775" t="e">
        <f t="shared" si="12"/>
        <v>#N/A</v>
      </c>
      <c r="T36" s="774" t="s">
        <v>17</v>
      </c>
      <c r="U36" s="775" t="e">
        <f t="shared" si="13"/>
        <v>#N/A</v>
      </c>
      <c r="V36" s="774" t="s">
        <v>17</v>
      </c>
      <c r="W36" s="775" t="e">
        <f t="shared" si="14"/>
        <v>#N/A</v>
      </c>
      <c r="X36" s="1808"/>
      <c r="Y36" s="3230"/>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28"/>
      <c r="Q37" s="1790"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28" t="s">
        <v>2563</v>
      </c>
      <c r="Q38" s="1805" t="str">
        <f t="shared" si="11"/>
        <v>业态</v>
      </c>
      <c r="R38" s="774" t="s">
        <v>17</v>
      </c>
      <c r="S38" s="775">
        <f t="shared" si="12"/>
        <v>100</v>
      </c>
      <c r="T38" s="774" t="s">
        <v>17</v>
      </c>
      <c r="U38" s="775">
        <f t="shared" si="13"/>
        <v>100</v>
      </c>
      <c r="V38" s="774" t="s">
        <v>17</v>
      </c>
      <c r="W38" s="775">
        <f t="shared" si="14"/>
        <v>100</v>
      </c>
      <c r="X38" s="1808"/>
      <c r="Y38" s="3230"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28"/>
      <c r="Q39" s="1805" t="str">
        <f t="shared" si="11"/>
        <v>层高</v>
      </c>
      <c r="R39" s="774" t="s">
        <v>17</v>
      </c>
      <c r="S39" s="775">
        <f t="shared" si="12"/>
        <v>100</v>
      </c>
      <c r="T39" s="774" t="s">
        <v>17</v>
      </c>
      <c r="U39" s="775">
        <f t="shared" si="13"/>
        <v>100</v>
      </c>
      <c r="V39" s="774" t="s">
        <v>17</v>
      </c>
      <c r="W39" s="775">
        <f t="shared" si="14"/>
        <v>100</v>
      </c>
      <c r="X39" s="1808"/>
      <c r="Y39" s="3230"/>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05" t="str">
        <f t="shared" si="11"/>
        <v>单套建筑面积</v>
      </c>
      <c r="R40" s="774" t="s">
        <v>17</v>
      </c>
      <c r="S40" s="775">
        <f t="shared" si="12"/>
        <v>100</v>
      </c>
      <c r="T40" s="774" t="s">
        <v>17</v>
      </c>
      <c r="U40" s="775">
        <f t="shared" si="13"/>
        <v>100</v>
      </c>
      <c r="V40" s="774" t="s">
        <v>17</v>
      </c>
      <c r="W40" s="775">
        <f t="shared" si="14"/>
        <v>100</v>
      </c>
      <c r="X40" s="1808"/>
      <c r="Y40" s="3230"/>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28"/>
      <c r="Q42" s="1805" t="str">
        <f t="shared" si="11"/>
        <v>内部装修</v>
      </c>
      <c r="R42" s="774" t="s">
        <v>17</v>
      </c>
      <c r="S42" s="775">
        <f t="shared" si="12"/>
        <v>100</v>
      </c>
      <c r="T42" s="774" t="s">
        <v>17</v>
      </c>
      <c r="U42" s="775">
        <f t="shared" si="13"/>
        <v>100</v>
      </c>
      <c r="V42" s="774" t="s">
        <v>17</v>
      </c>
      <c r="W42" s="775">
        <f t="shared" si="14"/>
        <v>100</v>
      </c>
      <c r="X42" s="1808"/>
      <c r="Y42" s="3230"/>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28"/>
      <c r="Q43" s="1805" t="str">
        <f t="shared" si="11"/>
        <v>内部装修维护情况</v>
      </c>
      <c r="R43" s="774" t="s">
        <v>17</v>
      </c>
      <c r="S43" s="775">
        <f t="shared" si="12"/>
        <v>100</v>
      </c>
      <c r="T43" s="774" t="s">
        <v>17</v>
      </c>
      <c r="U43" s="775">
        <f t="shared" si="13"/>
        <v>100</v>
      </c>
      <c r="V43" s="774" t="s">
        <v>17</v>
      </c>
      <c r="W43" s="775">
        <f t="shared" si="14"/>
        <v>100</v>
      </c>
      <c r="X43" s="1808"/>
      <c r="Y43" s="3230"/>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0">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05">
        <f t="shared" si="11"/>
        <v>111</v>
      </c>
      <c r="R45" s="774" t="s">
        <v>17</v>
      </c>
      <c r="S45" s="775">
        <f t="shared" si="12"/>
        <v>100</v>
      </c>
      <c r="T45" s="774" t="s">
        <v>17</v>
      </c>
      <c r="U45" s="775">
        <f t="shared" si="13"/>
        <v>100</v>
      </c>
      <c r="V45" s="774" t="s">
        <v>17</v>
      </c>
      <c r="W45" s="775">
        <f t="shared" si="14"/>
        <v>100</v>
      </c>
      <c r="X45" s="1808"/>
      <c r="Y45" s="3230"/>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05">
        <f t="shared" si="11"/>
        <v>111</v>
      </c>
      <c r="R46" s="774" t="s">
        <v>17</v>
      </c>
      <c r="S46" s="775">
        <f t="shared" si="12"/>
        <v>100</v>
      </c>
      <c r="T46" s="774" t="s">
        <v>17</v>
      </c>
      <c r="U46" s="775">
        <f t="shared" si="13"/>
        <v>100</v>
      </c>
      <c r="V46" s="774" t="s">
        <v>17</v>
      </c>
      <c r="W46" s="775">
        <f t="shared" si="14"/>
        <v>100</v>
      </c>
      <c r="X46" s="1808"/>
      <c r="Y46" s="3231"/>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15" sqref="G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8.3000000000000007</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06" t="s">
        <v>2534</v>
      </c>
      <c r="D4" s="3207"/>
      <c r="E4" s="3208" t="s">
        <v>2535</v>
      </c>
      <c r="F4" s="3209"/>
      <c r="G4" s="3206" t="s">
        <v>2536</v>
      </c>
      <c r="H4" s="3207"/>
      <c r="I4" s="3206" t="s">
        <v>2537</v>
      </c>
      <c r="J4" s="3207"/>
      <c r="K4" s="610" t="s">
        <v>2538</v>
      </c>
      <c r="L4" s="1130"/>
      <c r="M4" s="1131"/>
      <c r="N4" s="1131"/>
      <c r="O4" s="1131"/>
      <c r="P4" s="3245" t="s">
        <v>2539</v>
      </c>
      <c r="Q4" s="3246"/>
      <c r="R4" s="3238" t="s">
        <v>2535</v>
      </c>
      <c r="S4" s="3239"/>
      <c r="T4" s="3238" t="s">
        <v>2536</v>
      </c>
      <c r="U4" s="3239"/>
      <c r="V4" s="3240" t="s">
        <v>2537</v>
      </c>
      <c r="W4" s="3240"/>
      <c r="X4" s="2963"/>
      <c r="Y4" s="3238" t="s">
        <v>2539</v>
      </c>
      <c r="Z4" s="3239"/>
      <c r="AA4" s="3241" t="s">
        <v>2535</v>
      </c>
      <c r="AB4" s="3241" t="s">
        <v>2536</v>
      </c>
      <c r="AC4" s="3242" t="s">
        <v>2537</v>
      </c>
    </row>
    <row r="5" spans="1:29" ht="15">
      <c r="A5" s="404"/>
      <c r="B5" s="405"/>
      <c r="C5" s="3249" t="s">
        <v>3147</v>
      </c>
      <c r="D5" s="3200"/>
      <c r="E5" s="3250" t="s">
        <v>3152</v>
      </c>
      <c r="F5" s="3198"/>
      <c r="G5" s="3249" t="s">
        <v>3153</v>
      </c>
      <c r="H5" s="3200"/>
      <c r="I5" s="3250" t="s">
        <v>3152</v>
      </c>
      <c r="J5" s="3198"/>
      <c r="K5" s="610"/>
      <c r="L5" s="1130"/>
      <c r="M5" s="1131"/>
      <c r="N5" s="1131"/>
      <c r="O5" s="1131"/>
      <c r="P5" s="3247"/>
      <c r="Q5" s="3213"/>
      <c r="R5" s="3195"/>
      <c r="S5" s="3196"/>
      <c r="T5" s="3195"/>
      <c r="U5" s="3196"/>
      <c r="V5" s="3218"/>
      <c r="W5" s="3218"/>
      <c r="X5" s="2958"/>
      <c r="Y5" s="3195"/>
      <c r="Z5" s="3196"/>
      <c r="AA5" s="3189"/>
      <c r="AB5" s="3189"/>
      <c r="AC5" s="3243"/>
    </row>
    <row r="6" spans="1:29" ht="15.75" thickBot="1">
      <c r="A6" s="406"/>
      <c r="B6" s="407"/>
      <c r="C6" s="3251" t="s">
        <v>3104</v>
      </c>
      <c r="D6" s="3202"/>
      <c r="E6" s="3252" t="s">
        <v>3104</v>
      </c>
      <c r="F6" s="3204"/>
      <c r="G6" s="3251" t="s">
        <v>3104</v>
      </c>
      <c r="H6" s="3202"/>
      <c r="I6" s="3252" t="s">
        <v>3104</v>
      </c>
      <c r="J6" s="3204"/>
      <c r="K6" s="610" t="s">
        <v>2545</v>
      </c>
      <c r="L6" s="1130"/>
      <c r="M6" s="1131"/>
      <c r="N6" s="1131"/>
      <c r="O6" s="1131"/>
      <c r="P6" s="3248"/>
      <c r="Q6" s="3215"/>
      <c r="R6" s="3195"/>
      <c r="S6" s="3196"/>
      <c r="T6" s="3216"/>
      <c r="U6" s="3217"/>
      <c r="V6" s="3218"/>
      <c r="W6" s="3218"/>
      <c r="X6" s="2958"/>
      <c r="Y6" s="3216"/>
      <c r="Z6" s="3217"/>
      <c r="AA6" s="3190"/>
      <c r="AB6" s="3190"/>
      <c r="AC6" s="3244"/>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37" t="s">
        <v>2547</v>
      </c>
      <c r="Q7" s="3219"/>
      <c r="R7" s="770" t="s">
        <v>17</v>
      </c>
      <c r="S7" s="771">
        <f t="shared" ref="S7:S15" si="0">F7</f>
        <v>100</v>
      </c>
      <c r="T7" s="770" t="s">
        <v>17</v>
      </c>
      <c r="U7" s="771">
        <f t="shared" ref="U7:U15" si="1">H7</f>
        <v>100</v>
      </c>
      <c r="V7" s="770" t="s">
        <v>17</v>
      </c>
      <c r="W7" s="771">
        <f t="shared" ref="W7:W15" si="2">J7</f>
        <v>100</v>
      </c>
      <c r="X7" s="772"/>
      <c r="Y7" s="3191" t="s">
        <v>2547</v>
      </c>
      <c r="Z7" s="3192"/>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37" t="s">
        <v>2550</v>
      </c>
      <c r="Q8" s="3192"/>
      <c r="R8" s="770" t="s">
        <v>17</v>
      </c>
      <c r="S8" s="771">
        <f t="shared" si="0"/>
        <v>100</v>
      </c>
      <c r="T8" s="770" t="s">
        <v>17</v>
      </c>
      <c r="U8" s="771">
        <f t="shared" si="1"/>
        <v>100</v>
      </c>
      <c r="V8" s="770" t="s">
        <v>17</v>
      </c>
      <c r="W8" s="771">
        <f t="shared" si="2"/>
        <v>100</v>
      </c>
      <c r="X8" s="772"/>
      <c r="Y8" s="3191" t="s">
        <v>2550</v>
      </c>
      <c r="Z8" s="319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5" t="s">
        <v>2553</v>
      </c>
      <c r="Q9" s="2955" t="str">
        <f t="shared" ref="Q9:Q15" si="6">B9</f>
        <v>用途</v>
      </c>
      <c r="R9" s="770" t="s">
        <v>17</v>
      </c>
      <c r="S9" s="771">
        <f t="shared" si="0"/>
        <v>100</v>
      </c>
      <c r="T9" s="770" t="s">
        <v>17</v>
      </c>
      <c r="U9" s="771">
        <f t="shared" si="1"/>
        <v>100</v>
      </c>
      <c r="V9" s="770" t="s">
        <v>17</v>
      </c>
      <c r="W9" s="771">
        <f t="shared" si="2"/>
        <v>100</v>
      </c>
      <c r="X9" s="772"/>
      <c r="Y9" s="3038"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5"/>
      <c r="Q10" s="2955" t="str">
        <f t="shared" si="6"/>
        <v>土地使用年限（年）</v>
      </c>
      <c r="R10" s="770" t="s">
        <v>17</v>
      </c>
      <c r="S10" s="771">
        <f t="shared" si="0"/>
        <v>100</v>
      </c>
      <c r="T10" s="770" t="s">
        <v>17</v>
      </c>
      <c r="U10" s="771">
        <f t="shared" si="1"/>
        <v>100</v>
      </c>
      <c r="V10" s="770" t="s">
        <v>17</v>
      </c>
      <c r="W10" s="771">
        <f t="shared" si="2"/>
        <v>100</v>
      </c>
      <c r="X10" s="772"/>
      <c r="Y10" s="3038"/>
      <c r="Z10" s="2956" t="str">
        <f t="shared" si="7"/>
        <v>土地使用年限（年）</v>
      </c>
      <c r="AA10" s="773">
        <f t="shared" si="3"/>
        <v>1</v>
      </c>
      <c r="AB10" s="773">
        <f t="shared" si="4"/>
        <v>1</v>
      </c>
      <c r="AC10" s="2668">
        <f t="shared" si="5"/>
        <v>1</v>
      </c>
    </row>
    <row r="11" spans="1:29" ht="15.75"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5"/>
      <c r="Q11" s="2955" t="str">
        <f t="shared" si="6"/>
        <v>容积率</v>
      </c>
      <c r="R11" s="770" t="s">
        <v>17</v>
      </c>
      <c r="S11" s="771">
        <f t="shared" si="0"/>
        <v>100</v>
      </c>
      <c r="T11" s="770" t="s">
        <v>17</v>
      </c>
      <c r="U11" s="771">
        <f t="shared" si="1"/>
        <v>100</v>
      </c>
      <c r="V11" s="770" t="s">
        <v>17</v>
      </c>
      <c r="W11" s="771">
        <f t="shared" si="2"/>
        <v>100</v>
      </c>
      <c r="X11" s="772"/>
      <c r="Y11" s="3038"/>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5"/>
      <c r="Q12" s="2955">
        <f t="shared" si="6"/>
        <v>111</v>
      </c>
      <c r="R12" s="770" t="s">
        <v>17</v>
      </c>
      <c r="S12" s="771">
        <f t="shared" si="0"/>
        <v>100</v>
      </c>
      <c r="T12" s="770" t="s">
        <v>17</v>
      </c>
      <c r="U12" s="771">
        <f t="shared" si="1"/>
        <v>100</v>
      </c>
      <c r="V12" s="770" t="s">
        <v>17</v>
      </c>
      <c r="W12" s="771">
        <f t="shared" si="2"/>
        <v>100</v>
      </c>
      <c r="X12" s="772"/>
      <c r="Y12" s="3038"/>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5"/>
      <c r="Q13" s="2955">
        <f t="shared" si="6"/>
        <v>111</v>
      </c>
      <c r="R13" s="770" t="s">
        <v>17</v>
      </c>
      <c r="S13" s="771">
        <f t="shared" si="0"/>
        <v>100</v>
      </c>
      <c r="T13" s="770" t="s">
        <v>17</v>
      </c>
      <c r="U13" s="771">
        <f t="shared" si="1"/>
        <v>100</v>
      </c>
      <c r="V13" s="770" t="s">
        <v>17</v>
      </c>
      <c r="W13" s="771">
        <f t="shared" si="2"/>
        <v>100</v>
      </c>
      <c r="X13" s="772"/>
      <c r="Y13" s="3038"/>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5"/>
      <c r="Q14" s="2955">
        <f t="shared" si="6"/>
        <v>111</v>
      </c>
      <c r="R14" s="770" t="s">
        <v>17</v>
      </c>
      <c r="S14" s="771">
        <f t="shared" si="0"/>
        <v>100</v>
      </c>
      <c r="T14" s="770" t="s">
        <v>17</v>
      </c>
      <c r="U14" s="771">
        <f t="shared" si="1"/>
        <v>100</v>
      </c>
      <c r="V14" s="770" t="s">
        <v>17</v>
      </c>
      <c r="W14" s="771">
        <f t="shared" si="2"/>
        <v>100</v>
      </c>
      <c r="X14" s="772"/>
      <c r="Y14" s="3038"/>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2" t="s">
        <v>2558</v>
      </c>
      <c r="Q15" s="2961" t="str">
        <f t="shared" si="6"/>
        <v>办公集聚程度</v>
      </c>
      <c r="R15" s="774" t="s">
        <v>17</v>
      </c>
      <c r="S15" s="775">
        <f t="shared" si="0"/>
        <v>100</v>
      </c>
      <c r="T15" s="774" t="s">
        <v>17</v>
      </c>
      <c r="U15" s="775">
        <f t="shared" si="1"/>
        <v>100</v>
      </c>
      <c r="V15" s="774" t="s">
        <v>17</v>
      </c>
      <c r="W15" s="775">
        <f t="shared" si="2"/>
        <v>100</v>
      </c>
      <c r="X15" s="2958"/>
      <c r="Y15" s="3225"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3"/>
      <c r="Q16" s="2961"/>
      <c r="R16" s="774"/>
      <c r="S16" s="775"/>
      <c r="T16" s="774"/>
      <c r="U16" s="775"/>
      <c r="V16" s="774"/>
      <c r="W16" s="775"/>
      <c r="X16" s="2958"/>
      <c r="Y16" s="3226"/>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3"/>
      <c r="Q17" s="2961" t="str">
        <f>B17</f>
        <v>交通便捷度</v>
      </c>
      <c r="R17" s="774" t="s">
        <v>17</v>
      </c>
      <c r="S17" s="775">
        <f>F17</f>
        <v>100</v>
      </c>
      <c r="T17" s="774" t="s">
        <v>17</v>
      </c>
      <c r="U17" s="775">
        <f>H17</f>
        <v>100</v>
      </c>
      <c r="V17" s="774" t="s">
        <v>17</v>
      </c>
      <c r="W17" s="775">
        <f>J17</f>
        <v>100</v>
      </c>
      <c r="X17" s="2958"/>
      <c r="Y17" s="3226"/>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3"/>
      <c r="Q18" s="2961"/>
      <c r="R18" s="774"/>
      <c r="S18" s="775"/>
      <c r="T18" s="774"/>
      <c r="U18" s="775"/>
      <c r="V18" s="774"/>
      <c r="W18" s="775"/>
      <c r="X18" s="2958"/>
      <c r="Y18" s="3226"/>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3"/>
      <c r="Q19" s="2961" t="str">
        <f>B19</f>
        <v>公共配套设施</v>
      </c>
      <c r="R19" s="774" t="s">
        <v>17</v>
      </c>
      <c r="S19" s="775">
        <f>F19</f>
        <v>100</v>
      </c>
      <c r="T19" s="774" t="s">
        <v>17</v>
      </c>
      <c r="U19" s="775">
        <f>H19</f>
        <v>100</v>
      </c>
      <c r="V19" s="774" t="s">
        <v>17</v>
      </c>
      <c r="W19" s="775">
        <f>J19</f>
        <v>100</v>
      </c>
      <c r="X19" s="2958"/>
      <c r="Y19" s="3226"/>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3"/>
      <c r="Q20" s="2961"/>
      <c r="R20" s="774"/>
      <c r="S20" s="775"/>
      <c r="T20" s="774"/>
      <c r="U20" s="775"/>
      <c r="V20" s="774"/>
      <c r="W20" s="775"/>
      <c r="X20" s="2958"/>
      <c r="Y20" s="3226"/>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3"/>
      <c r="Q21" s="2961" t="str">
        <f>B21</f>
        <v>基础设施水平</v>
      </c>
      <c r="R21" s="774" t="s">
        <v>17</v>
      </c>
      <c r="S21" s="775">
        <f>F21</f>
        <v>100</v>
      </c>
      <c r="T21" s="774" t="s">
        <v>17</v>
      </c>
      <c r="U21" s="775">
        <f>H21</f>
        <v>100</v>
      </c>
      <c r="V21" s="774" t="s">
        <v>17</v>
      </c>
      <c r="W21" s="775">
        <f>J21</f>
        <v>100</v>
      </c>
      <c r="X21" s="2958"/>
      <c r="Y21" s="3226"/>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3"/>
      <c r="Q22" s="2961"/>
      <c r="R22" s="774"/>
      <c r="S22" s="775"/>
      <c r="T22" s="774"/>
      <c r="U22" s="775"/>
      <c r="V22" s="774"/>
      <c r="W22" s="775"/>
      <c r="X22" s="2958"/>
      <c r="Y22" s="3226"/>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33"/>
      <c r="Q23" s="2961" t="str">
        <f>B23</f>
        <v>环境质量</v>
      </c>
      <c r="R23" s="774" t="s">
        <v>17</v>
      </c>
      <c r="S23" s="775">
        <f>F23</f>
        <v>100</v>
      </c>
      <c r="T23" s="774" t="s">
        <v>17</v>
      </c>
      <c r="U23" s="775">
        <f>H23</f>
        <v>100</v>
      </c>
      <c r="V23" s="774" t="s">
        <v>17</v>
      </c>
      <c r="W23" s="775">
        <f>J23</f>
        <v>100</v>
      </c>
      <c r="X23" s="2958"/>
      <c r="Y23" s="3226"/>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3"/>
      <c r="Q24" s="2961"/>
      <c r="R24" s="774"/>
      <c r="S24" s="775"/>
      <c r="T24" s="774"/>
      <c r="U24" s="775"/>
      <c r="V24" s="774"/>
      <c r="W24" s="775"/>
      <c r="X24" s="2958"/>
      <c r="Y24" s="3226"/>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3"/>
      <c r="Q25" s="2961" t="str">
        <f>B25</f>
        <v>毗邻道路的类型与等级</v>
      </c>
      <c r="R25" s="774" t="s">
        <v>17</v>
      </c>
      <c r="S25" s="775">
        <f>F25</f>
        <v>100</v>
      </c>
      <c r="T25" s="774" t="s">
        <v>17</v>
      </c>
      <c r="U25" s="775">
        <f>H25</f>
        <v>100</v>
      </c>
      <c r="V25" s="774" t="s">
        <v>17</v>
      </c>
      <c r="W25" s="775">
        <f>J25</f>
        <v>100</v>
      </c>
      <c r="X25" s="2958"/>
      <c r="Y25" s="3226"/>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3"/>
      <c r="Q26" s="2961"/>
      <c r="R26" s="774"/>
      <c r="S26" s="775"/>
      <c r="T26" s="774"/>
      <c r="U26" s="775"/>
      <c r="V26" s="774"/>
      <c r="W26" s="775"/>
      <c r="X26" s="2958"/>
      <c r="Y26" s="3226"/>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33"/>
      <c r="Q27" s="2961" t="str">
        <f t="shared" ref="Q27:Q47" si="11">B27</f>
        <v>楼层</v>
      </c>
      <c r="R27" s="774" t="s">
        <v>17</v>
      </c>
      <c r="S27" s="775">
        <f>F27</f>
        <v>95</v>
      </c>
      <c r="T27" s="774" t="s">
        <v>17</v>
      </c>
      <c r="U27" s="775">
        <f>H27</f>
        <v>95</v>
      </c>
      <c r="V27" s="774" t="s">
        <v>17</v>
      </c>
      <c r="W27" s="775">
        <f>J27</f>
        <v>95</v>
      </c>
      <c r="X27" s="2958"/>
      <c r="Y27" s="3226"/>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3"/>
      <c r="Q28" s="2955" t="str">
        <f t="shared" si="11"/>
        <v>朝向</v>
      </c>
      <c r="R28" s="770" t="s">
        <v>17</v>
      </c>
      <c r="S28" s="771">
        <f>F28</f>
        <v>100</v>
      </c>
      <c r="T28" s="770" t="s">
        <v>17</v>
      </c>
      <c r="U28" s="771">
        <f>H28</f>
        <v>100</v>
      </c>
      <c r="V28" s="770" t="s">
        <v>17</v>
      </c>
      <c r="W28" s="771">
        <f>J28</f>
        <v>100</v>
      </c>
      <c r="X28" s="772"/>
      <c r="Y28" s="3226"/>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3"/>
      <c r="Q29" s="2961">
        <f t="shared" si="11"/>
        <v>111</v>
      </c>
      <c r="R29" s="774" t="s">
        <v>17</v>
      </c>
      <c r="S29" s="775">
        <f t="shared" ref="S29:S47" si="12">F29</f>
        <v>100</v>
      </c>
      <c r="T29" s="774" t="s">
        <v>17</v>
      </c>
      <c r="U29" s="775">
        <f t="shared" ref="U29:U47" si="13">H29</f>
        <v>100</v>
      </c>
      <c r="V29" s="774" t="s">
        <v>17</v>
      </c>
      <c r="W29" s="775">
        <f t="shared" ref="W29:W47" si="14">J29</f>
        <v>100</v>
      </c>
      <c r="X29" s="2958"/>
      <c r="Y29" s="3226"/>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3"/>
      <c r="Q30" s="2961">
        <f t="shared" si="11"/>
        <v>111</v>
      </c>
      <c r="R30" s="774" t="s">
        <v>17</v>
      </c>
      <c r="S30" s="775">
        <f t="shared" si="12"/>
        <v>100</v>
      </c>
      <c r="T30" s="774" t="s">
        <v>17</v>
      </c>
      <c r="U30" s="775">
        <f t="shared" si="13"/>
        <v>100</v>
      </c>
      <c r="V30" s="774" t="s">
        <v>17</v>
      </c>
      <c r="W30" s="775">
        <f t="shared" si="14"/>
        <v>100</v>
      </c>
      <c r="X30" s="2958"/>
      <c r="Y30" s="3226"/>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3"/>
      <c r="Q31" s="2961">
        <f t="shared" si="11"/>
        <v>111</v>
      </c>
      <c r="R31" s="774" t="s">
        <v>17</v>
      </c>
      <c r="S31" s="775">
        <f t="shared" si="12"/>
        <v>100</v>
      </c>
      <c r="T31" s="774" t="s">
        <v>17</v>
      </c>
      <c r="U31" s="775">
        <f t="shared" si="13"/>
        <v>100</v>
      </c>
      <c r="V31" s="774" t="s">
        <v>17</v>
      </c>
      <c r="W31" s="775">
        <f t="shared" si="14"/>
        <v>100</v>
      </c>
      <c r="X31" s="2958"/>
      <c r="Y31" s="3226"/>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3"/>
      <c r="Q32" s="2961">
        <f t="shared" si="11"/>
        <v>111</v>
      </c>
      <c r="R32" s="774" t="s">
        <v>17</v>
      </c>
      <c r="S32" s="775">
        <f t="shared" si="12"/>
        <v>100</v>
      </c>
      <c r="T32" s="774" t="s">
        <v>17</v>
      </c>
      <c r="U32" s="775">
        <f t="shared" si="13"/>
        <v>100</v>
      </c>
      <c r="V32" s="774" t="s">
        <v>17</v>
      </c>
      <c r="W32" s="775">
        <f t="shared" si="14"/>
        <v>100</v>
      </c>
      <c r="X32" s="2958"/>
      <c r="Y32" s="3226"/>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27" t="s">
        <v>2563</v>
      </c>
      <c r="Q33" s="2961" t="str">
        <f t="shared" si="11"/>
        <v>建筑类型</v>
      </c>
      <c r="R33" s="774" t="s">
        <v>17</v>
      </c>
      <c r="S33" s="775">
        <f t="shared" si="12"/>
        <v>100</v>
      </c>
      <c r="T33" s="774" t="s">
        <v>17</v>
      </c>
      <c r="U33" s="775">
        <f t="shared" si="13"/>
        <v>100</v>
      </c>
      <c r="V33" s="774" t="s">
        <v>17</v>
      </c>
      <c r="W33" s="775">
        <f t="shared" si="14"/>
        <v>100</v>
      </c>
      <c r="X33" s="2958"/>
      <c r="Y33" s="3230" t="s">
        <v>2563</v>
      </c>
      <c r="Z33" s="2959" t="str">
        <f t="shared" si="15"/>
        <v>建筑类型</v>
      </c>
      <c r="AA33" s="2962">
        <f t="shared" si="3"/>
        <v>1</v>
      </c>
      <c r="AB33" s="2962">
        <f t="shared" si="4"/>
        <v>1</v>
      </c>
      <c r="AC33" s="2671">
        <f t="shared" si="5"/>
        <v>1</v>
      </c>
    </row>
    <row r="34" spans="1:29" s="471" customFormat="1" ht="15">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228"/>
      <c r="Q34" s="776" t="str">
        <f t="shared" si="11"/>
        <v>项目建筑规模</v>
      </c>
      <c r="R34" s="777" t="s">
        <v>17</v>
      </c>
      <c r="S34" s="778">
        <f t="shared" si="12"/>
        <v>100</v>
      </c>
      <c r="T34" s="777" t="s">
        <v>17</v>
      </c>
      <c r="U34" s="778">
        <f t="shared" si="13"/>
        <v>100</v>
      </c>
      <c r="V34" s="777" t="s">
        <v>17</v>
      </c>
      <c r="W34" s="778">
        <f t="shared" si="14"/>
        <v>100</v>
      </c>
      <c r="X34" s="779"/>
      <c r="Y34" s="3230"/>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28"/>
      <c r="Q35" s="2961" t="str">
        <f t="shared" si="11"/>
        <v>建筑结构</v>
      </c>
      <c r="R35" s="774" t="s">
        <v>17</v>
      </c>
      <c r="S35" s="775">
        <f t="shared" si="12"/>
        <v>100</v>
      </c>
      <c r="T35" s="774" t="s">
        <v>17</v>
      </c>
      <c r="U35" s="775">
        <f t="shared" si="13"/>
        <v>100</v>
      </c>
      <c r="V35" s="774" t="s">
        <v>17</v>
      </c>
      <c r="W35" s="775">
        <f t="shared" si="14"/>
        <v>100</v>
      </c>
      <c r="X35" s="2958"/>
      <c r="Y35" s="3230"/>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28"/>
      <c r="Q36" s="2961" t="str">
        <f t="shared" si="11"/>
        <v>公共部分装修</v>
      </c>
      <c r="R36" s="774" t="s">
        <v>17</v>
      </c>
      <c r="S36" s="775">
        <f t="shared" si="12"/>
        <v>100</v>
      </c>
      <c r="T36" s="774" t="s">
        <v>17</v>
      </c>
      <c r="U36" s="775">
        <f t="shared" si="13"/>
        <v>100</v>
      </c>
      <c r="V36" s="774" t="s">
        <v>17</v>
      </c>
      <c r="W36" s="775">
        <f t="shared" si="14"/>
        <v>100</v>
      </c>
      <c r="X36" s="2958"/>
      <c r="Y36" s="3230"/>
      <c r="Z36" s="2959" t="str">
        <f t="shared" si="15"/>
        <v>公共部分装修</v>
      </c>
      <c r="AA36" s="2962">
        <f t="shared" si="3"/>
        <v>1</v>
      </c>
      <c r="AB36" s="2962">
        <f t="shared" si="4"/>
        <v>1</v>
      </c>
      <c r="AC36" s="2671">
        <f t="shared" si="5"/>
        <v>1</v>
      </c>
    </row>
    <row r="37" spans="1:29" ht="15">
      <c r="A37" s="472"/>
      <c r="B37" s="2957" t="s">
        <v>2660</v>
      </c>
      <c r="C37" s="474">
        <v>0.71</v>
      </c>
      <c r="D37" s="435">
        <v>100</v>
      </c>
      <c r="E37" s="474">
        <v>0.71</v>
      </c>
      <c r="F37" s="461">
        <f>LOOKUP(E37,111:111,112:112)-LOOKUP(C37,111:111,112:112)+100</f>
        <v>100</v>
      </c>
      <c r="G37" s="474">
        <v>0.8</v>
      </c>
      <c r="H37" s="461">
        <f>LOOKUP(G37,111:111,112:112)-LOOKUP(C37,111:111,112:112)+100</f>
        <v>102</v>
      </c>
      <c r="I37" s="474">
        <v>0.71</v>
      </c>
      <c r="J37" s="435">
        <f>LOOKUP(I37,111:111,112:112)-LOOKUP(C37,111:111,112:112)+100</f>
        <v>100</v>
      </c>
      <c r="K37" s="612">
        <v>2</v>
      </c>
      <c r="L37" s="1140"/>
      <c r="M37" s="1131"/>
      <c r="N37" s="1131"/>
      <c r="O37" s="1131"/>
      <c r="P37" s="3228"/>
      <c r="Q37" s="2961" t="str">
        <f t="shared" si="11"/>
        <v>成新度</v>
      </c>
      <c r="R37" s="774" t="s">
        <v>17</v>
      </c>
      <c r="S37" s="775">
        <f t="shared" si="12"/>
        <v>100</v>
      </c>
      <c r="T37" s="774" t="s">
        <v>17</v>
      </c>
      <c r="U37" s="775">
        <f t="shared" si="13"/>
        <v>102</v>
      </c>
      <c r="V37" s="774" t="s">
        <v>17</v>
      </c>
      <c r="W37" s="775">
        <f t="shared" si="14"/>
        <v>100</v>
      </c>
      <c r="X37" s="2958"/>
      <c r="Y37" s="3230"/>
      <c r="Z37" s="2959" t="str">
        <f t="shared" si="15"/>
        <v>成新度</v>
      </c>
      <c r="AA37" s="2962">
        <f t="shared" si="3"/>
        <v>1</v>
      </c>
      <c r="AB37" s="2962">
        <f t="shared" si="4"/>
        <v>0.98039215686274506</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28"/>
      <c r="Q38" s="2955" t="str">
        <f t="shared" si="11"/>
        <v>写字楼等级</v>
      </c>
      <c r="R38" s="770" t="s">
        <v>17</v>
      </c>
      <c r="S38" s="771">
        <f t="shared" si="12"/>
        <v>100</v>
      </c>
      <c r="T38" s="770" t="s">
        <v>17</v>
      </c>
      <c r="U38" s="771">
        <f t="shared" si="13"/>
        <v>100</v>
      </c>
      <c r="V38" s="770" t="s">
        <v>17</v>
      </c>
      <c r="W38" s="771">
        <f t="shared" si="14"/>
        <v>100</v>
      </c>
      <c r="X38" s="772"/>
      <c r="Y38" s="3230"/>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28" t="s">
        <v>2563</v>
      </c>
      <c r="Q39" s="2961" t="str">
        <f t="shared" si="11"/>
        <v>物业管理</v>
      </c>
      <c r="R39" s="774" t="s">
        <v>17</v>
      </c>
      <c r="S39" s="775">
        <f t="shared" si="12"/>
        <v>100</v>
      </c>
      <c r="T39" s="774" t="s">
        <v>17</v>
      </c>
      <c r="U39" s="775">
        <f t="shared" si="13"/>
        <v>100</v>
      </c>
      <c r="V39" s="774" t="s">
        <v>17</v>
      </c>
      <c r="W39" s="775">
        <f t="shared" si="14"/>
        <v>100</v>
      </c>
      <c r="X39" s="2958"/>
      <c r="Y39" s="3230"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28"/>
      <c r="Q40" s="2961" t="str">
        <f t="shared" si="11"/>
        <v>市政基础设施</v>
      </c>
      <c r="R40" s="774" t="s">
        <v>17</v>
      </c>
      <c r="S40" s="775">
        <f t="shared" si="12"/>
        <v>100</v>
      </c>
      <c r="T40" s="774" t="s">
        <v>17</v>
      </c>
      <c r="U40" s="775">
        <f t="shared" si="13"/>
        <v>100</v>
      </c>
      <c r="V40" s="774" t="s">
        <v>17</v>
      </c>
      <c r="W40" s="775">
        <f t="shared" si="14"/>
        <v>100</v>
      </c>
      <c r="X40" s="2958"/>
      <c r="Y40" s="3230"/>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28"/>
      <c r="Q41" s="2961" t="str">
        <f t="shared" si="11"/>
        <v>层高</v>
      </c>
      <c r="R41" s="774" t="s">
        <v>17</v>
      </c>
      <c r="S41" s="775">
        <f t="shared" si="12"/>
        <v>100</v>
      </c>
      <c r="T41" s="774" t="s">
        <v>17</v>
      </c>
      <c r="U41" s="775">
        <f t="shared" si="13"/>
        <v>100</v>
      </c>
      <c r="V41" s="774" t="s">
        <v>17</v>
      </c>
      <c r="W41" s="775">
        <f t="shared" si="14"/>
        <v>100</v>
      </c>
      <c r="X41" s="2958"/>
      <c r="Y41" s="3230"/>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228"/>
      <c r="Q42" s="776" t="str">
        <f t="shared" si="11"/>
        <v>单套建筑面积</v>
      </c>
      <c r="R42" s="777" t="s">
        <v>17</v>
      </c>
      <c r="S42" s="778">
        <f t="shared" si="12"/>
        <v>106</v>
      </c>
      <c r="T42" s="777" t="s">
        <v>17</v>
      </c>
      <c r="U42" s="778">
        <f t="shared" si="13"/>
        <v>104</v>
      </c>
      <c r="V42" s="777" t="s">
        <v>17</v>
      </c>
      <c r="W42" s="778">
        <f t="shared" si="14"/>
        <v>98</v>
      </c>
      <c r="X42" s="779"/>
      <c r="Y42" s="3230"/>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228"/>
      <c r="Q43" s="2961" t="str">
        <f t="shared" si="11"/>
        <v>内部装修</v>
      </c>
      <c r="R43" s="774" t="s">
        <v>17</v>
      </c>
      <c r="S43" s="775">
        <f t="shared" si="12"/>
        <v>100</v>
      </c>
      <c r="T43" s="774" t="s">
        <v>17</v>
      </c>
      <c r="U43" s="775">
        <f t="shared" si="13"/>
        <v>97</v>
      </c>
      <c r="V43" s="774" t="s">
        <v>17</v>
      </c>
      <c r="W43" s="775">
        <f t="shared" si="14"/>
        <v>97</v>
      </c>
      <c r="X43" s="2958"/>
      <c r="Y43" s="3230"/>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28"/>
      <c r="Q44" s="2961" t="str">
        <f t="shared" si="11"/>
        <v>内部装修维护情况</v>
      </c>
      <c r="R44" s="774" t="s">
        <v>17</v>
      </c>
      <c r="S44" s="775">
        <f t="shared" si="12"/>
        <v>100</v>
      </c>
      <c r="T44" s="774" t="s">
        <v>17</v>
      </c>
      <c r="U44" s="775">
        <f t="shared" si="13"/>
        <v>100</v>
      </c>
      <c r="V44" s="774" t="s">
        <v>17</v>
      </c>
      <c r="W44" s="775">
        <f t="shared" si="14"/>
        <v>100</v>
      </c>
      <c r="X44" s="2958"/>
      <c r="Y44" s="3230"/>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2955">
        <f t="shared" si="11"/>
        <v>111</v>
      </c>
      <c r="R45" s="770" t="s">
        <v>17</v>
      </c>
      <c r="S45" s="771">
        <f t="shared" si="12"/>
        <v>100</v>
      </c>
      <c r="T45" s="770" t="s">
        <v>17</v>
      </c>
      <c r="U45" s="771">
        <f t="shared" si="13"/>
        <v>100</v>
      </c>
      <c r="V45" s="770" t="s">
        <v>17</v>
      </c>
      <c r="W45" s="771">
        <f t="shared" si="14"/>
        <v>100</v>
      </c>
      <c r="X45" s="772"/>
      <c r="Y45" s="3230"/>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2961">
        <f t="shared" si="11"/>
        <v>111</v>
      </c>
      <c r="R46" s="774" t="s">
        <v>17</v>
      </c>
      <c r="S46" s="775">
        <f t="shared" si="12"/>
        <v>100</v>
      </c>
      <c r="T46" s="774" t="s">
        <v>17</v>
      </c>
      <c r="U46" s="775">
        <f t="shared" si="13"/>
        <v>100</v>
      </c>
      <c r="V46" s="774" t="s">
        <v>17</v>
      </c>
      <c r="W46" s="775">
        <f t="shared" si="14"/>
        <v>100</v>
      </c>
      <c r="X46" s="2958"/>
      <c r="Y46" s="3230"/>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2961">
        <f t="shared" si="11"/>
        <v>111</v>
      </c>
      <c r="R47" s="774" t="s">
        <v>17</v>
      </c>
      <c r="S47" s="775">
        <f t="shared" si="12"/>
        <v>100</v>
      </c>
      <c r="T47" s="774" t="s">
        <v>17</v>
      </c>
      <c r="U47" s="775">
        <f t="shared" si="13"/>
        <v>100</v>
      </c>
      <c r="V47" s="774" t="s">
        <v>17</v>
      </c>
      <c r="W47" s="775">
        <f t="shared" si="14"/>
        <v>100</v>
      </c>
      <c r="X47" s="2958"/>
      <c r="Y47" s="3231"/>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5" t="str">
        <f>A48</f>
        <v>成交单价（元/平方米）</v>
      </c>
      <c r="Q48" s="3223"/>
      <c r="R48" s="3224">
        <f>E48</f>
        <v>7.5</v>
      </c>
      <c r="S48" s="3224"/>
      <c r="T48" s="3224">
        <f>G48</f>
        <v>8.5</v>
      </c>
      <c r="U48" s="3224"/>
      <c r="V48" s="3224">
        <f>I48</f>
        <v>8</v>
      </c>
      <c r="W48" s="3224"/>
      <c r="X48" s="446"/>
      <c r="Y48" s="781"/>
      <c r="Z48" s="446"/>
      <c r="AA48" s="446"/>
      <c r="AB48" s="446"/>
      <c r="AC48" s="630"/>
    </row>
    <row r="49" spans="1:29" ht="15.75" thickBot="1">
      <c r="A49" s="486" t="s">
        <v>2576</v>
      </c>
      <c r="B49" s="487"/>
      <c r="C49" s="1413">
        <f>R50</f>
        <v>8.3000000000000007</v>
      </c>
      <c r="D49" s="1414"/>
      <c r="E49" s="1415">
        <f>R49</f>
        <v>7.4</v>
      </c>
      <c r="F49" s="1415"/>
      <c r="G49" s="1413">
        <f>T49</f>
        <v>8.6999999999999993</v>
      </c>
      <c r="H49" s="1414"/>
      <c r="I49" s="1415">
        <f>V49</f>
        <v>8.9</v>
      </c>
      <c r="J49" s="489"/>
      <c r="K49" s="784"/>
      <c r="L49" s="1143"/>
      <c r="M49" s="1131"/>
      <c r="N49" s="1131"/>
      <c r="O49" s="1131"/>
      <c r="P49" s="3205" t="str">
        <f>A49</f>
        <v>比较价值（元/平方米）</v>
      </c>
      <c r="Q49" s="3223"/>
      <c r="R49" s="3224">
        <f>IF(F1="售价",ROUND(PRODUCT(R48,AA7:AA47),0),ROUND(PRODUCT(R48,AA7:AA47),1))</f>
        <v>7.4</v>
      </c>
      <c r="S49" s="3224"/>
      <c r="T49" s="3224">
        <f>IF(F1="售价",ROUND(PRODUCT(T48,AB7:AB47),0),ROUND(PRODUCT(T48,AB7:AB47),1))</f>
        <v>8.6999999999999993</v>
      </c>
      <c r="U49" s="3224"/>
      <c r="V49" s="3224">
        <f>IF(F1="售价",ROUND(PRODUCT(V48,AC7:AC47),0),ROUND(PRODUCT(V48,AC7:AC47),1))</f>
        <v>8.9</v>
      </c>
      <c r="W49" s="3224"/>
      <c r="X49" s="446"/>
      <c r="Y49" s="446"/>
      <c r="Z49" s="446"/>
      <c r="AA49" s="446"/>
      <c r="AB49" s="446"/>
      <c r="AC49" s="630"/>
    </row>
    <row r="50" spans="1:29" ht="15.75" thickBot="1">
      <c r="A50" s="492" t="s">
        <v>2577</v>
      </c>
      <c r="B50" s="493"/>
      <c r="C50" s="1417">
        <f>R50</f>
        <v>8.3000000000000007</v>
      </c>
      <c r="D50" s="1417"/>
      <c r="E50" s="1417"/>
      <c r="F50" s="1417"/>
      <c r="G50" s="1417"/>
      <c r="H50" s="1417"/>
      <c r="I50" s="1417"/>
      <c r="J50" s="494"/>
      <c r="K50" s="785"/>
      <c r="L50" s="1143"/>
      <c r="M50" s="1131"/>
      <c r="N50" s="1131"/>
      <c r="O50" s="1131"/>
      <c r="P50" s="3234" t="str">
        <f>A50</f>
        <v>估价对象XX用房的比较价值（楼面单价，元/平方米）</v>
      </c>
      <c r="Q50" s="3235"/>
      <c r="R50" s="3236">
        <f>IF(F1="售价",ROUND(AVERAGE(R49:V49),0),ROUND(AVERAGE(R49:V49),1))</f>
        <v>8.3000000000000007</v>
      </c>
      <c r="S50" s="3236"/>
      <c r="T50" s="3236"/>
      <c r="U50" s="3236"/>
      <c r="V50" s="3236"/>
      <c r="W50" s="323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2.3529411764705799E-2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0.17567567567567544</v>
      </c>
      <c r="F54" s="500" t="str">
        <f>IF(OR(E54&gt;=0.2,E54&lt;=-0.2),"超过20%","")</f>
        <v/>
      </c>
      <c r="G54" s="499">
        <f>IF(G49&lt;I49,I49/G49-1,G49/I49-1)</f>
        <v>2.2988505747126631E-2</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6" zoomScale="90" zoomScaleNormal="90" workbookViewId="0">
      <selection activeCell="F55" sqref="F5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45" t="s">
        <v>2649</v>
      </c>
      <c r="Q4" s="3246"/>
      <c r="R4" s="3238" t="s">
        <v>2645</v>
      </c>
      <c r="S4" s="3239"/>
      <c r="T4" s="3238" t="s">
        <v>2646</v>
      </c>
      <c r="U4" s="3239"/>
      <c r="V4" s="3240" t="s">
        <v>2647</v>
      </c>
      <c r="W4" s="3240"/>
      <c r="X4" s="2667"/>
      <c r="Y4" s="3238" t="s">
        <v>2649</v>
      </c>
      <c r="Z4" s="3239"/>
      <c r="AA4" s="3241" t="s">
        <v>2645</v>
      </c>
      <c r="AB4" s="3241" t="s">
        <v>2646</v>
      </c>
      <c r="AC4" s="3242" t="s">
        <v>2647</v>
      </c>
    </row>
    <row r="5" spans="1:29" ht="15">
      <c r="A5" s="404"/>
      <c r="B5" s="405"/>
      <c r="C5" s="3249" t="s">
        <v>3147</v>
      </c>
      <c r="D5" s="3200"/>
      <c r="E5" s="3250" t="s">
        <v>3152</v>
      </c>
      <c r="F5" s="3198"/>
      <c r="G5" s="3250" t="s">
        <v>3152</v>
      </c>
      <c r="H5" s="3198"/>
      <c r="I5" s="3250" t="s">
        <v>3152</v>
      </c>
      <c r="J5" s="3198"/>
      <c r="K5" s="610"/>
      <c r="L5" s="1130"/>
      <c r="M5" s="1131"/>
      <c r="N5" s="1131"/>
      <c r="O5" s="1131"/>
      <c r="P5" s="3247"/>
      <c r="Q5" s="3213"/>
      <c r="R5" s="3195"/>
      <c r="S5" s="3196"/>
      <c r="T5" s="3195"/>
      <c r="U5" s="3196"/>
      <c r="V5" s="3218"/>
      <c r="W5" s="3218"/>
      <c r="X5" s="1808"/>
      <c r="Y5" s="3195"/>
      <c r="Z5" s="3196"/>
      <c r="AA5" s="3189"/>
      <c r="AB5" s="3189"/>
      <c r="AC5" s="3243"/>
    </row>
    <row r="6" spans="1:29" ht="15.75" thickBot="1">
      <c r="A6" s="406"/>
      <c r="B6" s="407"/>
      <c r="C6" s="3251" t="s">
        <v>3148</v>
      </c>
      <c r="D6" s="3202"/>
      <c r="E6" s="3252" t="s">
        <v>3104</v>
      </c>
      <c r="F6" s="3204"/>
      <c r="G6" s="3251" t="s">
        <v>3146</v>
      </c>
      <c r="H6" s="3202"/>
      <c r="I6" s="3252" t="s">
        <v>3104</v>
      </c>
      <c r="J6" s="3204"/>
      <c r="K6" s="610" t="s">
        <v>2545</v>
      </c>
      <c r="L6" s="1130"/>
      <c r="M6" s="1131"/>
      <c r="N6" s="1131"/>
      <c r="O6" s="1131"/>
      <c r="P6" s="3248"/>
      <c r="Q6" s="3215"/>
      <c r="R6" s="3195"/>
      <c r="S6" s="3196"/>
      <c r="T6" s="3216"/>
      <c r="U6" s="3217"/>
      <c r="V6" s="3218"/>
      <c r="W6" s="3218"/>
      <c r="X6" s="1808"/>
      <c r="Y6" s="3216"/>
      <c r="Z6" s="3217"/>
      <c r="AA6" s="3190"/>
      <c r="AB6" s="3190"/>
      <c r="AC6" s="3244"/>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37" t="s">
        <v>2547</v>
      </c>
      <c r="Q7" s="3219"/>
      <c r="R7" s="770" t="s">
        <v>17</v>
      </c>
      <c r="S7" s="771">
        <f t="shared" ref="S7:S15" si="0">F7</f>
        <v>100</v>
      </c>
      <c r="T7" s="770" t="s">
        <v>17</v>
      </c>
      <c r="U7" s="771">
        <f t="shared" ref="U7:U15" si="1">H7</f>
        <v>100</v>
      </c>
      <c r="V7" s="770" t="s">
        <v>17</v>
      </c>
      <c r="W7" s="771">
        <f t="shared" ref="W7:W15" si="2">J7</f>
        <v>100</v>
      </c>
      <c r="X7" s="772"/>
      <c r="Y7" s="3191" t="s">
        <v>2547</v>
      </c>
      <c r="Z7" s="3192"/>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37" t="s">
        <v>2550</v>
      </c>
      <c r="Q8" s="3192"/>
      <c r="R8" s="770" t="s">
        <v>17</v>
      </c>
      <c r="S8" s="771">
        <f t="shared" si="0"/>
        <v>100</v>
      </c>
      <c r="T8" s="770" t="s">
        <v>17</v>
      </c>
      <c r="U8" s="771">
        <f t="shared" si="1"/>
        <v>100</v>
      </c>
      <c r="V8" s="770" t="s">
        <v>17</v>
      </c>
      <c r="W8" s="771">
        <f t="shared" si="2"/>
        <v>100</v>
      </c>
      <c r="X8" s="772"/>
      <c r="Y8" s="3191" t="s">
        <v>2550</v>
      </c>
      <c r="Z8" s="319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5"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5"/>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8">
        <f t="shared" si="5"/>
        <v>1</v>
      </c>
    </row>
    <row r="11" spans="1:29" ht="15.75"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5"/>
      <c r="Q11" s="1790" t="str">
        <f t="shared" si="6"/>
        <v>容积率</v>
      </c>
      <c r="R11" s="770" t="s">
        <v>17</v>
      </c>
      <c r="S11" s="771">
        <f t="shared" si="0"/>
        <v>100</v>
      </c>
      <c r="T11" s="770" t="s">
        <v>17</v>
      </c>
      <c r="U11" s="771">
        <f t="shared" si="1"/>
        <v>100</v>
      </c>
      <c r="V11" s="770" t="s">
        <v>17</v>
      </c>
      <c r="W11" s="771">
        <f t="shared" si="2"/>
        <v>100</v>
      </c>
      <c r="X11" s="772"/>
      <c r="Y11" s="3038"/>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5"/>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5"/>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5"/>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2" t="s">
        <v>2558</v>
      </c>
      <c r="Q15" s="1805" t="str">
        <f t="shared" si="6"/>
        <v>办公集聚程度</v>
      </c>
      <c r="R15" s="774" t="s">
        <v>17</v>
      </c>
      <c r="S15" s="775">
        <f t="shared" si="0"/>
        <v>100</v>
      </c>
      <c r="T15" s="774" t="s">
        <v>17</v>
      </c>
      <c r="U15" s="775">
        <f t="shared" si="1"/>
        <v>100</v>
      </c>
      <c r="V15" s="774" t="s">
        <v>17</v>
      </c>
      <c r="W15" s="775">
        <f t="shared" si="2"/>
        <v>100</v>
      </c>
      <c r="X15" s="1808"/>
      <c r="Y15" s="3225"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3"/>
      <c r="Q16" s="1805"/>
      <c r="R16" s="774"/>
      <c r="S16" s="775"/>
      <c r="T16" s="774"/>
      <c r="U16" s="775"/>
      <c r="V16" s="774"/>
      <c r="W16" s="775"/>
      <c r="X16" s="1808"/>
      <c r="Y16" s="3226"/>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3"/>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3"/>
      <c r="Q18" s="1805"/>
      <c r="R18" s="774"/>
      <c r="S18" s="775"/>
      <c r="T18" s="774"/>
      <c r="U18" s="775"/>
      <c r="V18" s="774"/>
      <c r="W18" s="775"/>
      <c r="X18" s="1808"/>
      <c r="Y18" s="3226"/>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3"/>
      <c r="Q19" s="1805" t="str">
        <f>B19</f>
        <v>公共配套设施</v>
      </c>
      <c r="R19" s="774" t="s">
        <v>17</v>
      </c>
      <c r="S19" s="775">
        <f>F19</f>
        <v>100</v>
      </c>
      <c r="T19" s="774" t="s">
        <v>17</v>
      </c>
      <c r="U19" s="775">
        <f>H19</f>
        <v>100</v>
      </c>
      <c r="V19" s="774" t="s">
        <v>17</v>
      </c>
      <c r="W19" s="775">
        <f>J19</f>
        <v>100</v>
      </c>
      <c r="X19" s="1808"/>
      <c r="Y19" s="3226"/>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3"/>
      <c r="Q20" s="1805"/>
      <c r="R20" s="774"/>
      <c r="S20" s="775"/>
      <c r="T20" s="774"/>
      <c r="U20" s="775"/>
      <c r="V20" s="774"/>
      <c r="W20" s="775"/>
      <c r="X20" s="1808"/>
      <c r="Y20" s="3226"/>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3"/>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3"/>
      <c r="Q22" s="1805"/>
      <c r="R22" s="774"/>
      <c r="S22" s="775"/>
      <c r="T22" s="774"/>
      <c r="U22" s="775"/>
      <c r="V22" s="774"/>
      <c r="W22" s="775"/>
      <c r="X22" s="1808"/>
      <c r="Y22" s="3226"/>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33"/>
      <c r="Q23" s="1805" t="str">
        <f>B23</f>
        <v>环境质量</v>
      </c>
      <c r="R23" s="774" t="s">
        <v>17</v>
      </c>
      <c r="S23" s="775">
        <f>F23</f>
        <v>100</v>
      </c>
      <c r="T23" s="774" t="s">
        <v>17</v>
      </c>
      <c r="U23" s="775">
        <f>H23</f>
        <v>100</v>
      </c>
      <c r="V23" s="774" t="s">
        <v>17</v>
      </c>
      <c r="W23" s="775">
        <f>J23</f>
        <v>100</v>
      </c>
      <c r="X23" s="1808"/>
      <c r="Y23" s="3226"/>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3"/>
      <c r="Q24" s="1805"/>
      <c r="R24" s="774"/>
      <c r="S24" s="775"/>
      <c r="T24" s="774"/>
      <c r="U24" s="775"/>
      <c r="V24" s="774"/>
      <c r="W24" s="775"/>
      <c r="X24" s="1808"/>
      <c r="Y24" s="3226"/>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3"/>
      <c r="Q25" s="1805" t="str">
        <f>B25</f>
        <v>毗邻道路的类型与等级</v>
      </c>
      <c r="R25" s="774" t="s">
        <v>17</v>
      </c>
      <c r="S25" s="775">
        <f>F25</f>
        <v>100</v>
      </c>
      <c r="T25" s="774" t="s">
        <v>17</v>
      </c>
      <c r="U25" s="775">
        <f>H25</f>
        <v>100</v>
      </c>
      <c r="V25" s="774" t="s">
        <v>17</v>
      </c>
      <c r="W25" s="775">
        <f>J25</f>
        <v>100</v>
      </c>
      <c r="X25" s="1808"/>
      <c r="Y25" s="3226"/>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3"/>
      <c r="Q26" s="1805"/>
      <c r="R26" s="774"/>
      <c r="S26" s="775"/>
      <c r="T26" s="774"/>
      <c r="U26" s="775"/>
      <c r="V26" s="774"/>
      <c r="W26" s="775"/>
      <c r="X26" s="1808"/>
      <c r="Y26" s="3226"/>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33"/>
      <c r="Q27" s="1805" t="str">
        <f t="shared" ref="Q27:Q47" si="11">B27</f>
        <v>楼层</v>
      </c>
      <c r="R27" s="774" t="s">
        <v>17</v>
      </c>
      <c r="S27" s="775">
        <f>F27</f>
        <v>100</v>
      </c>
      <c r="T27" s="774" t="s">
        <v>17</v>
      </c>
      <c r="U27" s="775">
        <f>H27</f>
        <v>100</v>
      </c>
      <c r="V27" s="774" t="s">
        <v>17</v>
      </c>
      <c r="W27" s="775">
        <f>J27</f>
        <v>100</v>
      </c>
      <c r="X27" s="1808"/>
      <c r="Y27" s="3226"/>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3"/>
      <c r="Q28" s="1790" t="str">
        <f t="shared" si="11"/>
        <v>朝向</v>
      </c>
      <c r="R28" s="770" t="s">
        <v>17</v>
      </c>
      <c r="S28" s="771">
        <f>F28</f>
        <v>100</v>
      </c>
      <c r="T28" s="770" t="s">
        <v>17</v>
      </c>
      <c r="U28" s="771">
        <f>H28</f>
        <v>100</v>
      </c>
      <c r="V28" s="770" t="s">
        <v>17</v>
      </c>
      <c r="W28" s="771">
        <f>J28</f>
        <v>100</v>
      </c>
      <c r="X28" s="772"/>
      <c r="Y28" s="3226"/>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3"/>
      <c r="Q29" s="1805">
        <f t="shared" si="11"/>
        <v>111</v>
      </c>
      <c r="R29" s="774" t="s">
        <v>17</v>
      </c>
      <c r="S29" s="775">
        <f t="shared" ref="S29:S47" si="12">F29</f>
        <v>100</v>
      </c>
      <c r="T29" s="774" t="s">
        <v>17</v>
      </c>
      <c r="U29" s="775">
        <f t="shared" ref="U29:U47" si="13">H29</f>
        <v>100</v>
      </c>
      <c r="V29" s="774" t="s">
        <v>17</v>
      </c>
      <c r="W29" s="775">
        <f t="shared" ref="W29:W47" si="14">J29</f>
        <v>100</v>
      </c>
      <c r="X29" s="1808"/>
      <c r="Y29" s="3226"/>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3"/>
      <c r="Q30" s="1805">
        <f t="shared" si="11"/>
        <v>111</v>
      </c>
      <c r="R30" s="774" t="s">
        <v>17</v>
      </c>
      <c r="S30" s="775">
        <f t="shared" si="12"/>
        <v>100</v>
      </c>
      <c r="T30" s="774" t="s">
        <v>17</v>
      </c>
      <c r="U30" s="775">
        <f t="shared" si="13"/>
        <v>100</v>
      </c>
      <c r="V30" s="774" t="s">
        <v>17</v>
      </c>
      <c r="W30" s="775">
        <f t="shared" si="14"/>
        <v>100</v>
      </c>
      <c r="X30" s="1808"/>
      <c r="Y30" s="3226"/>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3"/>
      <c r="Q31" s="1805">
        <f t="shared" si="11"/>
        <v>111</v>
      </c>
      <c r="R31" s="774" t="s">
        <v>17</v>
      </c>
      <c r="S31" s="775">
        <f t="shared" si="12"/>
        <v>100</v>
      </c>
      <c r="T31" s="774" t="s">
        <v>17</v>
      </c>
      <c r="U31" s="775">
        <f t="shared" si="13"/>
        <v>100</v>
      </c>
      <c r="V31" s="774" t="s">
        <v>17</v>
      </c>
      <c r="W31" s="775">
        <f t="shared" si="14"/>
        <v>100</v>
      </c>
      <c r="X31" s="1808"/>
      <c r="Y31" s="3226"/>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3"/>
      <c r="Q32" s="1805">
        <f t="shared" si="11"/>
        <v>111</v>
      </c>
      <c r="R32" s="774" t="s">
        <v>17</v>
      </c>
      <c r="S32" s="775">
        <f t="shared" si="12"/>
        <v>100</v>
      </c>
      <c r="T32" s="774" t="s">
        <v>17</v>
      </c>
      <c r="U32" s="775">
        <f t="shared" si="13"/>
        <v>100</v>
      </c>
      <c r="V32" s="774" t="s">
        <v>17</v>
      </c>
      <c r="W32" s="775">
        <f t="shared" si="14"/>
        <v>100</v>
      </c>
      <c r="X32" s="1808"/>
      <c r="Y32" s="3226"/>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27" t="s">
        <v>2563</v>
      </c>
      <c r="Q33" s="1805" t="str">
        <f t="shared" si="11"/>
        <v>建筑类型</v>
      </c>
      <c r="R33" s="774" t="s">
        <v>17</v>
      </c>
      <c r="S33" s="775">
        <f t="shared" si="12"/>
        <v>100</v>
      </c>
      <c r="T33" s="774" t="s">
        <v>17</v>
      </c>
      <c r="U33" s="775">
        <f t="shared" si="13"/>
        <v>100</v>
      </c>
      <c r="V33" s="774" t="s">
        <v>17</v>
      </c>
      <c r="W33" s="775">
        <f t="shared" si="14"/>
        <v>100</v>
      </c>
      <c r="X33" s="1808"/>
      <c r="Y33" s="3230"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228"/>
      <c r="Q34" s="776" t="str">
        <f t="shared" si="11"/>
        <v>项目建筑规模</v>
      </c>
      <c r="R34" s="777" t="s">
        <v>17</v>
      </c>
      <c r="S34" s="778">
        <f t="shared" si="12"/>
        <v>100</v>
      </c>
      <c r="T34" s="777" t="s">
        <v>17</v>
      </c>
      <c r="U34" s="778">
        <f t="shared" si="13"/>
        <v>100</v>
      </c>
      <c r="V34" s="777" t="s">
        <v>17</v>
      </c>
      <c r="W34" s="778">
        <f t="shared" si="14"/>
        <v>100</v>
      </c>
      <c r="X34" s="779"/>
      <c r="Y34" s="3230"/>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28"/>
      <c r="Q35" s="1805" t="str">
        <f t="shared" si="11"/>
        <v>建筑结构</v>
      </c>
      <c r="R35" s="774" t="s">
        <v>17</v>
      </c>
      <c r="S35" s="775">
        <f t="shared" si="12"/>
        <v>100</v>
      </c>
      <c r="T35" s="774" t="s">
        <v>17</v>
      </c>
      <c r="U35" s="775">
        <f t="shared" si="13"/>
        <v>100</v>
      </c>
      <c r="V35" s="774" t="s">
        <v>17</v>
      </c>
      <c r="W35" s="775">
        <f t="shared" si="14"/>
        <v>100</v>
      </c>
      <c r="X35" s="1808"/>
      <c r="Y35" s="3230"/>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28"/>
      <c r="Q36" s="1805" t="str">
        <f t="shared" si="11"/>
        <v>公共部分装修</v>
      </c>
      <c r="R36" s="774" t="s">
        <v>17</v>
      </c>
      <c r="S36" s="775">
        <f t="shared" si="12"/>
        <v>100</v>
      </c>
      <c r="T36" s="774" t="s">
        <v>17</v>
      </c>
      <c r="U36" s="775">
        <f t="shared" si="13"/>
        <v>100</v>
      </c>
      <c r="V36" s="774" t="s">
        <v>17</v>
      </c>
      <c r="W36" s="775">
        <f t="shared" si="14"/>
        <v>100</v>
      </c>
      <c r="X36" s="1808"/>
      <c r="Y36" s="3230"/>
      <c r="Z36" s="1809" t="str">
        <f t="shared" si="15"/>
        <v>公共部分装修</v>
      </c>
      <c r="AA36" s="1806">
        <f t="shared" si="3"/>
        <v>1</v>
      </c>
      <c r="AB36" s="1806">
        <f t="shared" si="4"/>
        <v>1</v>
      </c>
      <c r="AC36" s="2671">
        <f t="shared" si="5"/>
        <v>1</v>
      </c>
    </row>
    <row r="37" spans="1:29" ht="15">
      <c r="A37" s="472"/>
      <c r="B37" s="422" t="s">
        <v>2660</v>
      </c>
      <c r="C37" s="474">
        <v>0.76</v>
      </c>
      <c r="D37" s="435">
        <v>100</v>
      </c>
      <c r="E37" s="474">
        <v>0.76</v>
      </c>
      <c r="F37" s="461">
        <f>LOOKUP(E37,111:111,112:112)-LOOKUP(C37,111:111,112:112)+100</f>
        <v>100</v>
      </c>
      <c r="G37" s="474">
        <v>0.76</v>
      </c>
      <c r="H37" s="461">
        <f>LOOKUP(G37,111:111,112:112)-LOOKUP(C37,111:111,112:112)+100</f>
        <v>100</v>
      </c>
      <c r="I37" s="474">
        <v>0.76</v>
      </c>
      <c r="J37" s="435">
        <f>LOOKUP(I37,111:111,112:112)-LOOKUP(C37,111:111,112:112)+100</f>
        <v>100</v>
      </c>
      <c r="K37" s="612">
        <v>2</v>
      </c>
      <c r="L37" s="1140"/>
      <c r="M37" s="1131"/>
      <c r="N37" s="1131"/>
      <c r="O37" s="1131"/>
      <c r="P37" s="3228"/>
      <c r="Q37" s="1805" t="str">
        <f t="shared" si="11"/>
        <v>成新度</v>
      </c>
      <c r="R37" s="774" t="s">
        <v>17</v>
      </c>
      <c r="S37" s="775">
        <f t="shared" si="12"/>
        <v>100</v>
      </c>
      <c r="T37" s="774" t="s">
        <v>17</v>
      </c>
      <c r="U37" s="775">
        <f t="shared" si="13"/>
        <v>100</v>
      </c>
      <c r="V37" s="774" t="s">
        <v>17</v>
      </c>
      <c r="W37" s="775">
        <f t="shared" si="14"/>
        <v>100</v>
      </c>
      <c r="X37" s="1808"/>
      <c r="Y37" s="3230"/>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28"/>
      <c r="Q38" s="1790"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28" t="s">
        <v>2563</v>
      </c>
      <c r="Q39" s="1805" t="str">
        <f t="shared" si="11"/>
        <v>物业管理</v>
      </c>
      <c r="R39" s="774" t="s">
        <v>17</v>
      </c>
      <c r="S39" s="775">
        <f t="shared" si="12"/>
        <v>100</v>
      </c>
      <c r="T39" s="774" t="s">
        <v>17</v>
      </c>
      <c r="U39" s="775">
        <f t="shared" si="13"/>
        <v>100</v>
      </c>
      <c r="V39" s="774" t="s">
        <v>17</v>
      </c>
      <c r="W39" s="775">
        <f t="shared" si="14"/>
        <v>100</v>
      </c>
      <c r="X39" s="1808"/>
      <c r="Y39" s="3230"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28"/>
      <c r="Q40" s="1805" t="str">
        <f t="shared" si="11"/>
        <v>市政基础设施</v>
      </c>
      <c r="R40" s="774" t="s">
        <v>17</v>
      </c>
      <c r="S40" s="775">
        <f t="shared" si="12"/>
        <v>100</v>
      </c>
      <c r="T40" s="774" t="s">
        <v>17</v>
      </c>
      <c r="U40" s="775">
        <f t="shared" si="13"/>
        <v>100</v>
      </c>
      <c r="V40" s="774" t="s">
        <v>17</v>
      </c>
      <c r="W40" s="775">
        <f t="shared" si="14"/>
        <v>100</v>
      </c>
      <c r="X40" s="1808"/>
      <c r="Y40" s="3230"/>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28"/>
      <c r="Q41" s="1805" t="str">
        <f t="shared" si="11"/>
        <v>层高</v>
      </c>
      <c r="R41" s="774" t="s">
        <v>17</v>
      </c>
      <c r="S41" s="775">
        <f t="shared" si="12"/>
        <v>100</v>
      </c>
      <c r="T41" s="774" t="s">
        <v>17</v>
      </c>
      <c r="U41" s="775">
        <f t="shared" si="13"/>
        <v>100</v>
      </c>
      <c r="V41" s="774" t="s">
        <v>17</v>
      </c>
      <c r="W41" s="775">
        <f t="shared" si="14"/>
        <v>100</v>
      </c>
      <c r="X41" s="1808"/>
      <c r="Y41" s="3230"/>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228"/>
      <c r="Q43" s="1805" t="str">
        <f t="shared" si="11"/>
        <v>内部装修</v>
      </c>
      <c r="R43" s="774" t="s">
        <v>17</v>
      </c>
      <c r="S43" s="775">
        <f t="shared" si="12"/>
        <v>100</v>
      </c>
      <c r="T43" s="774" t="s">
        <v>17</v>
      </c>
      <c r="U43" s="775">
        <f t="shared" si="13"/>
        <v>95</v>
      </c>
      <c r="V43" s="774" t="s">
        <v>17</v>
      </c>
      <c r="W43" s="775">
        <f t="shared" si="14"/>
        <v>100</v>
      </c>
      <c r="X43" s="1808"/>
      <c r="Y43" s="3230"/>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28"/>
      <c r="Q44" s="1805" t="str">
        <f t="shared" si="11"/>
        <v>内部装修维护情况</v>
      </c>
      <c r="R44" s="774" t="s">
        <v>17</v>
      </c>
      <c r="S44" s="775">
        <f t="shared" si="12"/>
        <v>100</v>
      </c>
      <c r="T44" s="774" t="s">
        <v>17</v>
      </c>
      <c r="U44" s="775">
        <f t="shared" si="13"/>
        <v>100</v>
      </c>
      <c r="V44" s="774" t="s">
        <v>17</v>
      </c>
      <c r="W44" s="775">
        <f t="shared" si="14"/>
        <v>100</v>
      </c>
      <c r="X44" s="1808"/>
      <c r="Y44" s="3230"/>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0">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05">
        <f t="shared" si="11"/>
        <v>111</v>
      </c>
      <c r="R46" s="774" t="s">
        <v>17</v>
      </c>
      <c r="S46" s="775">
        <f t="shared" si="12"/>
        <v>100</v>
      </c>
      <c r="T46" s="774" t="s">
        <v>17</v>
      </c>
      <c r="U46" s="775">
        <f t="shared" si="13"/>
        <v>100</v>
      </c>
      <c r="V46" s="774" t="s">
        <v>17</v>
      </c>
      <c r="W46" s="775">
        <f t="shared" si="14"/>
        <v>100</v>
      </c>
      <c r="X46" s="1808"/>
      <c r="Y46" s="3230"/>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05">
        <f t="shared" si="11"/>
        <v>111</v>
      </c>
      <c r="R47" s="774" t="s">
        <v>17</v>
      </c>
      <c r="S47" s="775">
        <f t="shared" si="12"/>
        <v>100</v>
      </c>
      <c r="T47" s="774" t="s">
        <v>17</v>
      </c>
      <c r="U47" s="775">
        <f t="shared" si="13"/>
        <v>100</v>
      </c>
      <c r="V47" s="774" t="s">
        <v>17</v>
      </c>
      <c r="W47" s="775">
        <f t="shared" si="14"/>
        <v>100</v>
      </c>
      <c r="X47" s="1808"/>
      <c r="Y47" s="3231"/>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5" t="str">
        <f>A48</f>
        <v>成交单价（元/平方米）</v>
      </c>
      <c r="Q48" s="3223"/>
      <c r="R48" s="3224">
        <f>E48</f>
        <v>46000</v>
      </c>
      <c r="S48" s="3224"/>
      <c r="T48" s="3224">
        <f>G48</f>
        <v>45000</v>
      </c>
      <c r="U48" s="3224"/>
      <c r="V48" s="3224">
        <f>I48</f>
        <v>48000</v>
      </c>
      <c r="W48" s="3224"/>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5" t="str">
        <f>A49</f>
        <v>比较价值（元/平方米）</v>
      </c>
      <c r="Q49" s="3223"/>
      <c r="R49" s="3224">
        <f>IF(F1="售价",ROUND(PRODUCT(R48,AA7:AA47),0),ROUND(PRODUCT(R48,AA7:AA47),1))</f>
        <v>46000</v>
      </c>
      <c r="S49" s="3224"/>
      <c r="T49" s="3224">
        <f>IF(F1="售价",ROUND(PRODUCT(T48,AB7:AB47),0),ROUND(PRODUCT(T48,AB7:AB47),1))</f>
        <v>47368</v>
      </c>
      <c r="U49" s="3224"/>
      <c r="V49" s="3224">
        <f>IF(F1="售价",ROUND(PRODUCT(V48,AC7:AC47),0),ROUND(PRODUCT(V48,AC7:AC47),1))</f>
        <v>48000</v>
      </c>
      <c r="W49" s="3224"/>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34" t="str">
        <f>A50</f>
        <v>估价对象XX用房的比较价值（楼面单价，元/平方米）</v>
      </c>
      <c r="Q50" s="3235"/>
      <c r="R50" s="3236">
        <f>IF(F1="售价",ROUND(AVERAGE(R49:V49),0),ROUND(AVERAGE(R49:V49),1))</f>
        <v>47123</v>
      </c>
      <c r="S50" s="3236"/>
      <c r="T50" s="3236"/>
      <c r="U50" s="3236"/>
      <c r="V50" s="3236"/>
      <c r="W50" s="323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23"/>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2558</v>
      </c>
      <c r="Q15" s="1805" t="str">
        <f t="shared" si="6"/>
        <v>产业集聚程度</v>
      </c>
      <c r="R15" s="774" t="s">
        <v>17</v>
      </c>
      <c r="S15" s="775">
        <f t="shared" si="0"/>
        <v>100</v>
      </c>
      <c r="T15" s="774" t="s">
        <v>17</v>
      </c>
      <c r="U15" s="775">
        <f t="shared" si="1"/>
        <v>100</v>
      </c>
      <c r="V15" s="774" t="s">
        <v>17</v>
      </c>
      <c r="W15" s="775">
        <f t="shared" si="2"/>
        <v>100</v>
      </c>
      <c r="X15" s="1808"/>
      <c r="Y15" s="3225"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226"/>
      <c r="Q16" s="1805"/>
      <c r="R16" s="774"/>
      <c r="S16" s="775"/>
      <c r="T16" s="774"/>
      <c r="U16" s="775"/>
      <c r="V16" s="774"/>
      <c r="W16" s="775"/>
      <c r="X16" s="1808"/>
      <c r="Y16" s="3226"/>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226"/>
      <c r="Q18" s="1805"/>
      <c r="R18" s="774"/>
      <c r="S18" s="775"/>
      <c r="T18" s="774"/>
      <c r="U18" s="775"/>
      <c r="V18" s="774"/>
      <c r="W18" s="775"/>
      <c r="X18" s="1808"/>
      <c r="Y18" s="3226"/>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5" t="str">
        <f>B19</f>
        <v>公共配套设施</v>
      </c>
      <c r="R19" s="774" t="s">
        <v>17</v>
      </c>
      <c r="S19" s="775">
        <f>F19</f>
        <v>100</v>
      </c>
      <c r="T19" s="774" t="s">
        <v>17</v>
      </c>
      <c r="U19" s="775">
        <f>H19</f>
        <v>100</v>
      </c>
      <c r="V19" s="774" t="s">
        <v>17</v>
      </c>
      <c r="W19" s="775">
        <f>J19</f>
        <v>100</v>
      </c>
      <c r="X19" s="1808"/>
      <c r="Y19" s="3226"/>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226"/>
      <c r="Q20" s="1805"/>
      <c r="R20" s="774"/>
      <c r="S20" s="775"/>
      <c r="T20" s="774"/>
      <c r="U20" s="775"/>
      <c r="V20" s="774"/>
      <c r="W20" s="775"/>
      <c r="X20" s="1808"/>
      <c r="Y20" s="3226"/>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226"/>
      <c r="Q22" s="1805"/>
      <c r="R22" s="774"/>
      <c r="S22" s="775"/>
      <c r="T22" s="774"/>
      <c r="U22" s="775"/>
      <c r="V22" s="774"/>
      <c r="W22" s="775"/>
      <c r="X22" s="1808"/>
      <c r="Y22" s="3226"/>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5" t="str">
        <f>B23</f>
        <v>环境质量</v>
      </c>
      <c r="R23" s="774" t="s">
        <v>17</v>
      </c>
      <c r="S23" s="775">
        <f>F23</f>
        <v>100</v>
      </c>
      <c r="T23" s="774" t="s">
        <v>17</v>
      </c>
      <c r="U23" s="775">
        <f>H23</f>
        <v>100</v>
      </c>
      <c r="V23" s="774" t="s">
        <v>17</v>
      </c>
      <c r="W23" s="775">
        <f>J23</f>
        <v>100</v>
      </c>
      <c r="X23" s="1808"/>
      <c r="Y23" s="3226"/>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226"/>
      <c r="Q24" s="1805"/>
      <c r="R24" s="774"/>
      <c r="S24" s="775"/>
      <c r="T24" s="774"/>
      <c r="U24" s="775"/>
      <c r="V24" s="774"/>
      <c r="W24" s="775"/>
      <c r="X24" s="1808"/>
      <c r="Y24" s="3226"/>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5">
        <f>B25</f>
        <v>111</v>
      </c>
      <c r="R25" s="774" t="s">
        <v>17</v>
      </c>
      <c r="S25" s="775">
        <f>F25</f>
        <v>100</v>
      </c>
      <c r="T25" s="774" t="s">
        <v>17</v>
      </c>
      <c r="U25" s="775">
        <f>H25</f>
        <v>100</v>
      </c>
      <c r="V25" s="774" t="s">
        <v>17</v>
      </c>
      <c r="W25" s="775">
        <f>J25</f>
        <v>100</v>
      </c>
      <c r="X25" s="1808"/>
      <c r="Y25" s="3226"/>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5">
        <f t="shared" ref="Q26:Q40" si="11">B26</f>
        <v>111</v>
      </c>
      <c r="R26" s="774" t="s">
        <v>17</v>
      </c>
      <c r="S26" s="775">
        <f>F26</f>
        <v>100</v>
      </c>
      <c r="T26" s="774" t="s">
        <v>17</v>
      </c>
      <c r="U26" s="775">
        <f>H26</f>
        <v>100</v>
      </c>
      <c r="V26" s="774" t="s">
        <v>17</v>
      </c>
      <c r="W26" s="775">
        <f>J26</f>
        <v>100</v>
      </c>
      <c r="X26" s="1808"/>
      <c r="Y26" s="3226"/>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90">
        <f t="shared" si="11"/>
        <v>111</v>
      </c>
      <c r="R27" s="770" t="s">
        <v>17</v>
      </c>
      <c r="S27" s="771">
        <f>F27</f>
        <v>100</v>
      </c>
      <c r="T27" s="770" t="s">
        <v>17</v>
      </c>
      <c r="U27" s="771">
        <f>H27</f>
        <v>100</v>
      </c>
      <c r="V27" s="770" t="s">
        <v>17</v>
      </c>
      <c r="W27" s="771">
        <f>J27</f>
        <v>100</v>
      </c>
      <c r="X27" s="772"/>
      <c r="Y27" s="3226"/>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5">
        <f t="shared" si="11"/>
        <v>111</v>
      </c>
      <c r="R28" s="774" t="s">
        <v>17</v>
      </c>
      <c r="S28" s="775">
        <f t="shared" ref="S28:S40" si="12">F28</f>
        <v>100</v>
      </c>
      <c r="T28" s="774" t="s">
        <v>17</v>
      </c>
      <c r="U28" s="775">
        <f t="shared" ref="U28:U40" si="13">H28</f>
        <v>100</v>
      </c>
      <c r="V28" s="774" t="s">
        <v>17</v>
      </c>
      <c r="W28" s="775">
        <f t="shared" ref="W28:W40" si="14">J28</f>
        <v>100</v>
      </c>
      <c r="X28" s="1808"/>
      <c r="Y28" s="3226"/>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3" t="s">
        <v>2563</v>
      </c>
      <c r="Q29" s="1805" t="str">
        <f t="shared" si="11"/>
        <v>建筑类型</v>
      </c>
      <c r="R29" s="774" t="s">
        <v>17</v>
      </c>
      <c r="S29" s="775">
        <f t="shared" si="12"/>
        <v>100</v>
      </c>
      <c r="T29" s="774" t="s">
        <v>17</v>
      </c>
      <c r="U29" s="775">
        <f t="shared" si="13"/>
        <v>100</v>
      </c>
      <c r="V29" s="774" t="s">
        <v>17</v>
      </c>
      <c r="W29" s="775">
        <f t="shared" si="14"/>
        <v>100</v>
      </c>
      <c r="X29" s="1808"/>
      <c r="Y29" s="3230"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0"/>
      <c r="Q31" s="1805" t="str">
        <f t="shared" si="11"/>
        <v>建筑结构</v>
      </c>
      <c r="R31" s="774" t="s">
        <v>17</v>
      </c>
      <c r="S31" s="775">
        <f t="shared" si="12"/>
        <v>100</v>
      </c>
      <c r="T31" s="774" t="s">
        <v>17</v>
      </c>
      <c r="U31" s="775">
        <f t="shared" si="13"/>
        <v>100</v>
      </c>
      <c r="V31" s="774" t="s">
        <v>17</v>
      </c>
      <c r="W31" s="775">
        <f t="shared" si="14"/>
        <v>100</v>
      </c>
      <c r="X31" s="1808"/>
      <c r="Y31" s="3230"/>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0"/>
      <c r="Q32" s="1805" t="str">
        <f t="shared" si="11"/>
        <v>公共部分装修</v>
      </c>
      <c r="R32" s="774" t="s">
        <v>17</v>
      </c>
      <c r="S32" s="775">
        <f t="shared" si="12"/>
        <v>100</v>
      </c>
      <c r="T32" s="774" t="s">
        <v>17</v>
      </c>
      <c r="U32" s="775">
        <f t="shared" si="13"/>
        <v>100</v>
      </c>
      <c r="V32" s="774" t="s">
        <v>17</v>
      </c>
      <c r="W32" s="775">
        <f t="shared" si="14"/>
        <v>100</v>
      </c>
      <c r="X32" s="1808"/>
      <c r="Y32" s="3230"/>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0"/>
      <c r="Q33" s="1805" t="str">
        <f t="shared" si="11"/>
        <v>成新度</v>
      </c>
      <c r="R33" s="774" t="s">
        <v>17</v>
      </c>
      <c r="S33" s="775" t="e">
        <f t="shared" si="12"/>
        <v>#N/A</v>
      </c>
      <c r="T33" s="774" t="s">
        <v>17</v>
      </c>
      <c r="U33" s="775" t="e">
        <f t="shared" si="13"/>
        <v>#N/A</v>
      </c>
      <c r="V33" s="774" t="s">
        <v>17</v>
      </c>
      <c r="W33" s="775" t="e">
        <f t="shared" si="14"/>
        <v>#N/A</v>
      </c>
      <c r="X33" s="1808"/>
      <c r="Y33" s="3230"/>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0"/>
      <c r="Q34" s="1790"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0" t="s">
        <v>2563</v>
      </c>
      <c r="Q35" s="1805" t="str">
        <f t="shared" si="11"/>
        <v>市政基础设施</v>
      </c>
      <c r="R35" s="774" t="s">
        <v>17</v>
      </c>
      <c r="S35" s="775">
        <f t="shared" si="12"/>
        <v>100</v>
      </c>
      <c r="T35" s="774" t="s">
        <v>17</v>
      </c>
      <c r="U35" s="775">
        <f t="shared" si="13"/>
        <v>100</v>
      </c>
      <c r="V35" s="774" t="s">
        <v>17</v>
      </c>
      <c r="W35" s="775">
        <f t="shared" si="14"/>
        <v>100</v>
      </c>
      <c r="X35" s="1808"/>
      <c r="Y35" s="3230"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0"/>
      <c r="Q36" s="1805" t="str">
        <f t="shared" si="11"/>
        <v>内部装修</v>
      </c>
      <c r="R36" s="774" t="s">
        <v>17</v>
      </c>
      <c r="S36" s="775">
        <f t="shared" si="12"/>
        <v>100</v>
      </c>
      <c r="T36" s="774" t="s">
        <v>17</v>
      </c>
      <c r="U36" s="775">
        <f t="shared" si="13"/>
        <v>100</v>
      </c>
      <c r="V36" s="774" t="s">
        <v>17</v>
      </c>
      <c r="W36" s="775">
        <f t="shared" si="14"/>
        <v>100</v>
      </c>
      <c r="X36" s="1808"/>
      <c r="Y36" s="3230"/>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0"/>
      <c r="Q37" s="1805" t="str">
        <f t="shared" si="11"/>
        <v>内部装修状况</v>
      </c>
      <c r="R37" s="774" t="s">
        <v>17</v>
      </c>
      <c r="S37" s="775">
        <f t="shared" si="12"/>
        <v>100</v>
      </c>
      <c r="T37" s="774" t="s">
        <v>17</v>
      </c>
      <c r="U37" s="775">
        <f t="shared" si="13"/>
        <v>100</v>
      </c>
      <c r="V37" s="774" t="s">
        <v>17</v>
      </c>
      <c r="W37" s="775">
        <f t="shared" si="14"/>
        <v>100</v>
      </c>
      <c r="X37" s="1808"/>
      <c r="Y37" s="3230"/>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0"/>
      <c r="Q39" s="1805">
        <f t="shared" si="11"/>
        <v>111</v>
      </c>
      <c r="R39" s="774" t="s">
        <v>17</v>
      </c>
      <c r="S39" s="775">
        <f t="shared" si="12"/>
        <v>100</v>
      </c>
      <c r="T39" s="774" t="s">
        <v>17</v>
      </c>
      <c r="U39" s="775">
        <f t="shared" si="13"/>
        <v>100</v>
      </c>
      <c r="V39" s="774" t="s">
        <v>17</v>
      </c>
      <c r="W39" s="775">
        <f t="shared" si="14"/>
        <v>100</v>
      </c>
      <c r="X39" s="1808"/>
      <c r="Y39" s="3230"/>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05">
        <f t="shared" si="11"/>
        <v>111</v>
      </c>
      <c r="R40" s="774" t="s">
        <v>17</v>
      </c>
      <c r="S40" s="775">
        <f t="shared" si="12"/>
        <v>100</v>
      </c>
      <c r="T40" s="774" t="s">
        <v>17</v>
      </c>
      <c r="U40" s="775">
        <f t="shared" si="13"/>
        <v>100</v>
      </c>
      <c r="V40" s="774" t="s">
        <v>17</v>
      </c>
      <c r="W40" s="775">
        <f t="shared" si="14"/>
        <v>100</v>
      </c>
      <c r="X40" s="1808"/>
      <c r="Y40" s="3231"/>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2547</v>
      </c>
      <c r="Q7" s="3219"/>
      <c r="R7" s="770" t="s">
        <v>17</v>
      </c>
      <c r="S7" s="771">
        <f t="shared" ref="S7:S14" si="0">F7</f>
        <v>0</v>
      </c>
      <c r="T7" s="770" t="s">
        <v>17</v>
      </c>
      <c r="U7" s="771">
        <f t="shared" ref="U7:U14" si="1">H7</f>
        <v>0</v>
      </c>
      <c r="V7" s="770" t="s">
        <v>17</v>
      </c>
      <c r="W7" s="771">
        <f t="shared" ref="W7:W14" si="2">J7</f>
        <v>0</v>
      </c>
      <c r="X7" s="772"/>
      <c r="Y7" s="3191" t="s">
        <v>2547</v>
      </c>
      <c r="Z7" s="319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2553</v>
      </c>
      <c r="Q9" s="1790" t="str">
        <f t="shared" ref="Q9:Q14" si="6">B9</f>
        <v>用途</v>
      </c>
      <c r="R9" s="770" t="s">
        <v>17</v>
      </c>
      <c r="S9" s="771">
        <f t="shared" si="0"/>
        <v>100</v>
      </c>
      <c r="T9" s="770" t="s">
        <v>17</v>
      </c>
      <c r="U9" s="771">
        <f t="shared" si="1"/>
        <v>100</v>
      </c>
      <c r="V9" s="770" t="s">
        <v>17</v>
      </c>
      <c r="W9" s="771">
        <f t="shared" si="2"/>
        <v>100</v>
      </c>
      <c r="X9" s="772"/>
      <c r="Y9" s="303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90">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2558</v>
      </c>
      <c r="Q14" s="1805" t="str">
        <f t="shared" si="6"/>
        <v>交通便捷度</v>
      </c>
      <c r="R14" s="774" t="s">
        <v>17</v>
      </c>
      <c r="S14" s="775">
        <f t="shared" si="0"/>
        <v>100</v>
      </c>
      <c r="T14" s="774" t="s">
        <v>17</v>
      </c>
      <c r="U14" s="775">
        <f t="shared" si="1"/>
        <v>100</v>
      </c>
      <c r="V14" s="774" t="s">
        <v>17</v>
      </c>
      <c r="W14" s="775">
        <f t="shared" si="2"/>
        <v>100</v>
      </c>
      <c r="X14" s="1808"/>
      <c r="Y14" s="3225"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226"/>
      <c r="Q15" s="1805"/>
      <c r="R15" s="774"/>
      <c r="S15" s="775"/>
      <c r="T15" s="774"/>
      <c r="U15" s="775"/>
      <c r="V15" s="774"/>
      <c r="W15" s="775"/>
      <c r="X15" s="1808"/>
      <c r="Y15" s="3226"/>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5" t="str">
        <f>B16</f>
        <v>公共配套设施</v>
      </c>
      <c r="R16" s="774" t="s">
        <v>17</v>
      </c>
      <c r="S16" s="775">
        <f>F16</f>
        <v>100</v>
      </c>
      <c r="T16" s="774" t="s">
        <v>17</v>
      </c>
      <c r="U16" s="775">
        <f>H16</f>
        <v>100</v>
      </c>
      <c r="V16" s="774" t="s">
        <v>17</v>
      </c>
      <c r="W16" s="775">
        <f>J16</f>
        <v>100</v>
      </c>
      <c r="X16" s="1808"/>
      <c r="Y16" s="3226"/>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226"/>
      <c r="Q17" s="1805"/>
      <c r="R17" s="774"/>
      <c r="S17" s="775"/>
      <c r="T17" s="774"/>
      <c r="U17" s="775"/>
      <c r="V17" s="774"/>
      <c r="W17" s="775"/>
      <c r="X17" s="1808"/>
      <c r="Y17" s="3226"/>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5" t="str">
        <f>B18</f>
        <v>基础设施水平</v>
      </c>
      <c r="R18" s="774" t="s">
        <v>17</v>
      </c>
      <c r="S18" s="775">
        <f>F18</f>
        <v>100</v>
      </c>
      <c r="T18" s="774" t="s">
        <v>17</v>
      </c>
      <c r="U18" s="775">
        <f>H18</f>
        <v>100</v>
      </c>
      <c r="V18" s="774" t="s">
        <v>17</v>
      </c>
      <c r="W18" s="775">
        <f>J18</f>
        <v>100</v>
      </c>
      <c r="X18" s="1808"/>
      <c r="Y18" s="3226"/>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226"/>
      <c r="Q19" s="1805"/>
      <c r="R19" s="774"/>
      <c r="S19" s="775"/>
      <c r="T19" s="774"/>
      <c r="U19" s="775"/>
      <c r="V19" s="774"/>
      <c r="W19" s="775"/>
      <c r="X19" s="1808"/>
      <c r="Y19" s="3226"/>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5" t="str">
        <f>B20</f>
        <v>自然及人文环境</v>
      </c>
      <c r="R20" s="774" t="s">
        <v>17</v>
      </c>
      <c r="S20" s="775">
        <f>F20</f>
        <v>100</v>
      </c>
      <c r="T20" s="774" t="s">
        <v>17</v>
      </c>
      <c r="U20" s="775">
        <f>H20</f>
        <v>100</v>
      </c>
      <c r="V20" s="774" t="s">
        <v>17</v>
      </c>
      <c r="W20" s="775">
        <f>J20</f>
        <v>100</v>
      </c>
      <c r="X20" s="1808"/>
      <c r="Y20" s="322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226"/>
      <c r="Q21" s="1805"/>
      <c r="R21" s="774"/>
      <c r="S21" s="775"/>
      <c r="T21" s="774"/>
      <c r="U21" s="775"/>
      <c r="V21" s="774"/>
      <c r="W21" s="775"/>
      <c r="X21" s="1808"/>
      <c r="Y21" s="3226"/>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5" t="str">
        <f>B22</f>
        <v>楼层</v>
      </c>
      <c r="R22" s="774" t="s">
        <v>17</v>
      </c>
      <c r="S22" s="775">
        <f>F22</f>
        <v>100</v>
      </c>
      <c r="T22" s="774" t="s">
        <v>17</v>
      </c>
      <c r="U22" s="775">
        <f>H22</f>
        <v>100</v>
      </c>
      <c r="V22" s="774" t="s">
        <v>17</v>
      </c>
      <c r="W22" s="775">
        <f>J22</f>
        <v>100</v>
      </c>
      <c r="X22" s="1808"/>
      <c r="Y22" s="322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5">
        <f>B23</f>
        <v>111</v>
      </c>
      <c r="R23" s="774" t="s">
        <v>17</v>
      </c>
      <c r="S23" s="775">
        <f>F23</f>
        <v>100</v>
      </c>
      <c r="T23" s="774" t="s">
        <v>17</v>
      </c>
      <c r="U23" s="775">
        <f>H23</f>
        <v>100</v>
      </c>
      <c r="V23" s="774" t="s">
        <v>17</v>
      </c>
      <c r="W23" s="775">
        <f>J23</f>
        <v>100</v>
      </c>
      <c r="X23" s="1808"/>
      <c r="Y23" s="322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5">
        <f t="shared" ref="Q24:Q36" si="11">B24</f>
        <v>111</v>
      </c>
      <c r="R24" s="774" t="s">
        <v>17</v>
      </c>
      <c r="S24" s="775">
        <f>F24</f>
        <v>100</v>
      </c>
      <c r="T24" s="774" t="s">
        <v>17</v>
      </c>
      <c r="U24" s="775">
        <f>H24</f>
        <v>100</v>
      </c>
      <c r="V24" s="774" t="s">
        <v>17</v>
      </c>
      <c r="W24" s="775">
        <f>J24</f>
        <v>100</v>
      </c>
      <c r="X24" s="1808"/>
      <c r="Y24" s="3226"/>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90">
        <f t="shared" si="11"/>
        <v>111</v>
      </c>
      <c r="R25" s="770" t="s">
        <v>17</v>
      </c>
      <c r="S25" s="771">
        <f>F25</f>
        <v>100</v>
      </c>
      <c r="T25" s="770" t="s">
        <v>17</v>
      </c>
      <c r="U25" s="771">
        <f>H25</f>
        <v>100</v>
      </c>
      <c r="V25" s="770" t="s">
        <v>17</v>
      </c>
      <c r="W25" s="771">
        <f>J25</f>
        <v>100</v>
      </c>
      <c r="X25" s="772"/>
      <c r="Y25" s="3226"/>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30"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0"/>
      <c r="Q28" s="1805" t="str">
        <f t="shared" si="11"/>
        <v>公共部分装修</v>
      </c>
      <c r="R28" s="774" t="s">
        <v>17</v>
      </c>
      <c r="S28" s="775">
        <f t="shared" si="12"/>
        <v>100</v>
      </c>
      <c r="T28" s="774" t="s">
        <v>17</v>
      </c>
      <c r="U28" s="775">
        <f t="shared" si="13"/>
        <v>100</v>
      </c>
      <c r="V28" s="774" t="s">
        <v>17</v>
      </c>
      <c r="W28" s="775">
        <f t="shared" si="14"/>
        <v>100</v>
      </c>
      <c r="X28" s="1808"/>
      <c r="Y28" s="3230"/>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0"/>
      <c r="Q29" s="1805" t="str">
        <f t="shared" si="11"/>
        <v>成新率</v>
      </c>
      <c r="R29" s="774" t="s">
        <v>17</v>
      </c>
      <c r="S29" s="775" t="e">
        <f t="shared" si="12"/>
        <v>#N/A</v>
      </c>
      <c r="T29" s="774" t="s">
        <v>17</v>
      </c>
      <c r="U29" s="775" t="e">
        <f t="shared" si="13"/>
        <v>#N/A</v>
      </c>
      <c r="V29" s="774" t="s">
        <v>17</v>
      </c>
      <c r="W29" s="775" t="e">
        <f t="shared" si="14"/>
        <v>#N/A</v>
      </c>
      <c r="X29" s="1808"/>
      <c r="Y29" s="3230"/>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0"/>
      <c r="Q30" s="1805" t="str">
        <f t="shared" si="11"/>
        <v>物业等级</v>
      </c>
      <c r="R30" s="774" t="s">
        <v>17</v>
      </c>
      <c r="S30" s="775">
        <f t="shared" si="12"/>
        <v>100</v>
      </c>
      <c r="T30" s="774" t="s">
        <v>17</v>
      </c>
      <c r="U30" s="775">
        <f t="shared" si="13"/>
        <v>100</v>
      </c>
      <c r="V30" s="774" t="s">
        <v>17</v>
      </c>
      <c r="W30" s="775">
        <f t="shared" si="14"/>
        <v>100</v>
      </c>
      <c r="X30" s="1808"/>
      <c r="Y30" s="3230"/>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0"/>
      <c r="Q31" s="1790"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0" t="s">
        <v>2563</v>
      </c>
      <c r="Q32" s="1805" t="str">
        <f t="shared" si="11"/>
        <v>车位类型</v>
      </c>
      <c r="R32" s="774" t="s">
        <v>17</v>
      </c>
      <c r="S32" s="775">
        <f t="shared" si="12"/>
        <v>100</v>
      </c>
      <c r="T32" s="774" t="s">
        <v>17</v>
      </c>
      <c r="U32" s="775">
        <f t="shared" si="13"/>
        <v>100</v>
      </c>
      <c r="V32" s="774" t="s">
        <v>17</v>
      </c>
      <c r="W32" s="775">
        <f t="shared" si="14"/>
        <v>100</v>
      </c>
      <c r="X32" s="1808"/>
      <c r="Y32" s="3230"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0"/>
      <c r="Q33" s="1805" t="str">
        <f t="shared" si="11"/>
        <v>是否直接入户</v>
      </c>
      <c r="R33" s="774" t="s">
        <v>17</v>
      </c>
      <c r="S33" s="775">
        <f t="shared" si="12"/>
        <v>100</v>
      </c>
      <c r="T33" s="774" t="s">
        <v>17</v>
      </c>
      <c r="U33" s="775">
        <f t="shared" si="13"/>
        <v>100</v>
      </c>
      <c r="V33" s="774" t="s">
        <v>17</v>
      </c>
      <c r="W33" s="775">
        <f t="shared" si="14"/>
        <v>100</v>
      </c>
      <c r="X33" s="1808"/>
      <c r="Y33" s="323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0"/>
      <c r="Q34" s="1805">
        <f t="shared" si="11"/>
        <v>111</v>
      </c>
      <c r="R34" s="774" t="s">
        <v>17</v>
      </c>
      <c r="S34" s="775">
        <f t="shared" si="12"/>
        <v>100</v>
      </c>
      <c r="T34" s="774" t="s">
        <v>17</v>
      </c>
      <c r="U34" s="775">
        <f t="shared" si="13"/>
        <v>100</v>
      </c>
      <c r="V34" s="774" t="s">
        <v>17</v>
      </c>
      <c r="W34" s="775">
        <f t="shared" si="14"/>
        <v>100</v>
      </c>
      <c r="X34" s="1808"/>
      <c r="Y34" s="323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0"/>
      <c r="Q36" s="1805">
        <f t="shared" si="11"/>
        <v>111</v>
      </c>
      <c r="R36" s="774" t="s">
        <v>17</v>
      </c>
      <c r="S36" s="775">
        <f t="shared" si="12"/>
        <v>100</v>
      </c>
      <c r="T36" s="774" t="s">
        <v>17</v>
      </c>
      <c r="U36" s="775">
        <f t="shared" si="13"/>
        <v>100</v>
      </c>
      <c r="V36" s="774" t="s">
        <v>17</v>
      </c>
      <c r="W36" s="775">
        <f t="shared" si="14"/>
        <v>100</v>
      </c>
      <c r="X36" s="1808"/>
      <c r="Y36" s="3230"/>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91" t="s">
        <v>2547</v>
      </c>
      <c r="Q7" s="3219"/>
      <c r="R7" s="770" t="s">
        <v>17</v>
      </c>
      <c r="S7" s="771">
        <f t="shared" ref="S7:S14" si="0">F7</f>
        <v>0</v>
      </c>
      <c r="T7" s="770" t="s">
        <v>17</v>
      </c>
      <c r="U7" s="771">
        <f t="shared" ref="U7:U14" si="1">H7</f>
        <v>0</v>
      </c>
      <c r="V7" s="770" t="s">
        <v>17</v>
      </c>
      <c r="W7" s="771">
        <f t="shared" ref="W7:W14" si="2">J7</f>
        <v>0</v>
      </c>
      <c r="X7" s="772"/>
      <c r="Y7" s="3191" t="s">
        <v>2547</v>
      </c>
      <c r="Z7" s="319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2553</v>
      </c>
      <c r="Q9" s="1790" t="str">
        <f t="shared" ref="Q9:Q14" si="6">B9</f>
        <v>用途</v>
      </c>
      <c r="R9" s="770" t="s">
        <v>17</v>
      </c>
      <c r="S9" s="771">
        <f t="shared" si="0"/>
        <v>100</v>
      </c>
      <c r="T9" s="770" t="s">
        <v>17</v>
      </c>
      <c r="U9" s="771">
        <f t="shared" si="1"/>
        <v>100</v>
      </c>
      <c r="V9" s="770" t="s">
        <v>17</v>
      </c>
      <c r="W9" s="771">
        <f t="shared" si="2"/>
        <v>100</v>
      </c>
      <c r="X9" s="772"/>
      <c r="Y9" s="303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90">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2558</v>
      </c>
      <c r="Q14" s="1805" t="str">
        <f t="shared" si="6"/>
        <v>交通便捷度</v>
      </c>
      <c r="R14" s="774" t="s">
        <v>17</v>
      </c>
      <c r="S14" s="775">
        <f t="shared" si="0"/>
        <v>100</v>
      </c>
      <c r="T14" s="774" t="s">
        <v>17</v>
      </c>
      <c r="U14" s="775">
        <f t="shared" si="1"/>
        <v>100</v>
      </c>
      <c r="V14" s="774" t="s">
        <v>17</v>
      </c>
      <c r="W14" s="775">
        <f t="shared" si="2"/>
        <v>100</v>
      </c>
      <c r="X14" s="1808"/>
      <c r="Y14" s="3225"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226"/>
      <c r="Q15" s="1805"/>
      <c r="R15" s="774"/>
      <c r="S15" s="775"/>
      <c r="T15" s="774"/>
      <c r="U15" s="775"/>
      <c r="V15" s="774"/>
      <c r="W15" s="775"/>
      <c r="X15" s="1808"/>
      <c r="Y15" s="3226"/>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5" t="str">
        <f>B16</f>
        <v>公共配套设施</v>
      </c>
      <c r="R16" s="774" t="s">
        <v>17</v>
      </c>
      <c r="S16" s="775">
        <f>F16</f>
        <v>100</v>
      </c>
      <c r="T16" s="774" t="s">
        <v>17</v>
      </c>
      <c r="U16" s="775">
        <f>H16</f>
        <v>100</v>
      </c>
      <c r="V16" s="774" t="s">
        <v>17</v>
      </c>
      <c r="W16" s="775">
        <f>J16</f>
        <v>100</v>
      </c>
      <c r="X16" s="1808"/>
      <c r="Y16" s="3226"/>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226"/>
      <c r="Q17" s="1805"/>
      <c r="R17" s="774"/>
      <c r="S17" s="775"/>
      <c r="T17" s="774"/>
      <c r="U17" s="775"/>
      <c r="V17" s="774"/>
      <c r="W17" s="775"/>
      <c r="X17" s="1808"/>
      <c r="Y17" s="3226"/>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5" t="str">
        <f>B18</f>
        <v>基础设施水平</v>
      </c>
      <c r="R18" s="774" t="s">
        <v>17</v>
      </c>
      <c r="S18" s="775">
        <f>F18</f>
        <v>100</v>
      </c>
      <c r="T18" s="774" t="s">
        <v>17</v>
      </c>
      <c r="U18" s="775">
        <f>H18</f>
        <v>100</v>
      </c>
      <c r="V18" s="774" t="s">
        <v>17</v>
      </c>
      <c r="W18" s="775">
        <f>J18</f>
        <v>100</v>
      </c>
      <c r="X18" s="1808"/>
      <c r="Y18" s="3226"/>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226"/>
      <c r="Q19" s="1805"/>
      <c r="R19" s="774"/>
      <c r="S19" s="775"/>
      <c r="T19" s="774"/>
      <c r="U19" s="775"/>
      <c r="V19" s="774"/>
      <c r="W19" s="775"/>
      <c r="X19" s="1808"/>
      <c r="Y19" s="3226"/>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5" t="str">
        <f>B20</f>
        <v>自然及人文环境</v>
      </c>
      <c r="R20" s="774" t="s">
        <v>17</v>
      </c>
      <c r="S20" s="775">
        <f>F20</f>
        <v>100</v>
      </c>
      <c r="T20" s="774" t="s">
        <v>17</v>
      </c>
      <c r="U20" s="775">
        <f>H20</f>
        <v>100</v>
      </c>
      <c r="V20" s="774" t="s">
        <v>17</v>
      </c>
      <c r="W20" s="775">
        <f>J20</f>
        <v>100</v>
      </c>
      <c r="X20" s="1808"/>
      <c r="Y20" s="322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226"/>
      <c r="Q21" s="1805"/>
      <c r="R21" s="774"/>
      <c r="S21" s="775"/>
      <c r="T21" s="774"/>
      <c r="U21" s="775"/>
      <c r="V21" s="774"/>
      <c r="W21" s="775"/>
      <c r="X21" s="1808"/>
      <c r="Y21" s="3226"/>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5" t="str">
        <f>B22</f>
        <v>楼层</v>
      </c>
      <c r="R22" s="774" t="s">
        <v>17</v>
      </c>
      <c r="S22" s="775">
        <f>F22</f>
        <v>100</v>
      </c>
      <c r="T22" s="774" t="s">
        <v>17</v>
      </c>
      <c r="U22" s="775">
        <f>H22</f>
        <v>100</v>
      </c>
      <c r="V22" s="774" t="s">
        <v>17</v>
      </c>
      <c r="W22" s="775">
        <f>J22</f>
        <v>100</v>
      </c>
      <c r="X22" s="1808"/>
      <c r="Y22" s="3226"/>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5">
        <f>B23</f>
        <v>111</v>
      </c>
      <c r="R23" s="774" t="s">
        <v>17</v>
      </c>
      <c r="S23" s="775">
        <f>F23</f>
        <v>100</v>
      </c>
      <c r="T23" s="774" t="s">
        <v>17</v>
      </c>
      <c r="U23" s="775">
        <f>H23</f>
        <v>100</v>
      </c>
      <c r="V23" s="774" t="s">
        <v>17</v>
      </c>
      <c r="W23" s="775">
        <f>J23</f>
        <v>100</v>
      </c>
      <c r="X23" s="1808"/>
      <c r="Y23" s="3226"/>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5">
        <f t="shared" ref="Q24:Q34" si="11">B24</f>
        <v>111</v>
      </c>
      <c r="R24" s="774" t="s">
        <v>17</v>
      </c>
      <c r="S24" s="775">
        <f>F24</f>
        <v>100</v>
      </c>
      <c r="T24" s="774" t="s">
        <v>17</v>
      </c>
      <c r="U24" s="775">
        <f>H24</f>
        <v>100</v>
      </c>
      <c r="V24" s="774" t="s">
        <v>17</v>
      </c>
      <c r="W24" s="775">
        <f>J24</f>
        <v>100</v>
      </c>
      <c r="X24" s="1808"/>
      <c r="Y24" s="3226"/>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26"/>
      <c r="Q25" s="1790">
        <f t="shared" si="11"/>
        <v>111</v>
      </c>
      <c r="R25" s="770" t="s">
        <v>17</v>
      </c>
      <c r="S25" s="771">
        <f>F25</f>
        <v>100</v>
      </c>
      <c r="T25" s="770" t="s">
        <v>17</v>
      </c>
      <c r="U25" s="771">
        <f>H25</f>
        <v>100</v>
      </c>
      <c r="V25" s="770" t="s">
        <v>17</v>
      </c>
      <c r="W25" s="771">
        <f>J25</f>
        <v>100</v>
      </c>
      <c r="X25" s="772"/>
      <c r="Y25" s="3226"/>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3"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30"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0"/>
      <c r="Q28" s="1805" t="str">
        <f t="shared" si="11"/>
        <v>物业等级</v>
      </c>
      <c r="R28" s="774" t="s">
        <v>17</v>
      </c>
      <c r="S28" s="775">
        <f t="shared" si="12"/>
        <v>100</v>
      </c>
      <c r="T28" s="774" t="s">
        <v>17</v>
      </c>
      <c r="U28" s="775">
        <f t="shared" si="13"/>
        <v>100</v>
      </c>
      <c r="V28" s="774" t="s">
        <v>17</v>
      </c>
      <c r="W28" s="775">
        <f t="shared" si="14"/>
        <v>100</v>
      </c>
      <c r="X28" s="1808"/>
      <c r="Y28" s="3230"/>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0"/>
      <c r="Q29" s="1805" t="str">
        <f t="shared" si="11"/>
        <v>有无电梯</v>
      </c>
      <c r="R29" s="774" t="s">
        <v>17</v>
      </c>
      <c r="S29" s="775">
        <f t="shared" si="12"/>
        <v>100</v>
      </c>
      <c r="T29" s="774" t="s">
        <v>17</v>
      </c>
      <c r="U29" s="775">
        <f t="shared" si="13"/>
        <v>100</v>
      </c>
      <c r="V29" s="774" t="s">
        <v>17</v>
      </c>
      <c r="W29" s="775">
        <f t="shared" si="14"/>
        <v>100</v>
      </c>
      <c r="X29" s="1808"/>
      <c r="Y29" s="3230"/>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0"/>
      <c r="Q30" s="1805" t="str">
        <f t="shared" si="11"/>
        <v>建筑面积</v>
      </c>
      <c r="R30" s="774" t="s">
        <v>17</v>
      </c>
      <c r="S30" s="775" t="e">
        <f t="shared" si="12"/>
        <v>#N/A</v>
      </c>
      <c r="T30" s="774" t="s">
        <v>17</v>
      </c>
      <c r="U30" s="775" t="e">
        <f t="shared" si="13"/>
        <v>#N/A</v>
      </c>
      <c r="V30" s="774" t="s">
        <v>17</v>
      </c>
      <c r="W30" s="775" t="e">
        <f t="shared" si="14"/>
        <v>#N/A</v>
      </c>
      <c r="X30" s="1808"/>
      <c r="Y30" s="3230"/>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0"/>
      <c r="Q31" s="1790"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0" t="s">
        <v>2563</v>
      </c>
      <c r="Q32" s="1805">
        <f t="shared" si="11"/>
        <v>111</v>
      </c>
      <c r="R32" s="774" t="s">
        <v>17</v>
      </c>
      <c r="S32" s="775">
        <f t="shared" si="12"/>
        <v>100</v>
      </c>
      <c r="T32" s="774" t="s">
        <v>17</v>
      </c>
      <c r="U32" s="775">
        <f t="shared" si="13"/>
        <v>100</v>
      </c>
      <c r="V32" s="774" t="s">
        <v>17</v>
      </c>
      <c r="W32" s="775">
        <f t="shared" si="14"/>
        <v>100</v>
      </c>
      <c r="X32" s="1808"/>
      <c r="Y32" s="3230"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0"/>
      <c r="Q33" s="1805">
        <f t="shared" si="11"/>
        <v>111</v>
      </c>
      <c r="R33" s="774" t="s">
        <v>17</v>
      </c>
      <c r="S33" s="775">
        <f t="shared" si="12"/>
        <v>100</v>
      </c>
      <c r="T33" s="774" t="s">
        <v>17</v>
      </c>
      <c r="U33" s="775">
        <f t="shared" si="13"/>
        <v>100</v>
      </c>
      <c r="V33" s="774" t="s">
        <v>17</v>
      </c>
      <c r="W33" s="775">
        <f t="shared" si="14"/>
        <v>100</v>
      </c>
      <c r="X33" s="1808"/>
      <c r="Y33" s="3230"/>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30"/>
      <c r="Q34" s="1805">
        <f t="shared" si="11"/>
        <v>111</v>
      </c>
      <c r="R34" s="774" t="s">
        <v>17</v>
      </c>
      <c r="S34" s="775">
        <f t="shared" si="12"/>
        <v>100</v>
      </c>
      <c r="T34" s="774" t="s">
        <v>17</v>
      </c>
      <c r="U34" s="775">
        <f t="shared" si="13"/>
        <v>100</v>
      </c>
      <c r="V34" s="774" t="s">
        <v>17</v>
      </c>
      <c r="W34" s="775">
        <f t="shared" si="14"/>
        <v>100</v>
      </c>
      <c r="X34" s="1808"/>
      <c r="Y34" s="3230"/>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30"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30"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23"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23"/>
      <c r="Q10" s="1790" t="str">
        <f t="shared" si="6"/>
        <v>土地使用年限（年）</v>
      </c>
      <c r="R10" s="770" t="s">
        <v>17</v>
      </c>
      <c r="S10" s="771">
        <f t="shared" si="0"/>
        <v>113</v>
      </c>
      <c r="T10" s="770" t="s">
        <v>17</v>
      </c>
      <c r="U10" s="771">
        <f t="shared" si="1"/>
        <v>113</v>
      </c>
      <c r="V10" s="770" t="s">
        <v>17</v>
      </c>
      <c r="W10" s="771">
        <f t="shared" si="2"/>
        <v>113</v>
      </c>
      <c r="X10" s="772"/>
      <c r="Y10" s="3038"/>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3"/>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3"/>
      <c r="Q12" s="1790"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90">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5" t="s">
        <v>2558</v>
      </c>
      <c r="Q15" s="1805" t="str">
        <f t="shared" si="6"/>
        <v>居住社区成熟度</v>
      </c>
      <c r="R15" s="774" t="s">
        <v>17</v>
      </c>
      <c r="S15" s="775">
        <f t="shared" si="0"/>
        <v>100</v>
      </c>
      <c r="T15" s="774" t="s">
        <v>17</v>
      </c>
      <c r="U15" s="775">
        <f t="shared" si="1"/>
        <v>100</v>
      </c>
      <c r="V15" s="774" t="s">
        <v>17</v>
      </c>
      <c r="W15" s="775">
        <f t="shared" si="2"/>
        <v>100</v>
      </c>
      <c r="X15" s="1808"/>
      <c r="Y15" s="3225"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226"/>
      <c r="Q16" s="1805"/>
      <c r="R16" s="774"/>
      <c r="S16" s="775"/>
      <c r="T16" s="774"/>
      <c r="U16" s="775"/>
      <c r="V16" s="774"/>
      <c r="W16" s="775"/>
      <c r="X16" s="1808"/>
      <c r="Y16" s="3226"/>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6"/>
      <c r="Q17" s="1805" t="str">
        <f>B17</f>
        <v>商业繁华度</v>
      </c>
      <c r="R17" s="774" t="s">
        <v>17</v>
      </c>
      <c r="S17" s="775">
        <f>F17</f>
        <v>100</v>
      </c>
      <c r="T17" s="774" t="s">
        <v>17</v>
      </c>
      <c r="U17" s="775">
        <f>H17</f>
        <v>100</v>
      </c>
      <c r="V17" s="774" t="s">
        <v>17</v>
      </c>
      <c r="W17" s="775">
        <f>J17</f>
        <v>100</v>
      </c>
      <c r="X17" s="1808"/>
      <c r="Y17" s="3226"/>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226"/>
      <c r="Q18" s="1805"/>
      <c r="R18" s="774"/>
      <c r="S18" s="775"/>
      <c r="T18" s="774"/>
      <c r="U18" s="775"/>
      <c r="V18" s="774"/>
      <c r="W18" s="775"/>
      <c r="X18" s="1808"/>
      <c r="Y18" s="3226"/>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6"/>
      <c r="Q19" s="1805" t="str">
        <f>B19</f>
        <v>办公集聚程度</v>
      </c>
      <c r="R19" s="774" t="s">
        <v>17</v>
      </c>
      <c r="S19" s="775">
        <f>F19</f>
        <v>100</v>
      </c>
      <c r="T19" s="774" t="s">
        <v>17</v>
      </c>
      <c r="U19" s="775">
        <f>H19</f>
        <v>100</v>
      </c>
      <c r="V19" s="774" t="s">
        <v>17</v>
      </c>
      <c r="W19" s="775">
        <f>J19</f>
        <v>100</v>
      </c>
      <c r="X19" s="1808"/>
      <c r="Y19" s="3226"/>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226"/>
      <c r="Q20" s="1805"/>
      <c r="R20" s="774"/>
      <c r="S20" s="775"/>
      <c r="T20" s="774"/>
      <c r="U20" s="775"/>
      <c r="V20" s="774"/>
      <c r="W20" s="775"/>
      <c r="X20" s="1808"/>
      <c r="Y20" s="3226"/>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6"/>
      <c r="Q21" s="1805" t="str">
        <f>B21</f>
        <v>交通便捷度</v>
      </c>
      <c r="R21" s="774" t="s">
        <v>17</v>
      </c>
      <c r="S21" s="775">
        <f>F21</f>
        <v>100</v>
      </c>
      <c r="T21" s="774" t="s">
        <v>17</v>
      </c>
      <c r="U21" s="775">
        <f>H21</f>
        <v>100</v>
      </c>
      <c r="V21" s="774" t="s">
        <v>17</v>
      </c>
      <c r="W21" s="775">
        <f>J21</f>
        <v>100</v>
      </c>
      <c r="X21" s="1808"/>
      <c r="Y21" s="3226"/>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226"/>
      <c r="Q22" s="1805"/>
      <c r="R22" s="774"/>
      <c r="S22" s="775"/>
      <c r="T22" s="774"/>
      <c r="U22" s="775"/>
      <c r="V22" s="774"/>
      <c r="W22" s="775"/>
      <c r="X22" s="1808"/>
      <c r="Y22" s="3226"/>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6"/>
      <c r="Q23" s="1805" t="str">
        <f t="shared" ref="Q23:Q37" si="8">B23</f>
        <v>区域土地利用方向</v>
      </c>
      <c r="R23" s="774" t="s">
        <v>17</v>
      </c>
      <c r="S23" s="775">
        <f>F23</f>
        <v>100</v>
      </c>
      <c r="T23" s="774" t="s">
        <v>17</v>
      </c>
      <c r="U23" s="775">
        <f>H23</f>
        <v>100</v>
      </c>
      <c r="V23" s="774" t="s">
        <v>17</v>
      </c>
      <c r="W23" s="775">
        <f>J23</f>
        <v>100</v>
      </c>
      <c r="X23" s="1808"/>
      <c r="Y23" s="3226"/>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226"/>
      <c r="Q24" s="1805"/>
      <c r="R24" s="774"/>
      <c r="S24" s="775"/>
      <c r="T24" s="774"/>
      <c r="U24" s="775"/>
      <c r="V24" s="774"/>
      <c r="W24" s="775"/>
      <c r="X24" s="1808"/>
      <c r="Y24" s="3226"/>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6"/>
      <c r="Q25" s="1805" t="str">
        <f t="shared" si="8"/>
        <v>自然及人文环境状况</v>
      </c>
      <c r="R25" s="774" t="s">
        <v>17</v>
      </c>
      <c r="S25" s="775">
        <f>F25</f>
        <v>100</v>
      </c>
      <c r="T25" s="774" t="s">
        <v>17</v>
      </c>
      <c r="U25" s="775">
        <f>H25</f>
        <v>100</v>
      </c>
      <c r="V25" s="774" t="s">
        <v>17</v>
      </c>
      <c r="W25" s="775">
        <f>J25</f>
        <v>100</v>
      </c>
      <c r="X25" s="1808"/>
      <c r="Y25" s="3226"/>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226"/>
      <c r="Q26" s="1805"/>
      <c r="R26" s="774"/>
      <c r="S26" s="775"/>
      <c r="T26" s="774"/>
      <c r="U26" s="775"/>
      <c r="V26" s="774"/>
      <c r="W26" s="775"/>
      <c r="X26" s="1808"/>
      <c r="Y26" s="3226"/>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6"/>
      <c r="Q27" s="1790" t="str">
        <f t="shared" si="8"/>
        <v>公共配套设施</v>
      </c>
      <c r="R27" s="770" t="s">
        <v>17</v>
      </c>
      <c r="S27" s="771">
        <f>F27</f>
        <v>100</v>
      </c>
      <c r="T27" s="770" t="s">
        <v>17</v>
      </c>
      <c r="U27" s="771">
        <f>H27</f>
        <v>100</v>
      </c>
      <c r="V27" s="770" t="s">
        <v>17</v>
      </c>
      <c r="W27" s="771">
        <f>J27</f>
        <v>100</v>
      </c>
      <c r="X27" s="772"/>
      <c r="Y27" s="3226"/>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226"/>
      <c r="Q28" s="1790"/>
      <c r="R28" s="770"/>
      <c r="S28" s="771"/>
      <c r="T28" s="770"/>
      <c r="U28" s="771"/>
      <c r="V28" s="770"/>
      <c r="W28" s="771"/>
      <c r="X28" s="772"/>
      <c r="Y28" s="3226"/>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6"/>
      <c r="Q29" s="1790" t="str">
        <f t="shared" ref="Q29" si="9">B29</f>
        <v>基础设施水平</v>
      </c>
      <c r="R29" s="770" t="s">
        <v>17</v>
      </c>
      <c r="S29" s="771">
        <f>F29</f>
        <v>100</v>
      </c>
      <c r="T29" s="770" t="s">
        <v>17</v>
      </c>
      <c r="U29" s="771">
        <f>H29</f>
        <v>100</v>
      </c>
      <c r="V29" s="770" t="s">
        <v>17</v>
      </c>
      <c r="W29" s="771">
        <f>J29</f>
        <v>100</v>
      </c>
      <c r="X29" s="772"/>
      <c r="Y29" s="3226"/>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226"/>
      <c r="Q30" s="1790"/>
      <c r="R30" s="770"/>
      <c r="S30" s="771"/>
      <c r="T30" s="770"/>
      <c r="U30" s="771"/>
      <c r="V30" s="770"/>
      <c r="W30" s="771"/>
      <c r="X30" s="772"/>
      <c r="Y30" s="3226"/>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26"/>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6"/>
      <c r="Q32" s="1805" t="str">
        <f t="shared" si="8"/>
        <v>毗邻道路的类型与等级</v>
      </c>
      <c r="R32" s="774" t="s">
        <v>17</v>
      </c>
      <c r="S32" s="775">
        <f t="shared" si="10"/>
        <v>100</v>
      </c>
      <c r="T32" s="774" t="s">
        <v>17</v>
      </c>
      <c r="U32" s="775">
        <f t="shared" si="11"/>
        <v>100</v>
      </c>
      <c r="V32" s="774" t="s">
        <v>17</v>
      </c>
      <c r="W32" s="775">
        <f t="shared" si="12"/>
        <v>100</v>
      </c>
      <c r="X32" s="1808"/>
      <c r="Y32" s="3226"/>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226"/>
      <c r="Q33" s="1805"/>
      <c r="R33" s="774"/>
      <c r="S33" s="775"/>
      <c r="T33" s="774"/>
      <c r="U33" s="775"/>
      <c r="V33" s="774"/>
      <c r="W33" s="775"/>
      <c r="X33" s="1808"/>
      <c r="Y33" s="3226"/>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5" t="str">
        <f t="shared" si="8"/>
        <v>土地级别</v>
      </c>
      <c r="R34" s="774" t="s">
        <v>17</v>
      </c>
      <c r="S34" s="775">
        <f t="shared" si="10"/>
        <v>100</v>
      </c>
      <c r="T34" s="774" t="s">
        <v>17</v>
      </c>
      <c r="U34" s="775">
        <f t="shared" si="11"/>
        <v>100</v>
      </c>
      <c r="V34" s="774" t="s">
        <v>17</v>
      </c>
      <c r="W34" s="775">
        <f t="shared" si="12"/>
        <v>100</v>
      </c>
      <c r="X34" s="1808"/>
      <c r="Y34" s="3226"/>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5">
        <f t="shared" si="8"/>
        <v>111</v>
      </c>
      <c r="R35" s="774" t="s">
        <v>17</v>
      </c>
      <c r="S35" s="775">
        <f t="shared" si="10"/>
        <v>100</v>
      </c>
      <c r="T35" s="774" t="s">
        <v>17</v>
      </c>
      <c r="U35" s="775">
        <f t="shared" si="11"/>
        <v>100</v>
      </c>
      <c r="V35" s="774" t="s">
        <v>17</v>
      </c>
      <c r="W35" s="775">
        <f t="shared" si="12"/>
        <v>100</v>
      </c>
      <c r="X35" s="1808"/>
      <c r="Y35" s="3226"/>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2563</v>
      </c>
      <c r="Q36" s="1805">
        <f t="shared" si="8"/>
        <v>111</v>
      </c>
      <c r="R36" s="774" t="s">
        <v>17</v>
      </c>
      <c r="S36" s="775">
        <f t="shared" si="10"/>
        <v>100</v>
      </c>
      <c r="T36" s="774" t="s">
        <v>17</v>
      </c>
      <c r="U36" s="775">
        <f t="shared" si="11"/>
        <v>100</v>
      </c>
      <c r="V36" s="774" t="s">
        <v>17</v>
      </c>
      <c r="W36" s="775">
        <f t="shared" si="12"/>
        <v>100</v>
      </c>
      <c r="X36" s="1808"/>
      <c r="Y36" s="3230"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0"/>
      <c r="Q37" s="1805">
        <f t="shared" si="8"/>
        <v>111</v>
      </c>
      <c r="R37" s="777" t="s">
        <v>17</v>
      </c>
      <c r="S37" s="778">
        <f t="shared" si="10"/>
        <v>100</v>
      </c>
      <c r="T37" s="777" t="s">
        <v>17</v>
      </c>
      <c r="U37" s="778">
        <f t="shared" si="11"/>
        <v>100</v>
      </c>
      <c r="V37" s="777" t="s">
        <v>17</v>
      </c>
      <c r="W37" s="778">
        <f t="shared" si="12"/>
        <v>100</v>
      </c>
      <c r="X37" s="779"/>
      <c r="Y37" s="3230"/>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0"/>
      <c r="Q38" s="1805" t="str">
        <f>B38</f>
        <v>宗地面积</v>
      </c>
      <c r="R38" s="774" t="s">
        <v>17</v>
      </c>
      <c r="S38" s="775" t="e">
        <f t="shared" si="10"/>
        <v>#N/A</v>
      </c>
      <c r="T38" s="774" t="s">
        <v>17</v>
      </c>
      <c r="U38" s="775" t="e">
        <f t="shared" si="11"/>
        <v>#N/A</v>
      </c>
      <c r="V38" s="774" t="s">
        <v>17</v>
      </c>
      <c r="W38" s="775" t="e">
        <f t="shared" si="12"/>
        <v>#N/A</v>
      </c>
      <c r="X38" s="1808"/>
      <c r="Y38" s="3230"/>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30"/>
      <c r="Q39" s="1805" t="str">
        <f t="shared" ref="Q39:Q45" si="14">B39</f>
        <v>宗地形状</v>
      </c>
      <c r="R39" s="774" t="s">
        <v>17</v>
      </c>
      <c r="S39" s="775">
        <f t="shared" si="10"/>
        <v>100</v>
      </c>
      <c r="T39" s="774" t="s">
        <v>17</v>
      </c>
      <c r="U39" s="775">
        <f t="shared" si="11"/>
        <v>100</v>
      </c>
      <c r="V39" s="774" t="s">
        <v>17</v>
      </c>
      <c r="W39" s="775">
        <f t="shared" si="12"/>
        <v>100</v>
      </c>
      <c r="X39" s="1808"/>
      <c r="Y39" s="3230"/>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30"/>
      <c r="Q40" s="1805" t="str">
        <f t="shared" si="14"/>
        <v>临街宽度及深度</v>
      </c>
      <c r="R40" s="774" t="s">
        <v>17</v>
      </c>
      <c r="S40" s="775">
        <f t="shared" si="10"/>
        <v>100</v>
      </c>
      <c r="T40" s="774" t="s">
        <v>17</v>
      </c>
      <c r="U40" s="775">
        <f t="shared" si="11"/>
        <v>100</v>
      </c>
      <c r="V40" s="774" t="s">
        <v>17</v>
      </c>
      <c r="W40" s="775">
        <f t="shared" si="12"/>
        <v>100</v>
      </c>
      <c r="X40" s="1808"/>
      <c r="Y40" s="3230"/>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30"/>
      <c r="Q41" s="1805"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30" t="s">
        <v>2563</v>
      </c>
      <c r="Q42" s="1805" t="str">
        <f t="shared" si="14"/>
        <v>工程地质条件</v>
      </c>
      <c r="R42" s="774" t="s">
        <v>17</v>
      </c>
      <c r="S42" s="775">
        <f t="shared" si="10"/>
        <v>100</v>
      </c>
      <c r="T42" s="774" t="s">
        <v>17</v>
      </c>
      <c r="U42" s="775">
        <f t="shared" si="11"/>
        <v>100</v>
      </c>
      <c r="V42" s="774" t="s">
        <v>17</v>
      </c>
      <c r="W42" s="775">
        <f t="shared" si="12"/>
        <v>100</v>
      </c>
      <c r="X42" s="1808"/>
      <c r="Y42" s="3230"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0"/>
      <c r="Q43" s="1805">
        <f t="shared" si="14"/>
        <v>111</v>
      </c>
      <c r="R43" s="774" t="s">
        <v>17</v>
      </c>
      <c r="S43" s="775">
        <f t="shared" si="10"/>
        <v>100</v>
      </c>
      <c r="T43" s="774" t="s">
        <v>17</v>
      </c>
      <c r="U43" s="775">
        <f t="shared" si="11"/>
        <v>100</v>
      </c>
      <c r="V43" s="774" t="s">
        <v>17</v>
      </c>
      <c r="W43" s="775">
        <f t="shared" si="12"/>
        <v>100</v>
      </c>
      <c r="X43" s="1808"/>
      <c r="Y43" s="3230"/>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0"/>
      <c r="Q44" s="1805">
        <f t="shared" si="14"/>
        <v>111</v>
      </c>
      <c r="R44" s="774" t="s">
        <v>17</v>
      </c>
      <c r="S44" s="775">
        <f t="shared" si="10"/>
        <v>100</v>
      </c>
      <c r="T44" s="774" t="s">
        <v>17</v>
      </c>
      <c r="U44" s="775">
        <f t="shared" si="11"/>
        <v>100</v>
      </c>
      <c r="V44" s="774" t="s">
        <v>17</v>
      </c>
      <c r="W44" s="775">
        <f t="shared" si="12"/>
        <v>100</v>
      </c>
      <c r="X44" s="1808"/>
      <c r="Y44" s="3230"/>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0"/>
      <c r="Q45" s="1805">
        <f t="shared" si="14"/>
        <v>111</v>
      </c>
      <c r="R45" s="777" t="s">
        <v>17</v>
      </c>
      <c r="S45" s="778">
        <f t="shared" si="10"/>
        <v>100</v>
      </c>
      <c r="T45" s="777" t="s">
        <v>17</v>
      </c>
      <c r="U45" s="778">
        <f t="shared" si="11"/>
        <v>100</v>
      </c>
      <c r="V45" s="777" t="s">
        <v>17</v>
      </c>
      <c r="W45" s="778">
        <f t="shared" si="12"/>
        <v>100</v>
      </c>
      <c r="X45" s="779"/>
      <c r="Y45" s="3230"/>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23" t="str">
        <f>A47</f>
        <v>比较价值（元/平方米）</v>
      </c>
      <c r="Q47" s="3223"/>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20" t="str">
        <f>A48</f>
        <v>估价对象XX用房的比较价值（楼面单价，元/平方米）</v>
      </c>
      <c r="Q48" s="3221"/>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06" t="s">
        <v>2762</v>
      </c>
      <c r="H55" s="3256"/>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5"/>
      <c r="H56" s="3223"/>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57"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58" t="s">
        <v>2795</v>
      </c>
      <c r="D6" s="3259"/>
      <c r="E6" s="3260" t="s">
        <v>2795</v>
      </c>
      <c r="F6" s="3261"/>
      <c r="G6" s="3258" t="s">
        <v>2795</v>
      </c>
      <c r="H6" s="3259"/>
      <c r="I6" s="3258" t="s">
        <v>2795</v>
      </c>
      <c r="J6" s="3259"/>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23"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23"/>
      <c r="Q10" s="1790" t="str">
        <f t="shared" si="6"/>
        <v>土地使用年限（年）</v>
      </c>
      <c r="R10" s="770" t="s">
        <v>17</v>
      </c>
      <c r="S10" s="771">
        <f t="shared" si="0"/>
        <v>113</v>
      </c>
      <c r="T10" s="770" t="s">
        <v>17</v>
      </c>
      <c r="U10" s="771">
        <f t="shared" si="1"/>
        <v>113</v>
      </c>
      <c r="V10" s="770" t="s">
        <v>17</v>
      </c>
      <c r="W10" s="771">
        <f t="shared" si="2"/>
        <v>113</v>
      </c>
      <c r="X10" s="772"/>
      <c r="Y10" s="3038"/>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2558</v>
      </c>
      <c r="Q15" s="1805" t="str">
        <f t="shared" si="6"/>
        <v>产业集聚程度</v>
      </c>
      <c r="R15" s="774" t="s">
        <v>17</v>
      </c>
      <c r="S15" s="775">
        <f t="shared" si="0"/>
        <v>100</v>
      </c>
      <c r="T15" s="774" t="s">
        <v>17</v>
      </c>
      <c r="U15" s="775">
        <f t="shared" si="1"/>
        <v>100</v>
      </c>
      <c r="V15" s="774" t="s">
        <v>17</v>
      </c>
      <c r="W15" s="775">
        <f t="shared" si="2"/>
        <v>100</v>
      </c>
      <c r="X15" s="1808"/>
      <c r="Y15" s="3225"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226"/>
      <c r="Q16" s="1805"/>
      <c r="R16" s="774"/>
      <c r="S16" s="775"/>
      <c r="T16" s="774"/>
      <c r="U16" s="775"/>
      <c r="V16" s="774"/>
      <c r="W16" s="775"/>
      <c r="X16" s="1808"/>
      <c r="Y16" s="3226"/>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226"/>
      <c r="Q18" s="1805"/>
      <c r="R18" s="774"/>
      <c r="S18" s="775"/>
      <c r="T18" s="774"/>
      <c r="U18" s="775"/>
      <c r="V18" s="774"/>
      <c r="W18" s="775"/>
      <c r="X18" s="1808"/>
      <c r="Y18" s="3226"/>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5" t="str">
        <f t="shared" ref="Q19:Q33" si="8">B19</f>
        <v>区域土地利用方向</v>
      </c>
      <c r="R19" s="774" t="s">
        <v>17</v>
      </c>
      <c r="S19" s="775">
        <f>F19</f>
        <v>100</v>
      </c>
      <c r="T19" s="774" t="s">
        <v>17</v>
      </c>
      <c r="U19" s="775">
        <f>H19</f>
        <v>100</v>
      </c>
      <c r="V19" s="774" t="s">
        <v>17</v>
      </c>
      <c r="W19" s="775">
        <f>J19</f>
        <v>100</v>
      </c>
      <c r="X19" s="1808"/>
      <c r="Y19" s="3226"/>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226"/>
      <c r="Q20" s="1805"/>
      <c r="R20" s="774"/>
      <c r="S20" s="775"/>
      <c r="T20" s="774"/>
      <c r="U20" s="775"/>
      <c r="V20" s="774"/>
      <c r="W20" s="775"/>
      <c r="X20" s="1808"/>
      <c r="Y20" s="3226"/>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5" t="str">
        <f t="shared" si="8"/>
        <v>环境状况</v>
      </c>
      <c r="R21" s="774" t="s">
        <v>17</v>
      </c>
      <c r="S21" s="775">
        <f>F21</f>
        <v>100</v>
      </c>
      <c r="T21" s="774" t="s">
        <v>17</v>
      </c>
      <c r="U21" s="775">
        <f>H21</f>
        <v>100</v>
      </c>
      <c r="V21" s="774" t="s">
        <v>17</v>
      </c>
      <c r="W21" s="775">
        <f>J21</f>
        <v>100</v>
      </c>
      <c r="X21" s="1808"/>
      <c r="Y21" s="3226"/>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226"/>
      <c r="Q22" s="1805"/>
      <c r="R22" s="774"/>
      <c r="S22" s="775"/>
      <c r="T22" s="774"/>
      <c r="U22" s="775"/>
      <c r="V22" s="774"/>
      <c r="W22" s="775"/>
      <c r="X22" s="1808"/>
      <c r="Y22" s="3226"/>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90" t="str">
        <f t="shared" si="8"/>
        <v>公共配套设施</v>
      </c>
      <c r="R23" s="770" t="s">
        <v>17</v>
      </c>
      <c r="S23" s="771">
        <f>F23</f>
        <v>100</v>
      </c>
      <c r="T23" s="770" t="s">
        <v>17</v>
      </c>
      <c r="U23" s="771">
        <f>H23</f>
        <v>100</v>
      </c>
      <c r="V23" s="770" t="s">
        <v>17</v>
      </c>
      <c r="W23" s="771">
        <f>J23</f>
        <v>100</v>
      </c>
      <c r="X23" s="772"/>
      <c r="Y23" s="3226"/>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226"/>
      <c r="Q24" s="1790"/>
      <c r="R24" s="770"/>
      <c r="S24" s="771"/>
      <c r="T24" s="770"/>
      <c r="U24" s="771"/>
      <c r="V24" s="770"/>
      <c r="W24" s="771"/>
      <c r="X24" s="772"/>
      <c r="Y24" s="3226"/>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90" t="str">
        <f t="shared" ref="Q25" si="9">B25</f>
        <v>基础设施水平</v>
      </c>
      <c r="R25" s="770" t="s">
        <v>17</v>
      </c>
      <c r="S25" s="771">
        <f>F25</f>
        <v>100</v>
      </c>
      <c r="T25" s="770" t="s">
        <v>17</v>
      </c>
      <c r="U25" s="771">
        <f>H25</f>
        <v>100</v>
      </c>
      <c r="V25" s="770" t="s">
        <v>17</v>
      </c>
      <c r="W25" s="771">
        <f>J25</f>
        <v>100</v>
      </c>
      <c r="X25" s="772"/>
      <c r="Y25" s="3226"/>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226"/>
      <c r="Q26" s="1790"/>
      <c r="R26" s="770"/>
      <c r="S26" s="771"/>
      <c r="T26" s="770"/>
      <c r="U26" s="771"/>
      <c r="V26" s="770"/>
      <c r="W26" s="771"/>
      <c r="X26" s="772"/>
      <c r="Y26" s="322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26"/>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5" t="str">
        <f t="shared" si="8"/>
        <v>毗邻道路的类型与等级</v>
      </c>
      <c r="R28" s="774" t="s">
        <v>17</v>
      </c>
      <c r="S28" s="775">
        <f t="shared" si="10"/>
        <v>100</v>
      </c>
      <c r="T28" s="774" t="s">
        <v>17</v>
      </c>
      <c r="U28" s="775">
        <f t="shared" si="11"/>
        <v>100</v>
      </c>
      <c r="V28" s="774" t="s">
        <v>17</v>
      </c>
      <c r="W28" s="775">
        <f t="shared" si="12"/>
        <v>100</v>
      </c>
      <c r="X28" s="1808"/>
      <c r="Y28" s="3226"/>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226"/>
      <c r="Q29" s="1805"/>
      <c r="R29" s="774"/>
      <c r="S29" s="775"/>
      <c r="T29" s="774"/>
      <c r="U29" s="775"/>
      <c r="V29" s="774"/>
      <c r="W29" s="775"/>
      <c r="X29" s="1808"/>
      <c r="Y29" s="3226"/>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5" t="str">
        <f t="shared" si="8"/>
        <v>土地级别</v>
      </c>
      <c r="R30" s="774" t="s">
        <v>17</v>
      </c>
      <c r="S30" s="775">
        <f t="shared" si="10"/>
        <v>100</v>
      </c>
      <c r="T30" s="774" t="s">
        <v>17</v>
      </c>
      <c r="U30" s="775">
        <f t="shared" si="11"/>
        <v>100</v>
      </c>
      <c r="V30" s="774" t="s">
        <v>17</v>
      </c>
      <c r="W30" s="775">
        <f t="shared" si="12"/>
        <v>100</v>
      </c>
      <c r="X30" s="1808"/>
      <c r="Y30" s="3226"/>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5">
        <f t="shared" si="8"/>
        <v>111</v>
      </c>
      <c r="R31" s="774" t="s">
        <v>17</v>
      </c>
      <c r="S31" s="775">
        <f t="shared" si="10"/>
        <v>100</v>
      </c>
      <c r="T31" s="774" t="s">
        <v>17</v>
      </c>
      <c r="U31" s="775">
        <f t="shared" si="11"/>
        <v>100</v>
      </c>
      <c r="V31" s="774" t="s">
        <v>17</v>
      </c>
      <c r="W31" s="775">
        <f t="shared" si="12"/>
        <v>100</v>
      </c>
      <c r="X31" s="1808"/>
      <c r="Y31" s="3226"/>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2563</v>
      </c>
      <c r="Q32" s="1805">
        <f t="shared" si="8"/>
        <v>111</v>
      </c>
      <c r="R32" s="774" t="s">
        <v>17</v>
      </c>
      <c r="S32" s="775">
        <f t="shared" si="10"/>
        <v>100</v>
      </c>
      <c r="T32" s="774" t="s">
        <v>17</v>
      </c>
      <c r="U32" s="775">
        <f t="shared" si="11"/>
        <v>100</v>
      </c>
      <c r="V32" s="774" t="s">
        <v>17</v>
      </c>
      <c r="W32" s="775">
        <f t="shared" si="12"/>
        <v>100</v>
      </c>
      <c r="X32" s="1808"/>
      <c r="Y32" s="3230"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0"/>
      <c r="Q33" s="1805">
        <f t="shared" si="8"/>
        <v>111</v>
      </c>
      <c r="R33" s="777" t="s">
        <v>17</v>
      </c>
      <c r="S33" s="778">
        <f t="shared" si="10"/>
        <v>100</v>
      </c>
      <c r="T33" s="777" t="s">
        <v>17</v>
      </c>
      <c r="U33" s="778">
        <f t="shared" si="11"/>
        <v>100</v>
      </c>
      <c r="V33" s="777" t="s">
        <v>17</v>
      </c>
      <c r="W33" s="778">
        <f t="shared" si="12"/>
        <v>100</v>
      </c>
      <c r="X33" s="779"/>
      <c r="Y33" s="3230"/>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0"/>
      <c r="Q34" s="1805" t="str">
        <f>B34</f>
        <v>宗地面积</v>
      </c>
      <c r="R34" s="774" t="s">
        <v>17</v>
      </c>
      <c r="S34" s="775" t="e">
        <f t="shared" si="10"/>
        <v>#N/A</v>
      </c>
      <c r="T34" s="774" t="s">
        <v>17</v>
      </c>
      <c r="U34" s="775" t="e">
        <f t="shared" si="11"/>
        <v>#N/A</v>
      </c>
      <c r="V34" s="774" t="s">
        <v>17</v>
      </c>
      <c r="W34" s="775" t="e">
        <f t="shared" si="12"/>
        <v>#N/A</v>
      </c>
      <c r="X34" s="1808"/>
      <c r="Y34" s="3230"/>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30"/>
      <c r="Q35" s="1805" t="str">
        <f t="shared" ref="Q35:Q40" si="14">B35</f>
        <v>宗地形状</v>
      </c>
      <c r="R35" s="774" t="s">
        <v>17</v>
      </c>
      <c r="S35" s="775">
        <f t="shared" si="10"/>
        <v>100</v>
      </c>
      <c r="T35" s="774" t="s">
        <v>17</v>
      </c>
      <c r="U35" s="775">
        <f t="shared" si="11"/>
        <v>100</v>
      </c>
      <c r="V35" s="774" t="s">
        <v>17</v>
      </c>
      <c r="W35" s="775">
        <f t="shared" si="12"/>
        <v>100</v>
      </c>
      <c r="X35" s="1808"/>
      <c r="Y35" s="3230"/>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30"/>
      <c r="Q36" s="1805"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30" t="s">
        <v>2563</v>
      </c>
      <c r="Q37" s="1805" t="str">
        <f t="shared" si="14"/>
        <v>工程地质条件</v>
      </c>
      <c r="R37" s="774" t="s">
        <v>17</v>
      </c>
      <c r="S37" s="775">
        <f t="shared" si="10"/>
        <v>100</v>
      </c>
      <c r="T37" s="774" t="s">
        <v>17</v>
      </c>
      <c r="U37" s="775">
        <f t="shared" si="11"/>
        <v>100</v>
      </c>
      <c r="V37" s="774" t="s">
        <v>17</v>
      </c>
      <c r="W37" s="775">
        <f t="shared" si="12"/>
        <v>100</v>
      </c>
      <c r="X37" s="1808"/>
      <c r="Y37" s="3230"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0"/>
      <c r="Q38" s="1805">
        <f t="shared" si="14"/>
        <v>111</v>
      </c>
      <c r="R38" s="774" t="s">
        <v>17</v>
      </c>
      <c r="S38" s="775">
        <f t="shared" si="10"/>
        <v>100</v>
      </c>
      <c r="T38" s="774" t="s">
        <v>17</v>
      </c>
      <c r="U38" s="775">
        <f t="shared" si="11"/>
        <v>100</v>
      </c>
      <c r="V38" s="774" t="s">
        <v>17</v>
      </c>
      <c r="W38" s="775">
        <f t="shared" si="12"/>
        <v>100</v>
      </c>
      <c r="X38" s="1808"/>
      <c r="Y38" s="3230"/>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0"/>
      <c r="Q39" s="1805">
        <f t="shared" si="14"/>
        <v>111</v>
      </c>
      <c r="R39" s="774" t="s">
        <v>17</v>
      </c>
      <c r="S39" s="775">
        <f t="shared" si="10"/>
        <v>100</v>
      </c>
      <c r="T39" s="774" t="s">
        <v>17</v>
      </c>
      <c r="U39" s="775">
        <f t="shared" si="11"/>
        <v>100</v>
      </c>
      <c r="V39" s="774" t="s">
        <v>17</v>
      </c>
      <c r="W39" s="775">
        <f t="shared" si="12"/>
        <v>100</v>
      </c>
      <c r="X39" s="1808"/>
      <c r="Y39" s="3230"/>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0"/>
      <c r="Q40" s="1805">
        <f t="shared" si="14"/>
        <v>111</v>
      </c>
      <c r="R40" s="777" t="s">
        <v>17</v>
      </c>
      <c r="S40" s="778">
        <f t="shared" si="10"/>
        <v>100</v>
      </c>
      <c r="T40" s="777" t="s">
        <v>17</v>
      </c>
      <c r="U40" s="778">
        <f t="shared" si="11"/>
        <v>100</v>
      </c>
      <c r="V40" s="777" t="s">
        <v>17</v>
      </c>
      <c r="W40" s="778">
        <f t="shared" si="12"/>
        <v>100</v>
      </c>
      <c r="X40" s="779"/>
      <c r="Y40" s="3230"/>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06" t="s">
        <v>2762</v>
      </c>
      <c r="H50" s="3256"/>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5"/>
      <c r="H51" s="3223"/>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57"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62"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82"/>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5" t="s">
        <v>2838</v>
      </c>
      <c r="X8" s="327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2"/>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7"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2"/>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7"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2"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7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3"/>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4"/>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2" t="s">
        <v>2881</v>
      </c>
      <c r="B16" s="2742" t="s">
        <v>2882</v>
      </c>
      <c r="C16" s="2932" t="e">
        <f>ROUND(IF(F17="与级别开发程度一致",0,(G17-E17)/C17),0)</f>
        <v>#DIV/0!</v>
      </c>
      <c r="D16" s="3273" t="s">
        <v>2886</v>
      </c>
      <c r="E16" s="3274"/>
      <c r="F16" s="3273" t="s">
        <v>2883</v>
      </c>
      <c r="G16" s="3274"/>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3"/>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70"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72"/>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64" t="s">
        <v>2971</v>
      </c>
      <c r="B90" s="3264"/>
      <c r="C90" s="3264"/>
      <c r="D90" s="3264"/>
      <c r="E90" s="3264"/>
      <c r="F90" s="3264"/>
      <c r="G90" s="3264"/>
      <c r="H90" s="3264"/>
      <c r="I90" s="3264"/>
      <c r="J90" s="3264"/>
      <c r="K90" s="2881"/>
      <c r="L90" s="2881"/>
      <c r="M90" s="2881"/>
      <c r="N90" s="2881"/>
    </row>
    <row r="91" spans="1:37">
      <c r="A91" s="3266" t="s">
        <v>2972</v>
      </c>
      <c r="B91" s="3266" t="s">
        <v>2973</v>
      </c>
      <c r="C91" s="2835" t="s">
        <v>2974</v>
      </c>
      <c r="D91" s="2836"/>
      <c r="E91" s="2836"/>
      <c r="F91" s="2836"/>
      <c r="G91" s="2836"/>
      <c r="H91" s="2836"/>
      <c r="I91" s="2836"/>
      <c r="J91" s="2882"/>
      <c r="K91" s="2883"/>
      <c r="L91" s="2883"/>
      <c r="M91" s="2883"/>
      <c r="N91" s="2883"/>
    </row>
    <row r="92" spans="1:37">
      <c r="A92" s="3266"/>
      <c r="B92" s="326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7"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8"/>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7"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8"/>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8"/>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8"/>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8"/>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8"/>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8"/>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8"/>
      <c r="B108" s="3092"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9"/>
      <c r="B109" s="309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5" t="s">
        <v>2979</v>
      </c>
      <c r="B110" s="3265"/>
      <c r="C110" s="3265"/>
      <c r="D110" s="3265"/>
      <c r="E110" s="3265"/>
      <c r="F110" s="3265"/>
      <c r="G110" s="3265"/>
      <c r="H110" s="3265"/>
      <c r="I110" s="3265"/>
      <c r="J110" s="3265"/>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87" t="s">
        <v>1147</v>
      </c>
      <c r="H1" s="3287"/>
      <c r="I1" s="3287"/>
      <c r="J1" s="3287"/>
      <c r="K1" s="3287"/>
      <c r="L1" s="3287"/>
      <c r="N1" s="3287" t="s">
        <v>1148</v>
      </c>
      <c r="O1" s="3287"/>
      <c r="P1" s="3287"/>
      <c r="Q1" s="3287"/>
      <c r="R1" s="1446"/>
      <c r="S1" s="3287" t="s">
        <v>1149</v>
      </c>
      <c r="T1" s="3287"/>
      <c r="U1" s="3287"/>
      <c r="V1" s="3287"/>
      <c r="X1" s="3286" t="s">
        <v>1150</v>
      </c>
      <c r="Y1" s="3287"/>
      <c r="Z1" s="3287"/>
      <c r="AA1" s="3287"/>
      <c r="AB1" s="3287"/>
      <c r="AD1" s="3286" t="s">
        <v>1151</v>
      </c>
      <c r="AE1" s="3287"/>
      <c r="AF1" s="3287"/>
      <c r="AG1" s="3287"/>
      <c r="AH1" s="328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9">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6"/>
      <c r="B4" s="2976" t="s">
        <v>1626</v>
      </c>
      <c r="C4" s="2976"/>
      <c r="D4" s="2976"/>
      <c r="E4" s="1956"/>
    </row>
    <row r="5" spans="1:5" ht="16.5" thickTop="1">
      <c r="A5" s="1954"/>
      <c r="B5" s="2974" t="s">
        <v>1618</v>
      </c>
      <c r="C5" s="1957" t="s">
        <v>1619</v>
      </c>
      <c r="D5" s="1040">
        <f ca="1">结果表!H101</f>
        <v>483</v>
      </c>
      <c r="E5" s="1954"/>
    </row>
    <row r="6" spans="1:5" ht="15.75">
      <c r="A6" s="1954"/>
      <c r="B6" s="2974"/>
      <c r="C6" s="1957" t="s">
        <v>1620</v>
      </c>
      <c r="D6" s="1040" t="str">
        <f ca="1">NUMBERSTRING(INT(D5*10000),2)&amp;"元整"</f>
        <v>肆佰捌拾叁万元整</v>
      </c>
      <c r="E6" s="1954"/>
    </row>
    <row r="7" spans="1:5" ht="15.75">
      <c r="A7" s="1954"/>
      <c r="B7" s="2979"/>
      <c r="C7" s="1958" t="s">
        <v>1621</v>
      </c>
      <c r="D7" s="1041">
        <f ca="1">结果表!H102</f>
        <v>4230</v>
      </c>
      <c r="E7" s="1954"/>
    </row>
    <row r="8" spans="1:5" ht="15.75">
      <c r="A8" s="1954"/>
      <c r="B8" s="2980" t="str">
        <f>结果表!E103</f>
        <v>2.估价师知悉的法定优先受偿款</v>
      </c>
      <c r="C8" s="1959" t="s">
        <v>1622</v>
      </c>
      <c r="D8" s="1041">
        <f>结果表!H103</f>
        <v>0</v>
      </c>
      <c r="E8" s="1954"/>
    </row>
    <row r="9" spans="1:5" ht="15.75">
      <c r="A9" s="1954"/>
      <c r="B9" s="2982"/>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3" t="str">
        <f>结果表!E107</f>
        <v>3.房地产抵押价值</v>
      </c>
      <c r="C13" s="1962" t="s">
        <v>1619</v>
      </c>
      <c r="D13" s="1043">
        <f ca="1">结果表!H107</f>
        <v>483</v>
      </c>
      <c r="E13" s="1954"/>
    </row>
    <row r="14" spans="1:5" ht="15.75">
      <c r="A14" s="1954"/>
      <c r="B14" s="2974"/>
      <c r="C14" s="1957" t="s">
        <v>1620</v>
      </c>
      <c r="D14" s="1040" t="str">
        <f ca="1">NUMBERSTRING(INT(D13*10000),2)&amp;"元整"</f>
        <v>肆佰捌拾叁万元整</v>
      </c>
      <c r="E14" s="1954"/>
    </row>
    <row r="15" spans="1:5" ht="15">
      <c r="A15" s="1954"/>
      <c r="B15" s="2979"/>
      <c r="C15" s="1958" t="s">
        <v>1630</v>
      </c>
      <c r="D15" s="1052">
        <f ca="1">结果表!H108</f>
        <v>4230</v>
      </c>
      <c r="E15" s="1954"/>
    </row>
    <row r="16" spans="1:5" ht="15">
      <c r="A16" s="1954"/>
      <c r="B16" s="2980" t="str">
        <f>结果表!E109</f>
        <v>——</v>
      </c>
      <c r="C16" s="1962" t="s">
        <v>1631</v>
      </c>
      <c r="D16" s="1963" t="str">
        <f>结果表!H109</f>
        <v>——</v>
      </c>
      <c r="E16" s="1954"/>
    </row>
    <row r="17" spans="1:5" ht="15.75">
      <c r="A17" s="1954"/>
      <c r="B17" s="2981"/>
      <c r="C17" s="1957" t="s">
        <v>1632</v>
      </c>
      <c r="D17" s="1040" t="e">
        <f>NUMBERSTRING(INT(D16*10000),2)&amp;"元整"</f>
        <v>#VALUE!</v>
      </c>
      <c r="E17" s="1954"/>
    </row>
    <row r="18" spans="1:5" ht="15">
      <c r="A18" s="1954"/>
      <c r="B18" s="2982"/>
      <c r="C18" s="1958" t="s">
        <v>1621</v>
      </c>
      <c r="D18" s="1052" t="str">
        <f>结果表!H110</f>
        <v>——</v>
      </c>
      <c r="E18" s="1954"/>
    </row>
    <row r="19" spans="1:5" ht="15.75">
      <c r="A19" s="1954"/>
      <c r="B19" s="2973" t="str">
        <f>结果表!E111</f>
        <v>——</v>
      </c>
      <c r="C19" s="1962" t="s">
        <v>1619</v>
      </c>
      <c r="D19" s="1041" t="str">
        <f>结果表!H111</f>
        <v>——</v>
      </c>
      <c r="E19" s="1954"/>
    </row>
    <row r="20" spans="1:5" ht="15.75">
      <c r="A20" s="1954"/>
      <c r="B20" s="2974"/>
      <c r="C20" s="1957" t="s">
        <v>1632</v>
      </c>
      <c r="D20" s="1040" t="e">
        <f>NUMBERSTRING(INT(D19*10000),2)&amp;"元整"</f>
        <v>#VALUE!</v>
      </c>
      <c r="E20" s="1954"/>
    </row>
    <row r="21" spans="1:5" ht="15.75" thickBot="1">
      <c r="A21" s="1954"/>
      <c r="B21" s="2975"/>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8" t="s">
        <v>3005</v>
      </c>
      <c r="D1" s="3299"/>
      <c r="E1" s="3299"/>
      <c r="F1" s="3299"/>
      <c r="G1" s="3299"/>
      <c r="H1" s="3299"/>
      <c r="I1" s="3299"/>
      <c r="J1" s="3299"/>
      <c r="K1" s="3299"/>
      <c r="L1" s="3299"/>
      <c r="M1" s="3299"/>
      <c r="N1" s="3299"/>
      <c r="O1" s="3299"/>
      <c r="P1" s="3299"/>
      <c r="Q1" s="3299"/>
      <c r="R1" s="3299"/>
      <c r="S1" s="3300"/>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5365</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46988</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073" t="s">
        <v>33</v>
      </c>
      <c r="D22" s="3074"/>
      <c r="E22" s="3074"/>
      <c r="F22" s="3074"/>
      <c r="G22" s="3074"/>
      <c r="H22" s="3074"/>
      <c r="I22" s="3074"/>
      <c r="J22" s="3074"/>
      <c r="K22" s="3074"/>
      <c r="L22" s="3074"/>
      <c r="M22" s="3074"/>
      <c r="N22" s="3074"/>
      <c r="O22" s="3074"/>
      <c r="P22" s="3074"/>
      <c r="Q22" s="3297"/>
      <c r="R22" s="716">
        <f ca="1">ROUND(S22*10000/B22,0)</f>
        <v>46988</v>
      </c>
      <c r="S22" s="24">
        <f ca="1">SUM(S24:S10000)</f>
        <v>5365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46647</v>
      </c>
      <c r="S24" s="719">
        <f t="shared" ref="S24:S54" ca="1" si="13">ROUND(R24*B24/10000,0)</f>
        <v>483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47580</v>
      </c>
      <c r="S25" s="361">
        <f t="shared" ca="1" si="13"/>
        <v>726</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47580</v>
      </c>
      <c r="S26" s="361">
        <f t="shared" ca="1" si="13"/>
        <v>860</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46647</v>
      </c>
      <c r="S27" s="361">
        <f t="shared" ca="1" si="13"/>
        <v>569</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46647</v>
      </c>
      <c r="S28" s="361">
        <f t="shared" ca="1" si="13"/>
        <v>580</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46647</v>
      </c>
      <c r="S29" s="361">
        <f t="shared" ca="1" si="13"/>
        <v>491</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46647</v>
      </c>
      <c r="S30" s="361">
        <f t="shared" ca="1" si="13"/>
        <v>483</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47580</v>
      </c>
      <c r="S31" s="361">
        <f t="shared" ca="1" si="13"/>
        <v>790</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45714</v>
      </c>
      <c r="S32" s="361">
        <f t="shared" ca="1" si="13"/>
        <v>383</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32007</v>
      </c>
      <c r="C2" s="2" t="s">
        <v>133</v>
      </c>
      <c r="D2" s="243"/>
      <c r="E2" s="243"/>
      <c r="F2" s="243"/>
      <c r="G2" s="243"/>
    </row>
    <row r="3" spans="1:7" s="244" customFormat="1" ht="18" customHeight="1" thickBot="1">
      <c r="A3" s="247" t="s">
        <v>85</v>
      </c>
      <c r="B3" s="248">
        <f ca="1">ROUND(B2*10000/'数据-汇总表'!E3,0)</f>
        <v>280328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619</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2035</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29</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5313</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5313</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31506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58" t="s">
        <v>121</v>
      </c>
    </row>
    <row r="43" spans="1:7" ht="13.5" customHeight="1">
      <c r="A43" s="951" t="s">
        <v>792</v>
      </c>
      <c r="B43" s="259" t="s">
        <v>1061</v>
      </c>
      <c r="C43" s="282">
        <f ca="1">ROUND(IF('数据-取费表'!B22&lt;=1,C39*F22*'数据-取费表'!B21/2,C39*(POWER((1+F22),'数据-取费表'!B21/2)-1)),0)</f>
        <v>1</v>
      </c>
      <c r="D43" s="282"/>
      <c r="E43" s="282"/>
      <c r="F43" s="283"/>
      <c r="G43" s="3159"/>
    </row>
    <row r="44" spans="1:7" ht="13.5" customHeight="1">
      <c r="A44" s="951" t="s">
        <v>793</v>
      </c>
      <c r="B44" s="259" t="s">
        <v>1063</v>
      </c>
      <c r="C44" s="282">
        <f ca="1">ROUND(IF('数据-取费表'!B22&lt;=1,C40*F22*'数据-取费表'!B21/2,C40*(POWER((1+F22),'数据-取费表'!B21/2)-1)),4)</f>
        <v>1.4E-3</v>
      </c>
      <c r="D44" s="282"/>
      <c r="E44" s="282"/>
      <c r="F44" s="283"/>
      <c r="G44" s="3160"/>
    </row>
    <row r="45" spans="1:7" s="258" customFormat="1" ht="13.5" customHeight="1">
      <c r="A45" s="948" t="s">
        <v>786</v>
      </c>
      <c r="B45" s="288" t="s">
        <v>112</v>
      </c>
      <c r="C45" s="289">
        <f>C46</f>
        <v>115</v>
      </c>
      <c r="D45" s="279">
        <f>C47</f>
        <v>7.4999999999999997E-3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659</v>
      </c>
      <c r="D49" s="276"/>
      <c r="E49" s="276"/>
      <c r="F49" s="308"/>
      <c r="G49" s="278" t="s">
        <v>1070</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501</v>
      </c>
      <c r="D51" s="276"/>
      <c r="E51" s="276"/>
      <c r="F51" s="308"/>
      <c r="G51" s="278" t="s">
        <v>64</v>
      </c>
    </row>
    <row r="52" spans="1:7" s="252" customFormat="1" ht="16.5" thickBot="1">
      <c r="A52" s="309" t="s">
        <v>65</v>
      </c>
      <c r="B52" s="310"/>
      <c r="C52" s="311">
        <f ca="1">C31+C51</f>
        <v>32007</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topLeftCell="E1" zoomScale="160" zoomScaleNormal="160" workbookViewId="0">
      <selection activeCell="N20" sqref="N20"/>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483</v>
      </c>
      <c r="I4" s="1044">
        <f ca="1">结果表!I118</f>
        <v>4230</v>
      </c>
    </row>
    <row r="5" spans="1:9" ht="30" customHeight="1">
      <c r="A5" s="2985" t="s">
        <v>1636</v>
      </c>
      <c r="B5" s="2985"/>
      <c r="C5" s="2985"/>
      <c r="D5" s="2986" t="e">
        <f ca="1">结果表!D119</f>
        <v>#REF!</v>
      </c>
      <c r="E5" s="2986"/>
      <c r="F5" s="2986" t="e">
        <f ca="1">结果表!F119</f>
        <v>#REF!</v>
      </c>
      <c r="G5" s="2986"/>
      <c r="H5" s="2986" t="str">
        <f ca="1">结果表!H119</f>
        <v>肆佰捌拾叁万元整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1636</v>
      </c>
      <c r="B7" s="2985"/>
      <c r="C7" s="2985"/>
      <c r="D7" s="2988" t="str">
        <f>结果表!D121</f>
        <v>零元整</v>
      </c>
      <c r="E7" s="2989"/>
      <c r="F7" s="2989"/>
      <c r="G7" s="2989"/>
      <c r="H7" s="2989"/>
      <c r="I7" s="2990"/>
    </row>
    <row r="8" spans="1:9" ht="15.75">
      <c r="A8" s="2987" t="str">
        <f>结果表!A122</f>
        <v>房地产抵押价值</v>
      </c>
      <c r="B8" s="2987"/>
      <c r="C8" s="2987"/>
      <c r="D8" s="2987">
        <f ca="1">结果表!D122</f>
        <v>483</v>
      </c>
      <c r="E8" s="2987"/>
      <c r="F8" s="2987"/>
      <c r="G8" s="2987"/>
      <c r="H8" s="2987"/>
      <c r="I8" s="2987"/>
    </row>
    <row r="9" spans="1:9" ht="15">
      <c r="A9" s="2985" t="s">
        <v>1636</v>
      </c>
      <c r="B9" s="2985"/>
      <c r="C9" s="2985"/>
      <c r="D9" s="2986" t="str">
        <f ca="1">结果表!D123</f>
        <v>肆佰捌拾叁万元整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1636</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4" t="s">
        <v>1658</v>
      </c>
      <c r="B1" s="2994"/>
      <c r="C1" s="2994"/>
      <c r="D1" s="2994"/>
    </row>
    <row r="2" spans="1:4" ht="18">
      <c r="A2" s="2995" t="s">
        <v>1642</v>
      </c>
      <c r="B2" s="2995"/>
      <c r="C2" s="2995"/>
      <c r="D2" s="2995"/>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2995" t="s">
        <v>1648</v>
      </c>
      <c r="B6" s="2995"/>
      <c r="C6" s="2995"/>
      <c r="D6" s="2995"/>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2996"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2997"/>
      <c r="C15" s="2997"/>
      <c r="D15" s="2997"/>
    </row>
    <row r="16" spans="1:4" ht="30" customHeight="1">
      <c r="A16" s="3000" t="s">
        <v>1652</v>
      </c>
      <c r="B16" s="3000"/>
      <c r="C16" s="3000"/>
      <c r="D16" s="3000"/>
    </row>
    <row r="17" spans="1:4" ht="144" customHeight="1">
      <c r="A17" s="3000" t="s">
        <v>1653</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8" t="s">
        <v>1665</v>
      </c>
      <c r="B15" s="3003" t="s">
        <v>136</v>
      </c>
      <c r="C15" s="3004"/>
    </row>
    <row r="16" spans="1:7" ht="13.5">
      <c r="A16" s="3009"/>
      <c r="B16" s="3003" t="s">
        <v>69</v>
      </c>
      <c r="C16" s="3004"/>
    </row>
    <row r="17" spans="1:3" ht="13.5">
      <c r="A17" s="3009"/>
      <c r="B17" s="3006" t="s">
        <v>1666</v>
      </c>
      <c r="C17" s="1995" t="s">
        <v>1665</v>
      </c>
    </row>
    <row r="18" spans="1:3" ht="13.5">
      <c r="A18" s="3009"/>
      <c r="B18" s="3006"/>
      <c r="C18" s="1995" t="s">
        <v>1667</v>
      </c>
    </row>
    <row r="19" spans="1:3" ht="13.5">
      <c r="A19" s="3009"/>
      <c r="B19" s="3006"/>
      <c r="C19" s="1995" t="s">
        <v>1668</v>
      </c>
    </row>
    <row r="20" spans="1:3" ht="13.5">
      <c r="A20" s="3010"/>
      <c r="B20" s="3005" t="s">
        <v>1669</v>
      </c>
      <c r="C20" s="3004"/>
    </row>
    <row r="21" spans="1:3" ht="13.5">
      <c r="A21" s="1996" t="s">
        <v>1670</v>
      </c>
      <c r="B21" s="1997"/>
      <c r="C21" s="1998"/>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1995" t="s">
        <v>1676</v>
      </c>
    </row>
    <row r="26" spans="1:3" ht="13.5">
      <c r="A26" s="3007"/>
      <c r="B26" s="3006"/>
      <c r="C26" s="1995" t="s">
        <v>1677</v>
      </c>
    </row>
    <row r="27" spans="1:3" ht="13.5">
      <c r="A27" s="3007"/>
      <c r="B27" s="3006"/>
      <c r="C27" s="1995" t="s">
        <v>1678</v>
      </c>
    </row>
    <row r="28" spans="1:3" ht="13.5">
      <c r="A28" s="3007"/>
      <c r="B28" s="3006"/>
      <c r="C28" s="1995" t="s">
        <v>1679</v>
      </c>
    </row>
    <row r="29" spans="1:3" ht="13.5">
      <c r="A29" s="3007"/>
      <c r="B29" s="3006"/>
      <c r="C29" s="1995" t="s">
        <v>1680</v>
      </c>
    </row>
    <row r="30" spans="1:3" ht="13.5">
      <c r="A30" s="3007"/>
      <c r="B30" s="3006"/>
      <c r="C30" s="1995" t="s">
        <v>1681</v>
      </c>
    </row>
    <row r="31" spans="1:3" ht="13.5">
      <c r="A31" s="3007"/>
      <c r="B31" s="3006"/>
      <c r="C31" s="1995" t="s">
        <v>1682</v>
      </c>
    </row>
    <row r="32" spans="1:3" ht="13.5">
      <c r="A32" s="3007"/>
      <c r="B32" s="3006"/>
      <c r="C32" s="1995" t="s">
        <v>1683</v>
      </c>
    </row>
    <row r="33" spans="1:3" ht="13.5">
      <c r="A33" s="3007"/>
      <c r="B33" s="3006"/>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43605</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1" t="s">
        <v>843</v>
      </c>
      <c r="B25" s="3011"/>
      <c r="C25" s="3011"/>
      <c r="D25" s="3011"/>
      <c r="E25" s="3011"/>
      <c r="F25" s="3011"/>
      <c r="G25" s="3011"/>
    </row>
    <row r="26" spans="1:7" s="1025" customFormat="1" ht="24" customHeight="1">
      <c r="A26" s="3012" t="s">
        <v>844</v>
      </c>
      <c r="B26" s="3012"/>
      <c r="C26" s="3013"/>
      <c r="D26" s="3014" t="s">
        <v>845</v>
      </c>
      <c r="E26" s="3012"/>
      <c r="F26" s="3012"/>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2019-05-20T05:23:46Z</dcterms:modified>
</cp:coreProperties>
</file>