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D33"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8" i="43"/>
  <c r="D8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D70" i="43" s="1"/>
  <c r="M69" i="43"/>
  <c r="N69" i="43" s="1"/>
  <c r="K69" i="43"/>
  <c r="J69" i="43" s="1"/>
  <c r="D69" i="43" s="1"/>
  <c r="M68" i="43"/>
  <c r="N68" i="43" s="1"/>
  <c r="K68" i="43"/>
  <c r="D68" i="43" s="1"/>
  <c r="M67" i="43"/>
  <c r="N67" i="43" s="1"/>
  <c r="K67" i="43"/>
  <c r="D67" i="43" s="1"/>
  <c r="M66" i="43"/>
  <c r="N66" i="43" s="1"/>
  <c r="K66" i="43"/>
  <c r="D66" i="43" s="1"/>
  <c r="M65" i="43"/>
  <c r="N65" i="43" s="1"/>
  <c r="K65" i="43"/>
  <c r="D65" i="43" s="1"/>
  <c r="M64" i="43"/>
  <c r="N64" i="43" s="1"/>
  <c r="K64" i="43"/>
  <c r="D64" i="43" s="1"/>
  <c r="M63" i="43"/>
  <c r="N63" i="43" s="1"/>
  <c r="K63" i="43"/>
  <c r="D63" i="43" s="1"/>
  <c r="M62" i="43"/>
  <c r="N62" i="43" s="1"/>
  <c r="K62" i="43"/>
  <c r="D62" i="43" s="1"/>
  <c r="M59" i="43"/>
  <c r="N59" i="43" s="1"/>
  <c r="K59" i="43"/>
  <c r="J59" i="43" s="1"/>
  <c r="M58" i="43"/>
  <c r="N58" i="43" s="1"/>
  <c r="K58" i="43"/>
  <c r="J58" i="43" s="1"/>
  <c r="M57" i="43"/>
  <c r="N57" i="43" s="1"/>
  <c r="K57" i="43"/>
  <c r="J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O67" i="71"/>
  <c r="O66" i="71"/>
  <c r="J26" i="43"/>
  <c r="B9" i="76"/>
  <c r="D20" i="9"/>
  <c r="F42" i="67"/>
  <c r="D2" i="33"/>
  <c r="F37" i="15"/>
  <c r="F42" i="15"/>
  <c r="C20" i="9"/>
  <c r="L48" i="15"/>
  <c r="M28" i="67"/>
  <c r="M27" i="67"/>
  <c r="F40" i="15"/>
  <c r="F41" i="15"/>
  <c r="E10" i="76"/>
  <c r="F36" i="15"/>
  <c r="D2" i="35"/>
  <c r="M29" i="67"/>
  <c r="F40" i="67"/>
  <c r="M8" i="15"/>
  <c r="D35" i="9"/>
  <c r="B13" i="76"/>
  <c r="D2" i="36"/>
  <c r="D5" i="73"/>
  <c r="J15" i="15"/>
  <c r="D3" i="73"/>
  <c r="F6" i="73"/>
  <c r="C19" i="9"/>
  <c r="F26" i="15"/>
  <c r="B11" i="76"/>
  <c r="F7" i="73"/>
  <c r="D2" i="34"/>
  <c r="F41" i="67"/>
  <c r="F38" i="15"/>
  <c r="D7" i="73"/>
  <c r="E13" i="76"/>
  <c r="D4" i="73"/>
  <c r="C76" i="15"/>
  <c r="F26" i="67"/>
  <c r="F7" i="67"/>
  <c r="F38" i="67"/>
  <c r="M23" i="15"/>
  <c r="F36" i="67"/>
  <c r="M29" i="15"/>
  <c r="E8" i="76"/>
  <c r="AO6" i="1"/>
  <c r="E2" i="69"/>
  <c r="E12" i="76"/>
  <c r="C76" i="67"/>
  <c r="M24" i="15"/>
  <c r="AO13" i="1"/>
  <c r="M9" i="15"/>
  <c r="F6" i="67"/>
  <c r="D2" i="37"/>
  <c r="L47" i="15"/>
  <c r="B8" i="76"/>
  <c r="M23" i="67"/>
  <c r="F16" i="15"/>
  <c r="B12" i="76"/>
  <c r="F5" i="73"/>
  <c r="F6" i="15"/>
  <c r="B7" i="76"/>
  <c r="M28" i="15"/>
  <c r="L48" i="67"/>
  <c r="M8" i="67"/>
  <c r="F13" i="15"/>
  <c r="F9" i="15"/>
  <c r="F13" i="67"/>
  <c r="AO12" i="1"/>
  <c r="E7" i="76"/>
  <c r="B10" i="76"/>
  <c r="E11" i="76"/>
  <c r="M24" i="67"/>
  <c r="E9" i="76"/>
  <c r="F7" i="15"/>
  <c r="D6" i="73"/>
  <c r="J15" i="67"/>
  <c r="F8" i="67"/>
  <c r="F20" i="31"/>
  <c r="E2" i="68"/>
  <c r="M9" i="67"/>
  <c r="M22" i="67"/>
  <c r="M26" i="67"/>
  <c r="D34" i="9"/>
  <c r="F4" i="73"/>
  <c r="L47" i="67"/>
  <c r="D2" i="21"/>
  <c r="M26" i="15"/>
  <c r="F37" i="67"/>
  <c r="F3" i="73"/>
  <c r="F16" i="67"/>
  <c r="M6" i="67"/>
  <c r="AO10" i="1"/>
  <c r="F8" i="15"/>
  <c r="F43" i="15"/>
  <c r="AO7" i="1"/>
  <c r="AO8" i="1"/>
  <c r="AO9" i="1"/>
  <c r="AO11" i="1"/>
  <c r="D19" i="9"/>
  <c r="M22" i="15"/>
  <c r="F43" i="67"/>
  <c r="F9" i="67"/>
  <c r="M6" i="15"/>
  <c r="M27" i="15"/>
  <c r="D51" i="43" l="1"/>
  <c r="D58" i="43"/>
  <c r="C24" i="43"/>
  <c r="F84" i="43"/>
  <c r="D53" i="43"/>
  <c r="D57" i="43"/>
  <c r="D59" i="43"/>
  <c r="D91" i="43"/>
  <c r="D87" i="43"/>
  <c r="D84" i="43"/>
  <c r="D90" i="43"/>
  <c r="D86" i="43"/>
  <c r="C30" i="69"/>
  <c r="E62" i="43"/>
  <c r="B60" i="43" s="1"/>
  <c r="J62" i="43"/>
  <c r="J63" i="43"/>
  <c r="J64" i="43"/>
  <c r="J65" i="43"/>
  <c r="J66" i="43"/>
  <c r="J67" i="43"/>
  <c r="J68" i="43"/>
  <c r="J70" i="43"/>
  <c r="D123" i="43"/>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H51" i="43" l="1"/>
  <c r="H52" i="43"/>
  <c r="H58" i="43"/>
  <c r="H57" i="43"/>
  <c r="E84" i="43"/>
  <c r="B82" i="43" s="1"/>
  <c r="E51" i="43"/>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4" i="67"/>
  <c r="C17" i="67"/>
  <c r="C17" i="15"/>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J14" i="67" l="1"/>
  <c r="J13" i="67" s="1"/>
  <c r="J23" i="67" s="1"/>
  <c r="C13" i="67"/>
  <c r="C75" i="67" s="1"/>
  <c r="J19" i="67"/>
  <c r="C33" i="67"/>
  <c r="C57" i="67"/>
  <c r="C64" i="67" s="1"/>
  <c r="J59" i="67"/>
  <c r="J60" i="67" s="1"/>
  <c r="L46"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l="1"/>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M21" i="67"/>
  <c r="F35" i="67"/>
  <c r="F35" i="15"/>
  <c r="M21" i="15"/>
  <c r="C56" i="15" l="1"/>
  <c r="C65" i="15" s="1"/>
  <c r="Q70" i="15"/>
  <c r="J13" i="15"/>
  <c r="J23" i="15" s="1"/>
  <c r="C64"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47" i="15"/>
  <c r="Q53" i="15" s="1"/>
  <c r="C46" i="15"/>
  <c r="B2" i="15"/>
  <c r="B3" i="15" s="1"/>
  <c r="Q65" i="15"/>
  <c r="Q75" i="15" s="1"/>
  <c r="C83" i="15"/>
  <c r="C82" i="15" s="1"/>
  <c r="Q56" i="15"/>
  <c r="Q62"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H40" i="43" l="1"/>
  <c r="I40" i="43" s="1"/>
  <c r="C31" i="43" s="1"/>
  <c r="E40" i="43"/>
  <c r="D1" i="43"/>
  <c r="E33" i="43"/>
  <c r="C30" i="43" l="1"/>
  <c r="E6" i="76"/>
  <c r="E2" i="76" l="1"/>
  <c r="B2" i="43"/>
  <c r="B6" i="76"/>
  <c r="B2" i="76" l="1"/>
  <c r="B3" i="76" s="1"/>
  <c r="B3" i="43"/>
  <c r="B21" i="72"/>
  <c r="N58" i="9"/>
  <c r="P57" i="9"/>
  <c r="D6" i="74"/>
  <c r="C6" i="74"/>
  <c r="H4" i="52"/>
  <c r="C104" i="9"/>
  <c r="D52" i="9"/>
  <c r="D53" i="9"/>
  <c r="C105" i="9"/>
  <c r="I4" i="52"/>
  <c r="F14" i="74"/>
  <c r="E14" i="74"/>
  <c r="C5" i="74"/>
  <c r="D14" i="74"/>
  <c r="B5" i="74"/>
  <c r="D5" i="74"/>
  <c r="B32" i="72"/>
  <c r="N61" i="9"/>
  <c r="N59" i="9"/>
  <c r="N60" i="9"/>
  <c r="B22" i="72"/>
  <c r="M48" i="9"/>
  <c r="C81" i="9"/>
  <c r="D54" i="9"/>
  <c r="D9" i="52"/>
  <c r="B53" i="72"/>
  <c r="B6" i="74"/>
  <c r="H119" i="9"/>
  <c r="H5" i="52"/>
  <c r="B52" i="72"/>
  <c r="C93" i="9"/>
  <c r="C86" i="9"/>
  <c r="B47" i="72"/>
  <c r="B48" i="72"/>
  <c r="B30" i="72"/>
  <c r="D13" i="53"/>
  <c r="D14" i="53"/>
  <c r="C68" i="9"/>
  <c r="G4" i="52"/>
  <c r="F4" i="52"/>
  <c r="B51" i="72"/>
  <c r="E4" i="52"/>
  <c r="D4" i="52"/>
  <c r="H108" i="9"/>
  <c r="D15" i="53"/>
  <c r="B31" i="72"/>
  <c r="C78" i="9"/>
  <c r="C73" i="9"/>
  <c r="D8" i="52"/>
  <c r="D123" i="9"/>
  <c r="H107" i="9"/>
  <c r="D122" i="9"/>
  <c r="G14" i="74"/>
  <c r="B20" i="72"/>
  <c r="D5" i="53"/>
  <c r="D6" i="53"/>
  <c r="E118" i="9"/>
  <c r="D118" i="9"/>
  <c r="D119" i="9"/>
  <c r="D5" i="52"/>
  <c r="B49" i="72"/>
  <c r="C72" i="9"/>
  <c r="C79" i="9"/>
  <c r="C80" i="9"/>
  <c r="E80" i="9"/>
  <c r="E81" i="9"/>
  <c r="E97" i="9"/>
  <c r="C97" i="9"/>
  <c r="D58" i="9"/>
  <c r="D56" i="9"/>
  <c r="M54" i="9"/>
  <c r="H102" i="9"/>
  <c r="D7" i="53"/>
  <c r="C85" i="9"/>
  <c r="C95" i="9"/>
  <c r="C96" i="9"/>
  <c r="E96" i="9"/>
  <c r="G118" i="9"/>
  <c r="F118" i="9"/>
  <c r="F119" i="9"/>
  <c r="F5" i="52"/>
  <c r="C64" i="9"/>
  <c r="C63" i="9"/>
  <c r="C67" i="9"/>
  <c r="D59" i="9"/>
  <c r="M5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<sst xmlns="http://schemas.openxmlformats.org/spreadsheetml/2006/main" count="7744" uniqueCount="3111">
  <si>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</si>
  <si>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</si>
  <si>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</si>
  <si>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</si>
  <si>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</si>
  <si>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</si>
  <si>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</si>
  <si>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</si>
  <si>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</si>
  <si>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</si>
  <si>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</si>
  <si>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</si>
  <si>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</si>
  <si>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</si>
  <si>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</si>
  <si>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</si>
  <si>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</si>
  <si>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</si>
  <si>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</si>
  <si>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</si>
  <si>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</si>
  <si>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</si>
  <si>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</si>
  <si>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</si>
  <si>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</si>
  <si>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</si>
  <si>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</si>
  <si>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</si>
  <si>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</si>
  <si>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</si>
  <si>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</si>
  <si>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</si>
  <si>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</si>
  <si>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</si>
  <si>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</si>
  <si>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</si>
  <si>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</si>
  <si>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</si>
  <si>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</si>
  <si>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</si>
  <si>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</si>
  <si>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</si>
  <si>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</si>
  <si>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</si>
  <si>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</si>
  <si>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</si>
  <si>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</si>
  <si>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</si>
  <si>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</si>
  <si>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</si>
  <si>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</si>
  <si>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</si>
  <si>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</si>
  <si>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</si>
  <si>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</si>
  <si>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</si>
  <si>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</si>
  <si>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</si>
  <si>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</si>
  <si>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</si>
  <si>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</si>
  <si>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</si>
  <si>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</si>
  <si>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</si>
  <si>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</si>
  <si>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</si>
  <si>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</si>
  <si>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</si>
  <si>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</si>
  <si>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</si>
  <si>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</si>
  <si>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</si>
  <si>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</si>
  <si>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</si>
  <si>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</si>
  <si>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</si>
  <si>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</si>
  <si>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</si>
  <si>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</si>
  <si>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</si>
  <si>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</si>
  <si>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</si>
  <si>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</si>
  <si>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</si>
  <si>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</si>
  <si>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</si>
  <si>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</si>
  <si>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</si>
  <si>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</si>
  <si>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</si>
  <si>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</si>
  <si>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</si>
  <si>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</si>
  <si>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</si>
  <si>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</si>
  <si>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</si>
  <si>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</si>
  <si>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</si>
  <si>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</si>
  <si>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</si>
  <si>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</si>
  <si>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</si>
  <si>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</si>
  <si>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</si>
  <si>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</si>
  <si>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</si>
  <si>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</si>
  <si>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</si>
  <si>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</si>
  <si>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</si>
  <si>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</si>
  <si>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</si>
  <si>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</si>
  <si>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</si>
  <si>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</si>
  <si>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</si>
  <si>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</si>
  <si>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</si>
  <si>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</si>
  <si>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</si>
  <si>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</si>
  <si>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</si>
  <si>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</si>
  <si>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</si>
  <si>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</si>
  <si>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</si>
  <si>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</si>
  <si>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</si>
  <si>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</si>
  <si>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</si>
  <si>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</si>
  <si>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</si>
  <si>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</si>
  <si>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</si>
  <si>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</si>
  <si>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</si>
  <si>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</si>
  <si>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</si>
  <si>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</si>
  <si>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</si>
  <si>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</si>
  <si>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</si>
  <si>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</si>
  <si>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</si>
  <si>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</si>
  <si>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</si>
  <si>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</si>
  <si>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</si>
  <si>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</si>
  <si>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</si>
  <si>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</si>
  <si>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</si>
  <si>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</si>
  <si>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</si>
  <si>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</si>
  <si>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</si>
  <si>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</si>
  <si>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</si>
  <si>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</si>
  <si>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</si>
  <si>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</si>
  <si>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</si>
  <si>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</si>
  <si>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</si>
  <si>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</si>
  <si>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</si>
  <si>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</si>
  <si>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</si>
  <si>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</si>
  <si>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</si>
  <si>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</si>
  <si>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</si>
  <si>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</si>
  <si>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</si>
  <si>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</si>
  <si>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</si>
  <si>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</si>
  <si>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</si>
  <si>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</si>
  <si>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</si>
  <si>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</si>
  <si>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</si>
  <si>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</si>
  <si>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</si>
  <si>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</si>
  <si>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</si>
  <si>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</si>
  <si>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</si>
  <si>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</si>
  <si>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</si>
  <si>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</si>
  <si>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</si>
  <si>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</si>
  <si>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</si>
  <si>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</si>
  <si>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</si>
  <si>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</si>
  <si>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</si>
  <si>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</si>
  <si>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</si>
  <si>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</si>
  <si>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</si>
  <si>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</si>
  <si>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</si>
  <si>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</si>
  <si>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</si>
  <si>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</si>
  <si>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</si>
  <si>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</si>
  <si>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</si>
  <si>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</si>
  <si>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</si>
  <si>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</si>
  <si>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</si>
  <si>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</si>
  <si>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</si>
  <si>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</si>
  <si>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</si>
  <si>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</si>
  <si>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</si>
  <si>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</si>
  <si>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</si>
  <si>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</si>
  <si>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</si>
  <si>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</si>
  <si>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</si>
  <si>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</si>
  <si>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</si>
  <si>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</si>
  <si>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</si>
  <si>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</si>
  <si>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</si>
  <si>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</si>
  <si>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</si>
  <si>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</si>
  <si>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</si>
  <si>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</si>
  <si>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</si>
  <si>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</si>
  <si>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</si>
  <si>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</si>
  <si>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</si>
  <si>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</si>
  <si>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</si>
  <si>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</si>
  <si>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</si>
  <si>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</si>
  <si>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</si>
  <si>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</si>
  <si>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</si>
  <si>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</si>
  <si>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</si>
  <si>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</si>
  <si>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</si>
  <si>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</si>
  <si>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</si>
  <si>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</si>
  <si>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</si>
  <si>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</si>
  <si>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</si>
  <si>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</si>
  <si>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</si>
  <si>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</si>
  <si>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</si>
  <si>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</si>
  <si>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</si>
  <si>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</si>
  <si>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</si>
  <si>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</si>
  <si>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</si>
  <si>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</si>
  <si>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</si>
  <si>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</si>
  <si>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</si>
  <si>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</si>
  <si>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</si>
  <si>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</si>
  <si>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</si>
  <si>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</si>
  <si>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</si>
  <si>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</si>
  <si>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</si>
  <si>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</si>
  <si>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</si>
  <si>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</si>
  <si>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</si>
  <si>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</si>
  <si>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</si>
  <si>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</si>
  <si>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</si>
  <si>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</si>
  <si>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</si>
  <si>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</si>
  <si>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</si>
  <si>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</si>
  <si>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</si>
  <si>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</si>
  <si>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</si>
  <si>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</si>
  <si>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</si>
  <si>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</si>
  <si>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</si>
  <si>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</si>
  <si>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</si>
  <si>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</si>
  <si>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</si>
  <si>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</si>
  <si>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</si>
  <si>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</si>
  <si>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</si>
  <si>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</si>
  <si>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</si>
  <si>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</si>
  <si>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</si>
  <si>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</si>
  <si>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</si>
  <si>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</si>
  <si>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</si>
  <si>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</si>
  <si>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</si>
  <si>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</si>
  <si>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</si>
  <si>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</si>
  <si>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</si>
  <si>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</si>
  <si>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</si>
  <si>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</si>
  <si>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</si>
  <si>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</si>
  <si>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</si>
  <si>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</si>
  <si>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</si>
  <si>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</si>
  <si>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</si>
  <si>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</si>
  <si>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</si>
  <si>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</si>
  <si>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</si>
  <si>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</si>
  <si>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</si>
  <si>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</si>
  <si>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</si>
  <si>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</si>
  <si>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</si>
  <si>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</si>
  <si>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</si>
  <si>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</si>
  <si>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</si>
  <si>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</si>
  <si>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</si>
  <si>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</si>
  <si>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</si>
  <si>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</si>
  <si>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</si>
  <si>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</si>
  <si>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</si>
  <si>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</si>
  <si>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</si>
  <si>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</si>
  <si>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</si>
  <si>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</si>
  <si>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</si>
  <si>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</si>
  <si>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</si>
  <si>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</si>
  <si>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</si>
  <si>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</si>
  <si>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</si>
  <si>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</si>
  <si>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</si>
  <si>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</si>
  <si>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</si>
  <si>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</si>
  <si>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</si>
  <si>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</si>
  <si>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</si>
  <si>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</si>
  <si>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</si>
  <si>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</si>
  <si>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</si>
  <si>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</si>
  <si>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</si>
  <si>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</si>
  <si>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</si>
  <si>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</si>
  <si>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</si>
  <si>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</si>
  <si>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</si>
  <si>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</si>
  <si>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</si>
  <si>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</si>
  <si>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</si>
  <si>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</si>
  <si>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</si>
  <si>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</si>
  <si>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</si>
  <si>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</si>
  <si>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</si>
  <si>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</si>
  <si>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</si>
  <si>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</si>
  <si>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</si>
  <si>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</si>
  <si>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</si>
  <si>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</si>
  <si>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</si>
  <si>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</si>
  <si>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</si>
  <si>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</si>
  <si>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</si>
  <si>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</si>
  <si>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</si>
  <si>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</si>
  <si>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</si>
  <si>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</si>
  <si>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</si>
  <si>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</si>
  <si>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</si>
  <si>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</si>
  <si>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</si>
  <si>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</si>
  <si>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</si>
  <si>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</si>
  <si>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</si>
  <si>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</si>
  <si>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</si>
  <si>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</si>
  <si>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</si>
  <si>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</si>
  <si>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</si>
  <si>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</si>
  <si>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</si>
  <si>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</si>
  <si>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</si>
  <si>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</si>
  <si>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</si>
  <si>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</si>
  <si>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</si>
  <si>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</si>
  <si>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</si>
  <si>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</si>
  <si>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</si>
  <si>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</si>
  <si>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</si>
  <si>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</si>
  <si>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</si>
  <si>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</si>
  <si>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</si>
  <si>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</si>
  <si>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</si>
  <si>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</si>
  <si>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</si>
  <si>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</si>
  <si>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</si>
  <si>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</si>
  <si>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</si>
  <si>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</si>
  <si>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</si>
  <si>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</si>
  <si>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</si>
  <si>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</si>
  <si>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</si>
  <si>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</si>
  <si>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</si>
  <si>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</si>
  <si>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</si>
  <si>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</si>
  <si>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</si>
  <si>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</si>
  <si>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</si>
  <si>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</si>
  <si>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</si>
  <si>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</si>
  <si>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</si>
  <si>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</si>
  <si>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</si>
  <si>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</si>
  <si>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</si>
  <si>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</si>
  <si>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</si>
  <si>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</si>
  <si>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</si>
  <si>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</si>
  <si>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</si>
  <si>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</si>
  <si>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</si>
  <si>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</si>
  <si>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</si>
  <si>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</si>
  <si>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</si>
  <si>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</si>
  <si>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</si>
  <si>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</si>
  <si>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</si>
  <si>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</si>
  <si>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</si>
  <si>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</si>
  <si>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</si>
  <si>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</si>
  <si>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</si>
  <si>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</si>
  <si>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</si>
  <si>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</si>
  <si>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</si>
  <si>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</si>
  <si>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</si>
  <si>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</si>
  <si>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</si>
  <si>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</si>
  <si>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</si>
  <si>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</si>
  <si>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</si>
  <si>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</si>
  <si>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</si>
  <si>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</si>
  <si>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</si>
  <si>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</si>
  <si>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</si>
  <si>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</si>
  <si>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</si>
  <si>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</si>
  <si>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</si>
  <si>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</si>
  <si>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</si>
  <si>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</si>
  <si>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</si>
  <si>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</si>
  <si>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</si>
  <si>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</si>
  <si>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</si>
  <si>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</si>
  <si>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</si>
  <si>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</si>
  <si>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</si>
  <si>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</si>
  <si>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</si>
  <si>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</si>
  <si>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</si>
  <si>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</si>
  <si>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</si>
  <si>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</si>
  <si>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</si>
  <si>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</si>
  <si>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</si>
  <si>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</si>
  <si>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</si>
  <si>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</si>
  <si>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</si>
  <si>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</si>
  <si>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</si>
  <si>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</si>
  <si>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</si>
  <si>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</si>
  <si>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</si>
  <si>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</si>
  <si>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</si>
  <si>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</si>
  <si>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</si>
  <si>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</si>
  <si>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</si>
  <si>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</si>
  <si>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</si>
  <si>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</si>
  <si>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</si>
  <si>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</si>
  <si>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</si>
  <si>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</si>
  <si>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</si>
  <si>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</si>
  <si>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</si>
  <si>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</si>
  <si>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</si>
  <si>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</si>
  <si>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</si>
  <si>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</si>
  <si>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</si>
  <si>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</si>
  <si>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</si>
  <si>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</si>
  <si>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</si>
  <si>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</si>
  <si>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</si>
  <si>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</si>
  <si>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</si>
  <si>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</si>
  <si>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</si>
  <si>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</si>
  <si>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</si>
  <si>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</si>
  <si>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</si>
  <si>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</si>
  <si>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</si>
  <si>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</si>
  <si>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</si>
  <si>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</si>
  <si>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</si>
  <si>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</si>
  <si>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</si>
  <si>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</si>
  <si>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</si>
  <si>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</si>
  <si>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</si>
  <si>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</si>
  <si>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</si>
  <si>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</si>
  <si>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</si>
  <si>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</si>
  <si>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</si>
  <si>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</si>
  <si>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</si>
  <si>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</si>
  <si>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</si>
  <si>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</si>
  <si>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</si>
  <si>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</si>
  <si>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</si>
  <si>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</si>
  <si>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</si>
  <si>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</si>
  <si>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</si>
  <si>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</si>
  <si>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</si>
  <si>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</si>
  <si>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</si>
  <si>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</si>
  <si>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</si>
  <si>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</si>
  <si>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</si>
  <si>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</si>
  <si>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</si>
  <si>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</si>
  <si>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</si>
  <si>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</si>
  <si>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</si>
  <si>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</si>
  <si>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</si>
  <si>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</si>
  <si>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</si>
  <si>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</si>
  <si>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</si>
  <si>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</si>
  <si>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</si>
  <si>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</si>
  <si>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</si>
  <si>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</si>
  <si>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</si>
  <si>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</si>
  <si>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</si>
  <si>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</si>
  <si>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</si>
  <si>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</si>
  <si>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</si>
  <si>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</si>
  <si>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</si>
  <si>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</si>
  <si>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</si>
  <si>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</si>
  <si>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</si>
  <si>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</si>
  <si>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</si>
  <si>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</si>
  <si>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</si>
  <si>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</si>
  <si>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</si>
  <si>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</si>
  <si>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</si>
  <si>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</si>
  <si>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</si>
  <si>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</si>
  <si>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</si>
  <si>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</si>
  <si>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</si>
  <si>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</si>
  <si>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</si>
  <si>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</si>
  <si>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</si>
  <si>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</si>
  <si>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</si>
  <si>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</si>
  <si>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</si>
  <si>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</si>
  <si>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</si>
  <si>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</si>
  <si>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</si>
  <si>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</si>
  <si>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</si>
  <si>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</si>
  <si>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</si>
  <si>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</si>
  <si>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</si>
  <si>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</si>
  <si>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</si>
  <si>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</si>
  <si>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</si>
  <si>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</si>
  <si>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</si>
  <si>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</si>
  <si>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</si>
  <si>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</si>
  <si>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</si>
  <si>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</si>
  <si>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</si>
  <si>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</si>
  <si>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</si>
  <si>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</si>
  <si>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</si>
  <si>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</si>
  <si>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</si>
  <si>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</si>
  <si>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</si>
  <si>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</si>
  <si>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</si>
  <si>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</si>
  <si>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</si>
  <si>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</si>
  <si>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</si>
  <si>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</si>
  <si>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</si>
  <si>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</si>
  <si>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</si>
  <si>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</si>
  <si>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</si>
  <si>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</si>
  <si>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</si>
  <si>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</si>
  <si>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</si>
  <si>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</si>
  <si>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</si>
  <si>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</si>
  <si>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</si>
  <si>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</si>
  <si>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</si>
  <si>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</si>
  <si>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</si>
  <si>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</si>
  <si>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</si>
  <si>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</si>
  <si>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</si>
  <si>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</si>
  <si>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</si>
  <si>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</si>
  <si>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</si>
  <si>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</si>
  <si>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</si>
  <si>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</si>
  <si>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</si>
  <si>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</si>
  <si>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</si>
  <si>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</si>
  <si>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</si>
  <si>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</si>
  <si>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</si>
  <si>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</si>
  <si>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</si>
  <si>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</si>
  <si>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</si>
  <si>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</si>
  <si>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</si>
  <si>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</si>
  <si>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</si>
  <si>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</si>
  <si>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</si>
  <si>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</si>
  <si>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</si>
  <si>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</si>
  <si>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</si>
  <si>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</si>
  <si>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</si>
  <si>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</si>
  <si>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</si>
  <si>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</si>
  <si>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</si>
  <si>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</si>
  <si>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</si>
  <si>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</si>
  <si>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</si>
  <si>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</si>
  <si>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</si>
  <si>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</si>
  <si>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</si>
  <si>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</si>
  <si>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</si>
  <si>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</si>
  <si>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</si>
  <si>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</si>
  <si>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</si>
  <si>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</si>
  <si>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</si>
  <si>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</si>
  <si>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</si>
  <si>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</si>
  <si>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</si>
  <si>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</si>
  <si>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</si>
  <si>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</si>
  <si>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</si>
  <si>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</si>
  <si>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</si>
  <si>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</si>
  <si>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</si>
  <si>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</si>
  <si>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</si>
  <si>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</si>
  <si>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</si>
  <si>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</si>
  <si>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</si>
  <si>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</si>
  <si>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</si>
  <si>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</si>
  <si>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</si>
  <si>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</si>
  <si>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</si>
  <si>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</si>
  <si>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</si>
  <si>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</si>
  <si>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</si>
  <si>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</si>
  <si>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</si>
  <si>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</si>
  <si>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</si>
  <si>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</si>
  <si>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</si>
  <si>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</si>
  <si>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</si>
  <si>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</si>
  <si>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</si>
  <si>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</si>
  <si>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</si>
  <si>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</si>
  <si>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</si>
  <si>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</si>
  <si>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</si>
  <si>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</si>
  <si>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</si>
  <si>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</si>
  <si>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</si>
  <si>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</si>
  <si>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</si>
  <si>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</si>
  <si>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</si>
  <si>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</si>
  <si>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</si>
  <si>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</si>
  <si>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</si>
  <si>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</si>
  <si>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</si>
  <si>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</si>
  <si>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</si>
  <si>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</si>
  <si>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</si>
  <si>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</si>
  <si>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</si>
  <si>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</si>
  <si>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</si>
  <si>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</si>
  <si>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</si>
  <si>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</si>
  <si>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</si>
  <si>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</si>
  <si>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</si>
  <si>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</si>
  <si>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</si>
  <si>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</si>
  <si>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</si>
  <si>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</si>
  <si>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</si>
  <si>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</si>
  <si>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</si>
  <si>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</si>
  <si>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</si>
  <si>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</si>
  <si>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</si>
  <si>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</si>
  <si>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</si>
  <si>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</si>
  <si>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</si>
  <si>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</si>
  <si>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</si>
  <si>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</si>
  <si>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</si>
  <si>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</si>
  <si>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</si>
  <si>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</si>
  <si>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</si>
  <si>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</si>
  <si>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</si>
  <si>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</si>
  <si>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</si>
  <si>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</si>
  <si>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</si>
  <si>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</si>
  <si>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</si>
  <si>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</si>
  <si>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</si>
  <si>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</si>
  <si>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</si>
  <si>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</si>
  <si>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</si>
  <si>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</si>
  <si>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</si>
  <si>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</si>
  <si>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</si>
  <si>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</si>
  <si>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</si>
  <si>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</si>
  <si>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</si>
  <si>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</si>
  <si>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</si>
  <si>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</si>
  <si>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</si>
  <si>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</si>
  <si>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</si>
  <si>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</si>
  <si>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</si>
  <si>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</si>
  <si>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</si>
  <si>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</si>
  <si>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</si>
  <si>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</si>
  <si>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</si>
  <si>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</si>
  <si>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</si>
  <si>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</si>
  <si>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</si>
  <si>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</si>
  <si>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</si>
  <si>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</si>
  <si>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</si>
  <si>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</si>
  <si>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</si>
  <si>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</si>
  <si>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</si>
  <si>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</si>
  <si>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</si>
  <si>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</si>
  <si>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</si>
  <si>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</si>
  <si>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</si>
  <si>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</si>
  <si>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</si>
  <si>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</si>
  <si>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</si>
  <si>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</si>
  <si>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</si>
  <si>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</si>
  <si>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</si>
  <si>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</si>
  <si>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</si>
  <si>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</si>
  <si>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</si>
  <si>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</si>
  <si>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</si>
  <si>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</si>
  <si>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</si>
  <si>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</si>
  <si>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</si>
  <si>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</si>
  <si>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</si>
  <si>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</si>
  <si>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</si>
  <si>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</si>
  <si>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</si>
  <si>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</si>
  <si>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</si>
  <si>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</si>
  <si>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</si>
  <si>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</si>
  <si>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</si>
  <si>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</si>
  <si>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</si>
  <si>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</si>
  <si>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</si>
  <si>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</si>
  <si>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</si>
  <si>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</si>
  <si>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</si>
  <si>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</si>
  <si>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</si>
  <si>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</si>
  <si>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</si>
  <si>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</si>
  <si>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</si>
  <si>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</si>
  <si>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</si>
  <si>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</si>
  <si>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</si>
  <si>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</si>
  <si>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</si>
  <si>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</si>
  <si>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</si>
  <si>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</si>
  <si>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</si>
  <si>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</si>
  <si>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</si>
  <si>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</si>
  <si>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</si>
  <si>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</si>
  <si>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</si>
  <si>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</si>
  <si>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</si>
  <si>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</si>
  <si>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</si>
  <si>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</si>
  <si>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</si>
  <si>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</si>
  <si>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</si>
  <si>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</si>
  <si>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</si>
  <si>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</si>
  <si>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</si>
  <si>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</si>
  <si>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</si>
  <si>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</si>
  <si>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</si>
  <si>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</si>
  <si>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</si>
  <si>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</si>
  <si>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</si>
  <si>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</si>
  <si>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</si>
  <si>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</si>
  <si>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</si>
  <si>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</si>
  <si>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</si>
  <si>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</si>
  <si>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</si>
  <si>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</si>
  <si>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</si>
  <si>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</si>
  <si>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</si>
  <si>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</si>
  <si>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</si>
  <si>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</si>
  <si>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</si>
  <si>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</si>
  <si>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</si>
  <si>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</si>
  <si>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</si>
  <si>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</si>
  <si>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</si>
  <si>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</si>
  <si>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</si>
  <si>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</si>
  <si>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</si>
  <si>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</si>
  <si>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</si>
  <si>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</si>
  <si>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</si>
  <si>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</si>
  <si>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</si>
  <si>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</si>
  <si>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</si>
  <si>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</si>
  <si>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</si>
  <si>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</si>
  <si>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</si>
  <si>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</si>
  <si>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</si>
  <si>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</si>
  <si>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</si>
  <si>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</si>
  <si>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</si>
  <si>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</si>
  <si>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</si>
  <si>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</si>
  <si>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</si>
  <si>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</si>
  <si>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</si>
  <si>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</si>
  <si>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</si>
  <si>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</si>
  <si>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</si>
  <si>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</si>
  <si>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</si>
  <si>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</si>
  <si>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</si>
  <si>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</si>
  <si>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</si>
  <si>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</si>
  <si>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</si>
  <si>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</si>
  <si>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</si>
  <si>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</si>
  <si>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</si>
  <si>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</si>
  <si>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</si>
  <si>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</si>
  <si>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</si>
  <si>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</si>
  <si>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</si>
  <si>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</si>
  <si>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</si>
  <si>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</si>
  <si>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</si>
  <si>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</si>
  <si>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</si>
  <si>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</si>
  <si>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</si>
  <si>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</si>
  <si>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</si>
  <si>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</si>
  <si>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</si>
  <si>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</si>
  <si>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</si>
  <si>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</si>
  <si>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</si>
  <si>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</si>
  <si>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</si>
  <si>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</si>
  <si>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</si>
  <si>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</si>
  <si>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</si>
  <si>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</si>
  <si>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</si>
  <si>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</si>
  <si>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</si>
  <si>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</si>
  <si>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</si>
  <si>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</si>
  <si>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</si>
  <si>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</si>
  <si>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</si>
  <si>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</si>
  <si>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</si>
  <si>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</si>
  <si>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</si>
  <si>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</si>
  <si>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</si>
  <si>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</si>
  <si>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</si>
  <si>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</si>
  <si>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</si>
  <si>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</si>
  <si>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</si>
  <si>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</si>
  <si>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</si>
  <si>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</si>
  <si>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</si>
  <si>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</si>
  <si>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</si>
  <si>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</si>
  <si>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</si>
  <si>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</si>
  <si>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</si>
  <si>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</si>
  <si>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</si>
  <si>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</si>
  <si>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</si>
  <si>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</si>
  <si>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</si>
  <si>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</si>
  <si>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</si>
  <si>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</si>
  <si>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</si>
  <si>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</si>
  <si>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</si>
  <si>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</si>
  <si>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</si>
  <si>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</si>
  <si>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</si>
  <si>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</si>
  <si>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</si>
  <si>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</si>
  <si>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</si>
  <si>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</si>
  <si>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</si>
  <si>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</si>
  <si>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</si>
  <si>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</si>
  <si>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</si>
  <si>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</si>
  <si>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</si>
  <si>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</si>
  <si>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</si>
  <si>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</si>
  <si>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</si>
  <si>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</si>
  <si>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</si>
  <si>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</si>
  <si>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</si>
  <si>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</si>
  <si>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</si>
  <si>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</si>
  <si>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</si>
  <si>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</si>
  <si>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</si>
  <si>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</si>
  <si>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</si>
  <si>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</si>
  <si>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</si>
  <si>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</si>
  <si>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</si>
  <si>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</si>
  <si>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</si>
  <si>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</si>
  <si>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</si>
  <si>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</si>
  <si>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</si>
  <si>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</si>
  <si>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</si>
  <si>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</si>
  <si>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</si>
  <si>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</si>
  <si>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</si>
  <si>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</si>
  <si>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</si>
  <si>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</si>
  <si>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</si>
  <si>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</si>
  <si>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</si>
  <si>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</si>
  <si>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</si>
  <si>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</si>
  <si>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</si>
  <si>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</si>
  <si>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</si>
  <si>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</si>
  <si>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</si>
  <si>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</si>
  <si>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</si>
  <si>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</si>
  <si>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</si>
  <si>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</si>
  <si>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</si>
  <si>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</si>
  <si>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</si>
  <si>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</si>
  <si>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</si>
  <si>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</si>
  <si>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</si>
  <si>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</si>
  <si>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</si>
  <si>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</si>
  <si>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</si>
  <si>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</si>
  <si>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</si>
  <si>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</si>
  <si>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</si>
  <si>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</si>
  <si>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</si>
  <si>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</si>
  <si>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</si>
  <si>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</si>
  <si>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</si>
  <si>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</si>
  <si>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</si>
  <si>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</si>
  <si>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</si>
  <si>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</si>
  <si>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</si>
  <si>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</si>
  <si>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</si>
  <si>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</si>
  <si>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</si>
  <si>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</si>
  <si>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</si>
  <si>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</si>
  <si>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</si>
  <si>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</si>
  <si>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</si>
  <si>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</si>
  <si>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</si>
  <si>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</si>
  <si>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</si>
  <si>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</si>
  <si>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</si>
  <si>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</si>
  <si>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</si>
  <si>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</si>
  <si>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</si>
  <si>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</si>
  <si>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</si>
  <si>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</si>
  <si>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</si>
  <si>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</si>
  <si>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</si>
  <si>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</si>
  <si>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</si>
  <si>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</si>
  <si>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</si>
  <si>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</si>
  <si>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</si>
  <si>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</si>
  <si>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</si>
  <si>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</si>
  <si>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</si>
  <si>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</si>
  <si>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</si>
  <si>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</si>
  <si>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</si>
  <si>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</si>
  <si>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</si>
  <si>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</si>
  <si>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</si>
  <si>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</si>
  <si>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</si>
  <si>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</si>
  <si>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</si>
  <si>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</si>
  <si>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</si>
  <si>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</si>
  <si>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</si>
  <si>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</si>
  <si>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</si>
  <si>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</si>
  <si>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</si>
  <si>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</si>
  <si>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</si>
  <si>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</si>
  <si>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</si>
  <si>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</si>
  <si>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</si>
  <si>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</si>
  <si>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</si>
  <si>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</si>
  <si>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</si>
  <si>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</si>
  <si>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</si>
  <si>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</si>
  <si>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</si>
  <si>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</si>
  <si>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</si>
  <si>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</si>
  <si>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</si>
  <si>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</si>
  <si>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</si>
  <si>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</si>
  <si>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</si>
  <si>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</si>
  <si>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</si>
  <si>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</si>
  <si>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</si>
  <si>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</si>
  <si>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</si>
  <si>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</si>
  <si>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</si>
  <si>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</si>
  <si>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</si>
  <si>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</si>
  <si>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</si>
  <si>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</si>
  <si>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</si>
  <si>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</si>
  <si>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</si>
  <si>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</si>
  <si>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</si>
  <si>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</si>
  <si>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</si>
  <si>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</si>
  <si>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</si>
  <si>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</si>
  <si>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</si>
  <si>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</si>
  <si>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</si>
  <si>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</si>
  <si>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</si>
  <si>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</si>
  <si>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</si>
  <si>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</si>
  <si>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</si>
  <si>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</si>
  <si>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</si>
  <si>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</si>
  <si>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</si>
  <si>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</si>
  <si>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</si>
  <si>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</si>
  <si>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</si>
  <si>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</si>
  <si>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</si>
  <si>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</si>
  <si>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</si>
  <si>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</si>
  <si>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</si>
  <si>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</si>
  <si>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</si>
  <si>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</si>
  <si>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</si>
  <si>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</si>
  <si>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</si>
  <si>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</si>
  <si>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</si>
  <si>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</si>
  <si>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</si>
  <si>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</si>
  <si>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</si>
  <si>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</si>
  <si>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</si>
  <si>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</si>
  <si>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</si>
  <si>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</si>
  <si>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</si>
  <si>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</si>
  <si>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</si>
  <si>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</si>
  <si>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</si>
  <si>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</si>
  <si>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</si>
  <si>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</si>
  <si>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</si>
  <si>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</si>
  <si>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</si>
  <si>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</si>
  <si>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</si>
  <si>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</si>
  <si>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</si>
  <si>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</si>
  <si>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</si>
  <si>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</si>
  <si>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</si>
  <si>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</si>
  <si>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</si>
  <si>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</si>
  <si>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</si>
  <si>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</si>
  <si>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</si>
  <si>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</si>
  <si>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</si>
  <si>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</si>
  <si>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</si>
  <si>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</si>
  <si>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</si>
  <si>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</si>
  <si>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</si>
  <si>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</si>
  <si>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</si>
  <si>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</si>
  <si>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</si>
  <si>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</si>
  <si>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</si>
  <si>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</si>
  <si>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</si>
  <si>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</si>
  <si>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</si>
  <si>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</si>
  <si>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</si>
  <si>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</si>
  <si>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</si>
  <si>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</si>
  <si>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</si>
  <si>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</si>
  <si>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</si>
  <si>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</si>
  <si>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</si>
  <si>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</si>
  <si>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</si>
  <si>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</si>
  <si>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</si>
  <si>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</si>
  <si>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</si>
  <si>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</si>
  <si>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</si>
  <si>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</si>
  <si>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</si>
  <si>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</si>
  <si>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</si>
  <si>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</si>
  <si>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</si>
  <si>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</si>
  <si>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</si>
  <si>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</si>
  <si>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</si>
  <si>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</si>
  <si>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</si>
  <si>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</si>
  <si>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</si>
  <si>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</si>
  <si>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</si>
  <si>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</si>
  <si>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</si>
  <si>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</si>
  <si>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</si>
  <si>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</si>
  <si>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</si>
  <si>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</si>
  <si>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</si>
  <si>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</si>
  <si>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</si>
  <si>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</si>
  <si>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</si>
  <si>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</si>
  <si>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</si>
  <si>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</si>
  <si>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</si>
  <si>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</si>
  <si>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</si>
  <si>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</si>
  <si>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</si>
  <si>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</si>
  <si>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</si>
  <si>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</si>
  <si>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</si>
  <si>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</si>
  <si>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</si>
  <si>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</si>
  <si>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</si>
  <si>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</si>
  <si>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</si>
  <si>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</si>
  <si>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</si>
  <si>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</si>
  <si>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</si>
  <si>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</si>
  <si>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</si>
  <si>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</si>
  <si>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</si>
  <si>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</si>
  <si>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</si>
  <si>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</si>
  <si>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</si>
  <si>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</si>
  <si>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</si>
  <si>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</si>
  <si>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</si>
  <si>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</si>
  <si>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</si>
  <si>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</si>
  <si>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</si>
  <si>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</si>
  <si>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</si>
  <si>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</si>
  <si>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</si>
  <si>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</si>
  <si>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</si>
  <si>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</si>
  <si>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</si>
  <si>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</si>
  <si>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</si>
  <si>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</si>
  <si>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</si>
  <si>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</si>
  <si>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</si>
  <si>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</si>
  <si>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</si>
  <si>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</si>
  <si>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</si>
  <si>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</si>
  <si>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</si>
  <si>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</si>
  <si>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</si>
  <si>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</si>
  <si>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</si>
  <si>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</si>
  <si>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</si>
  <si>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</si>
  <si>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</si>
  <si>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</si>
  <si>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</si>
  <si>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</si>
  <si>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</si>
  <si>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</si>
  <si>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</si>
  <si>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</si>
  <si>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</si>
  <si>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</si>
  <si>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</si>
  <si>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</si>
  <si>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</si>
  <si>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</si>
  <si>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</si>
  <si>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</si>
  <si>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</si>
  <si>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</si>
  <si>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</si>
  <si>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</si>
  <si>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</si>
  <si>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</si>
  <si>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</si>
  <si>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</si>
  <si>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</si>
  <si>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</si>
  <si>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</si>
  <si>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</si>
  <si>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</si>
  <si>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</si>
  <si>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</si>
  <si>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</si>
  <si>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</si>
  <si>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</si>
  <si>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</si>
  <si>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</si>
  <si>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</si>
  <si>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</si>
  <si>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</si>
  <si>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</si>
  <si>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</si>
  <si>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</si>
  <si>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</si>
  <si>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</si>
  <si>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</si>
  <si>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</si>
  <si>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</si>
  <si>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</si>
  <si>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</si>
  <si>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</si>
  <si>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</si>
  <si>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</si>
  <si>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</si>
  <si>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</si>
  <si>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</si>
  <si>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</si>
  <si>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</si>
  <si>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</si>
  <si>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</si>
  <si>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</si>
  <si>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</si>
  <si>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</si>
  <si>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</si>
  <si>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</si>
  <si>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</si>
  <si>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</si>
  <si>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</si>
  <si>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</si>
  <si>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</si>
  <si>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</si>
  <si>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</si>
  <si>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</si>
  <si>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</si>
  <si>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</si>
  <si>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</si>
  <si>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</si>
  <si>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</si>
  <si>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</si>
  <si>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</si>
  <si>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</si>
  <si>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</si>
  <si>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</si>
  <si>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</si>
  <si>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</si>
  <si>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</si>
  <si>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</si>
  <si>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</si>
  <si>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</si>
  <si>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</si>
  <si>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</si>
  <si>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</si>
  <si>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</si>
  <si>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</si>
  <si>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</si>
  <si>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</si>
  <si>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</si>
  <si>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</si>
  <si>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</si>
  <si>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</si>
  <si>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</si>
  <si>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</si>
  <si>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</si>
  <si>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</si>
  <si>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</si>
  <si>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</si>
  <si>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</si>
  <si>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</si>
  <si>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</si>
  <si>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</si>
  <si>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</si>
  <si>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</si>
  <si>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</si>
  <si>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</si>
  <si>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</si>
  <si>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</si>
  <si>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</si>
  <si>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</si>
  <si>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</si>
  <si>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</si>
  <si>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</si>
  <si>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</si>
  <si>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</si>
  <si>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</si>
  <si>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</si>
  <si>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</si>
  <si>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</si>
  <si>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</si>
  <si>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</si>
  <si>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</si>
  <si>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</si>
  <si>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</si>
  <si>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</si>
  <si>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</si>
  <si>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</si>
  <si>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</si>
  <si>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</si>
  <si>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</si>
  <si>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</si>
  <si>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</si>
  <si>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</si>
  <si>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</si>
  <si>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</si>
  <si>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</si>
  <si>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</si>
  <si>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</si>
  <si>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</si>
  <si>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</si>
  <si>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</si>
  <si>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</si>
  <si>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</si>
  <si>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</si>
  <si>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</si>
  <si>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</si>
  <si>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</si>
  <si>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</si>
  <si>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</si>
  <si>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</si>
  <si>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</si>
  <si>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</si>
  <si>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</si>
  <si>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</si>
  <si>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</si>
  <si>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</si>
  <si>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</si>
  <si>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</si>
  <si>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</si>
  <si>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</si>
  <si>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</si>
  <si>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</si>
  <si>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</si>
  <si>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</si>
  <si>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</si>
  <si>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</si>
  <si>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</si>
  <si>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</si>
  <si>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</si>
  <si>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</si>
  <si>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</si>
  <si>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</si>
  <si>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</si>
  <si>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</si>
  <si>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</si>
  <si>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</si>
  <si>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</si>
  <si>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</si>
  <si>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</si>
  <si>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</si>
  <si>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</si>
  <si>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</si>
  <si>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</si>
  <si>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</si>
  <si>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</si>
  <si>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</si>
  <si>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</si>
  <si>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</si>
  <si>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</si>
  <si>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</si>
  <si>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</si>
  <si>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</si>
  <si>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</si>
  <si>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</si>
  <si>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</si>
  <si>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</si>
  <si>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</si>
  <si>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</si>
  <si>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</si>
  <si>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</si>
  <si>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</si>
  <si>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</si>
  <si>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</si>
  <si>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</si>
  <si>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</si>
  <si>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</si>
  <si>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</si>
  <si>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</si>
  <si>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</si>
  <si>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</si>
  <si>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</si>
  <si>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</si>
  <si>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</si>
  <si>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</si>
  <si>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</si>
  <si>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</si>
  <si>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</si>
  <si>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</si>
  <si>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</si>
  <si>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</si>
  <si>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</si>
  <si>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</si>
  <si>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</si>
  <si>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</si>
  <si>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</si>
  <si>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</si>
  <si>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</si>
  <si>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</si>
  <si>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</si>
  <si>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</si>
  <si>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</si>
  <si>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</si>
  <si>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</si>
  <si>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</si>
  <si>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</si>
  <si>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</si>
  <si>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</si>
  <si>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</si>
  <si>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</si>
  <si>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</si>
  <si>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</si>
  <si>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</si>
  <si>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</si>
  <si>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</si>
  <si>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</si>
  <si>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</si>
  <si>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</si>
  <si>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</si>
  <si>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</si>
  <si>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</si>
  <si>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</si>
  <si>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</si>
  <si>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</si>
  <si>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</si>
  <si>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</si>
  <si>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</si>
  <si>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</si>
  <si>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</si>
  <si>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</si>
  <si>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</si>
  <si>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</si>
  <si>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</si>
  <si>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</si>
  <si>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</si>
  <si>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</si>
  <si>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</si>
  <si>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</si>
  <si>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</si>
  <si>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</si>
  <si>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</si>
  <si>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</si>
  <si>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</si>
  <si>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</si>
  <si>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</si>
  <si>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</si>
  <si>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</si>
  <si>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</si>
  <si>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</si>
  <si>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</si>
  <si>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</si>
  <si>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</si>
  <si>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</si>
  <si>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</si>
  <si>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</si>
  <si>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</si>
  <si>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</si>
  <si>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</si>
  <si>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</si>
  <si>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</si>
  <si>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</si>
  <si>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</si>
  <si>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</si>
  <si>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</si>
  <si>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</si>
  <si>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</si>
  <si>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</si>
  <si>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</si>
  <si>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</si>
  <si>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</si>
  <si>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</si>
  <si>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</si>
  <si>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</si>
  <si>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</si>
  <si>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</si>
  <si>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</si>
  <si>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</si>
  <si>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</si>
  <si>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</si>
  <si>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</si>
  <si>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</si>
  <si>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</si>
  <si>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</si>
  <si>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</si>
  <si>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</si>
  <si>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</si>
  <si>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</si>
  <si>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</si>
  <si>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</si>
  <si>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</si>
  <si>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</si>
  <si>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</si>
  <si>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</si>
  <si>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</si>
  <si>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</si>
  <si>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</si>
  <si>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</si>
  <si>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</si>
  <si>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</si>
  <si>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</si>
  <si>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</si>
  <si>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</si>
  <si>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</si>
  <si>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</si>
  <si>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</si>
  <si>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</si>
  <si>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</si>
  <si>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</si>
  <si>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</si>
  <si>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</si>
  <si>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</si>
  <si>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</si>
  <si>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</si>
  <si>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</si>
  <si>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</si>
  <si>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</si>
  <si>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</si>
  <si>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</si>
  <si>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</si>
  <si>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</si>
  <si>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</si>
  <si>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</si>
  <si>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</si>
  <si>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</si>
  <si>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</si>
  <si>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</si>
  <si>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</si>
  <si>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</si>
  <si>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</si>
  <si>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</si>
  <si>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</si>
  <si>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</si>
  <si>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</si>
  <si>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</si>
  <si>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</si>
  <si>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</si>
  <si>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</si>
  <si>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</si>
  <si>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</si>
  <si>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</si>
  <si>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</si>
  <si>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</si>
  <si>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</si>
  <si>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</si>
  <si>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</si>
  <si>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</si>
  <si>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</si>
  <si>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</si>
  <si>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</si>
  <si>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</si>
  <si>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</si>
  <si>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</si>
  <si>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</si>
  <si>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</si>
  <si>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</si>
  <si>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</si>
  <si>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</si>
  <si>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</si>
  <si>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</si>
  <si>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</si>
  <si>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</si>
  <si>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</si>
  <si>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</si>
  <si>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</si>
  <si>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</si>
  <si>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</si>
  <si>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</si>
  <si>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</si>
  <si>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</si>
  <si>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</si>
  <si>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</si>
  <si>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</si>
  <si>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</si>
  <si>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</si>
  <si>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</si>
  <si>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</si>
  <si>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</si>
  <si>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</si>
  <si>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</si>
  <si>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</si>
  <si>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</si>
  <si>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</si>
  <si>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</si>
  <si>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</si>
  <si>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</si>
  <si>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</si>
  <si>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</si>
  <si>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</si>
  <si>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</si>
  <si>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</si>
  <si>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</si>
  <si>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</si>
  <si>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</si>
  <si>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</si>
  <si>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</si>
  <si>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</si>
  <si>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</si>
  <si>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</si>
  <si>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</si>
  <si>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</si>
  <si>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</si>
  <si>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</si>
  <si>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</si>
  <si>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</si>
  <si>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</si>
  <si>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</si>
  <si>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</si>
  <si>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</si>
  <si>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</si>
  <si>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</si>
  <si>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</si>
  <si>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</si>
  <si>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</si>
  <si>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</si>
  <si>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</si>
  <si>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</si>
  <si>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</si>
  <si>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</si>
  <si>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</si>
  <si>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</si>
  <si>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</si>
  <si>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</si>
  <si>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</si>
  <si>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</si>
  <si>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</si>
  <si>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</si>
  <si>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</si>
  <si>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</si>
  <si>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</si>
  <si>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</si>
  <si>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</si>
  <si>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</si>
  <si>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</si>
  <si>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</si>
  <si>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</si>
  <si>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</si>
  <si>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</si>
  <si>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</si>
  <si>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</si>
  <si>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</si>
  <si>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</si>
  <si>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</si>
  <si>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</si>
  <si>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</si>
  <si>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</si>
  <si>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</si>
  <si>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</si>
  <si>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</si>
  <si>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</si>
  <si>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</si>
  <si>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</si>
  <si>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</si>
  <si>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</si>
  <si>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</si>
  <si>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</si>
  <si>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</si>
  <si>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</si>
  <si>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</si>
  <si>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</si>
  <si>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</si>
  <si>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</si>
  <si>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</si>
  <si>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</si>
  <si>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</si>
  <si>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</si>
  <si>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</si>
  <si>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</si>
  <si>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</si>
  <si>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</si>
  <si>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</si>
  <si>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</si>
  <si>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</si>
  <si>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</si>
  <si>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</si>
  <si>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</si>
  <si>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</si>
  <si>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</si>
  <si>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</si>
  <si>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</si>
  <si>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</si>
  <si>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</si>
  <si>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</si>
  <si>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</si>
  <si>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</si>
  <si>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</si>
  <si>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</si>
  <si>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</si>
  <si>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</si>
  <si>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</si>
  <si>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</si>
  <si>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</si>
  <si>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</si>
  <si>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</si>
  <si>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</si>
  <si>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</si>
  <si>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</si>
  <si>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</si>
  <si>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</si>
  <si>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</si>
  <si>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</si>
  <si>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</si>
  <si>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</si>
  <si>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</si>
  <si>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</si>
  <si>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</si>
  <si>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</si>
  <si>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</si>
  <si>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</si>
  <si>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</si>
  <si>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</si>
  <si>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</si>
  <si>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</si>
  <si>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</si>
  <si>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</si>
  <si>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</si>
  <si>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</si>
  <si>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</si>
  <si>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</si>
  <si>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</si>
  <si>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</si>
  <si>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</si>
  <si>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</si>
  <si>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</si>
  <si>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</si>
  <si>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</si>
  <si>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</si>
  <si>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</si>
  <si>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</si>
  <si>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</si>
  <si>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</si>
  <si>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</si>
  <si>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</si>
  <si>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</si>
  <si>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</si>
  <si>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</si>
  <si>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</si>
  <si>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</si>
  <si>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</si>
  <si>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</si>
  <si>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</si>
  <si>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</si>
  <si>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</si>
  <si>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</si>
  <si>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</si>
  <si>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</si>
  <si>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</si>
  <si>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</si>
  <si>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</si>
  <si>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</si>
  <si>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</si>
  <si>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</si>
  <si>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</si>
  <si>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</si>
  <si>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</si>
  <si>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</si>
  <si>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</si>
  <si>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</si>
  <si>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</si>
  <si>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</si>
  <si>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</si>
  <si>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</si>
  <si>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</si>
  <si>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</si>
  <si>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</si>
  <si>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</si>
  <si>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</si>
  <si>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</si>
  <si>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</si>
  <si>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</si>
  <si>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</si>
  <si>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</si>
  <si>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</si>
  <si>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</si>
  <si>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</si>
  <si>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</si>
  <si>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</si>
  <si>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</si>
  <si>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</si>
  <si>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</si>
  <si>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</si>
  <si>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</si>
  <si>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</si>
  <si>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</si>
  <si>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</si>
  <si>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</si>
  <si>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</si>
  <si>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</si>
  <si>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</si>
  <si>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</si>
  <si>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</si>
  <si>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</si>
  <si>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</si>
  <si>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</si>
  <si>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</si>
  <si>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</si>
  <si>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</si>
  <si>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</si>
  <si>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</si>
  <si>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</si>
  <si>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</si>
  <si>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</si>
  <si>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</si>
  <si>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</si>
  <si>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</si>
  <si>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</si>
  <si>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</si>
  <si>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</si>
  <si>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</si>
  <si>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</si>
  <si>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</si>
  <si>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</si>
  <si>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</si>
  <si>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</si>
  <si>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</si>
  <si>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</si>
  <si>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</si>
  <si>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</si>
  <si>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</si>
  <si>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</si>
  <si>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</si>
  <si>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</si>
  <si>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</si>
  <si>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</si>
  <si>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</si>
  <si>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</si>
  <si>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</si>
  <si>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</si>
  <si>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</si>
  <si>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</si>
  <si>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</si>
  <si>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</si>
  <si>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</si>
  <si>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</si>
  <si>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</si>
  <si>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</si>
  <si>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</si>
  <si>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</si>
  <si>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</si>
  <si>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</si>
  <si>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</si>
  <si>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</si>
  <si>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</si>
  <si>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</si>
  <si>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</si>
  <si>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</si>
  <si>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</si>
  <si>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</si>
  <si>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</si>
  <si>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</si>
  <si>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</si>
  <si>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</si>
  <si>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</si>
  <si>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</si>
  <si>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</si>
  <si>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</si>
  <si>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</si>
  <si>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</si>
  <si>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</si>
  <si>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</si>
  <si>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</si>
  <si>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</si>
  <si>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</si>
  <si>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</si>
  <si>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</si>
  <si>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</si>
  <si>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</si>
  <si>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</si>
  <si>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</si>
  <si>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</si>
  <si>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</si>
  <si>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</si>
  <si>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</si>
  <si>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</si>
  <si>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</si>
  <si>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</si>
  <si>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</si>
  <si>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</si>
  <si>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</si>
  <si>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</si>
  <si>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</si>
  <si>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</si>
  <si>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</si>
  <si>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</si>
  <si>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</si>
  <si>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</si>
  <si>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</si>
  <si>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</si>
  <si>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</si>
  <si>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</si>
  <si>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</si>
  <si>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</si>
  <si>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</si>
  <si>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</si>
  <si>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</si>
  <si>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</si>
  <si>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</si>
  <si>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</si>
  <si>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</si>
  <si>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</si>
  <si>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</si>
  <si>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</si>
  <si>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</si>
  <si>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</si>
  <si>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</si>
  <si>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</si>
  <si>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</si>
  <si>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</si>
  <si>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</si>
  <si>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</si>
  <si>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</si>
  <si>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</si>
  <si>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</si>
  <si>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</si>
  <si>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</si>
  <si>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</si>
  <si>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</si>
  <si>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</si>
  <si>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</si>
  <si>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</si>
  <si>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</si>
  <si>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</si>
  <si>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</si>
  <si>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</si>
  <si>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</si>
  <si>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</si>
  <si>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</si>
  <si>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</si>
  <si>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</si>
  <si>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</si>
  <si>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</si>
  <si>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</si>
  <si>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</si>
  <si>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</si>
  <si>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</si>
  <si>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</si>
  <si>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</si>
  <si>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</si>
  <si>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</si>
  <si>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</si>
  <si>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</si>
  <si>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</si>
  <si>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</si>
  <si>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</si>
  <si>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</si>
  <si>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</si>
  <si>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</si>
  <si>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</si>
  <si>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</si>
  <si>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</si>
  <si>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</si>
  <si>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</si>
  <si>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</si>
  <si>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</si>
  <si>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</si>
  <si>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</si>
  <si>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</si>
  <si>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</si>
  <si>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</si>
  <si>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</si>
  <si>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</si>
  <si>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</si>
  <si>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</si>
  <si>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</si>
  <si>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</si>
  <si>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</si>
  <si>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</si>
  <si>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</si>
  <si>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</si>
  <si>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</si>
  <si>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</si>
  <si>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</si>
  <si>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</si>
  <si>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</si>
  <si>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</si>
  <si>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</si>
  <si>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</si>
  <si>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</si>
  <si>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</si>
  <si>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</si>
  <si>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</si>
  <si>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</si>
  <si>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</si>
  <si>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</si>
  <si>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</si>
  <si>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</si>
  <si>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</si>
  <si>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</si>
  <si>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</si>
  <si>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</si>
  <si>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</si>
  <si>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</si>
  <si>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</si>
  <si>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</si>
  <si>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</si>
  <si>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</si>
  <si>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</si>
  <si>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</si>
  <si>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</si>
  <si>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</si>
  <si>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</si>
  <si>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</si>
  <si>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</si>
  <si>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</si>
  <si>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</si>
  <si>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</si>
  <si>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</si>
  <si>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</si>
  <si>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</si>
  <si>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</si>
  <si>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</si>
  <si>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</si>
  <si>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</si>
  <si>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</si>
  <si>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</si>
  <si>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</si>
  <si>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</si>
  <si>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</si>
  <si>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</si>
  <si>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</si>
  <si>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</si>
  <si>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</si>
  <si>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</si>
  <si>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</si>
  <si>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</si>
  <si>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</si>
  <si>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</si>
  <si>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</si>
  <si>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</si>
  <si>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</si>
  <si>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</si>
  <si>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</si>
  <si>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</si>
  <si>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</si>
  <si>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</si>
  <si>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</si>
  <si>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</si>
  <si>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</si>
  <si>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</si>
  <si>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</si>
  <si>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</si>
  <si>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</si>
  <si>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</si>
  <si>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</si>
  <si>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</si>
  <si>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</si>
  <si>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</si>
  <si>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</si>
  <si>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</si>
  <si>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</si>
  <si>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</si>
  <si>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</si>
  <si>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</si>
  <si>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</si>
  <si>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</si>
  <si>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</si>
  <si>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</si>
  <si>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</si>
  <si>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</si>
  <si>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</si>
  <si>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</si>
  <si>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</si>
  <si>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</si>
  <si>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</si>
  <si>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</si>
  <si>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</si>
  <si>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</si>
  <si>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</si>
  <si>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</si>
  <si>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</si>
  <si>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</si>
  <si>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</si>
  <si>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</si>
  <si>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</si>
  <si>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</si>
  <si>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</si>
  <si>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</si>
  <si>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</si>
  <si>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</si>
  <si>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</si>
  <si>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</si>
  <si>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</si>
  <si>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</si>
  <si>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</si>
  <si>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</si>
  <si>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</si>
  <si>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</si>
  <si>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</si>
  <si>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</si>
  <si>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</si>
  <si>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</si>
  <si>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</si>
  <si>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</si>
  <si>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</si>
  <si>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</si>
  <si>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</si>
  <si>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</si>
  <si>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</si>
  <si>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</si>
  <si>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</si>
  <si>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</si>
  <si>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</si>
  <si>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</si>
  <si>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</si>
  <si>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</si>
  <si>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</si>
  <si>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</si>
  <si>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</si>
  <si>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</si>
  <si>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</si>
  <si>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</si>
  <si>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</si>
  <si>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</si>
  <si>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</si>
  <si>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</si>
  <si>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</si>
  <si>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</si>
  <si>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</si>
  <si>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</si>
  <si>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</si>
  <si>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</si>
  <si>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</si>
  <si>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</si>
  <si>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</si>
  <si>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</si>
  <si>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</si>
  <si>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</si>
  <si>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</si>
  <si>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</si>
  <si>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</si>
  <si>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</si>
  <si>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</si>
  <si>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</si>
  <si>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</si>
  <si>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</si>
  <si>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</si>
  <si>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</si>
  <si>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</si>
  <si>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</si>
  <si>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</si>
  <si>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</si>
  <si>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</si>
  <si>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</si>
  <si>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</si>
  <si>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</si>
  <si>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</si>
  <si>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</si>
  <si>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</si>
  <si>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</si>
  <si>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</si>
  <si>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</si>
  <si>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</si>
  <si>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</si>
  <si>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</si>
  <si>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</si>
  <si>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</si>
  <si>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</si>
  <si>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</si>
  <si>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</si>
  <si>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</si>
  <si>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</si>
  <si>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</si>
  <si>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</si>
  <si>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</si>
  <si>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</si>
  <si>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</si>
  <si>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</si>
  <si>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</si>
  <si>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</si>
  <si>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</si>
  <si>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</si>
  <si>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</si>
  <si>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</si>
  <si>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</si>
  <si>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</si>
  <si>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</si>
  <si>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</si>
  <si>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</si>
  <si>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</si>
  <si>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</si>
  <si>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</si>
  <si>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</si>
  <si>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</si>
  <si>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</si>
  <si>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</si>
  <si>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</si>
  <si>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</si>
  <si>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</si>
  <si>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</si>
  <si>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</si>
  <si>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</si>
  <si>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</si>
  <si>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</si>
  <si>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</si>
  <si>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</si>
  <si>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</si>
  <si>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</si>
  <si>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</si>
  <si>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</si>
  <si>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</si>
  <si>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</si>
  <si>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</si>
  <si>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</si>
  <si>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</si>
  <si>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</si>
  <si>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</si>
  <si>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</si>
  <si>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</si>
  <si>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</si>
  <si>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</si>
  <si>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</si>
  <si>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</si>
  <si>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</si>
  <si>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</si>
  <si>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</si>
  <si>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</si>
  <si>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</si>
  <si>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</si>
  <si>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</si>
  <si>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</si>
  <si>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</si>
  <si>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</si>
  <si>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</si>
  <si>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</si>
  <si>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</si>
  <si>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</si>
  <si>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</si>
  <si>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</si>
  <si>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</si>
  <si>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</si>
  <si>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</si>
  <si>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</si>
  <si>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</si>
  <si>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</si>
  <si>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</si>
  <si>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</si>
  <si>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</si>
  <si>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</si>
  <si>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</si>
  <si>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</si>
  <si>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</si>
  <si>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</si>
  <si>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</si>
  <si>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</si>
  <si>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</si>
  <si>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</si>
  <si>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</si>
  <si>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</si>
  <si>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</si>
  <si>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</si>
  <si>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</si>
  <si>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</si>
  <si>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</si>
  <si>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</si>
  <si>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</si>
  <si>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</si>
  <si>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</si>
  <si>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</si>
  <si>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</si>
  <si>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</si>
  <si>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</si>
  <si>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</si>
  <si>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</si>
  <si>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</si>
  <si>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</si>
  <si>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</si>
  <si>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</si>
  <si>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</si>
  <si>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</si>
  <si>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</si>
  <si>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</si>
  <si>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</si>
  <si>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</si>
  <si>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</si>
  <si>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</si>
  <si>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</si>
  <si>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</si>
  <si>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</si>
  <si>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</si>
  <si>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</si>
  <si>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</si>
  <si>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</si>
  <si>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</si>
  <si>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</si>
  <si>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</si>
  <si>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</si>
  <si>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</si>
  <si>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</si>
  <si>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</si>
  <si>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</si>
  <si>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</si>
  <si>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</si>
  <si>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</si>
  <si>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</si>
  <si>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</si>
  <si>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</si>
  <si>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</si>
  <si>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</si>
  <si>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</si>
  <si>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</si>
  <si>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</si>
  <si>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</si>
  <si>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</si>
  <si>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</si>
  <si>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</si>
  <si>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</si>
  <si>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</si>
  <si>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</si>
  <si>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</si>
  <si>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</si>
  <si>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</si>
  <si>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</si>
  <si>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</si>
  <si>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</si>
  <si>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</si>
  <si>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</si>
  <si>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</si>
  <si>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</si>
  <si>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</si>
  <si>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</si>
  <si>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</si>
  <si>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</si>
  <si>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</si>
  <si>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</si>
  <si>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</si>
  <si>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</si>
  <si>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</si>
  <si>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</si>
  <si>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</si>
  <si>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</si>
  <si>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</si>
  <si>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</si>
  <si>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</si>
  <si>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</si>
  <si>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</si>
  <si>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</si>
  <si>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</si>
  <si>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</si>
  <si>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</si>
  <si>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</si>
  <si>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</si>
  <si>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</si>
  <si>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</si>
  <si>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</si>
  <si>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</si>
  <si>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</si>
  <si>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</si>
  <si>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</si>
  <si>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</si>
  <si>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</si>
  <si>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</si>
  <si>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</si>
  <si>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</si>
  <si>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</si>
  <si>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</si>
  <si>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</si>
  <si>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</si>
  <si>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</si>
  <si>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</si>
  <si>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</si>
  <si>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</si>
  <si>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</si>
  <si>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</si>
  <si>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</si>
  <si>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</si>
  <si>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</si>
  <si>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</si>
  <si>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</si>
  <si>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</si>
  <si>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</si>
  <si>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</si>
  <si>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</si>
  <si>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</si>
  <si>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</si>
  <si>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</si>
  <si>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</si>
  <si>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</si>
  <si>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</si>
  <si>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</si>
  <si>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</si>
  <si>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</si>
  <si>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</si>
  <si>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</si>
  <si>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</si>
  <si>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</si>
  <si>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</si>
  <si>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</si>
  <si>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</si>
  <si>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</si>
  <si>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</si>
  <si>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</si>
  <si>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</si>
  <si>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</si>
  <si>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</si>
  <si>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</si>
  <si>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</si>
  <si>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</si>
  <si>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</si>
  <si>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</si>
  <si>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</si>
  <si>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</si>
  <si>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</si>
  <si>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</si>
  <si>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</si>
  <si>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</si>
  <si>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</si>
  <si>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</si>
  <si>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</si>
  <si>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</si>
  <si>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</si>
  <si>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</si>
  <si>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</si>
  <si>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</si>
  <si>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</si>
  <si>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</si>
  <si>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</si>
  <si>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</si>
  <si>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</si>
  <si>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</si>
  <si>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</si>
  <si>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</si>
  <si>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</si>
  <si>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</si>
  <si>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</si>
  <si>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</si>
  <si>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</si>
  <si>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</si>
  <si>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</si>
  <si>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</si>
  <si>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</si>
  <si>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</si>
  <si>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</si>
  <si>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</si>
  <si>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</si>
  <si>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</si>
  <si>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</si>
  <si>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</si>
  <si>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</si>
  <si>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</si>
  <si>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</si>
  <si>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</si>
  <si>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</si>
  <si>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</si>
  <si>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</si>
  <si>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</si>
  <si>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</si>
  <si>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</si>
  <si>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</si>
  <si>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</si>
  <si>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</si>
  <si>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</si>
  <si>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</si>
  <si>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</si>
  <si>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</si>
  <si>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</si>
  <si>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</si>
  <si>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</si>
  <si>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</si>
  <si>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</si>
  <si>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</si>
  <si>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</si>
  <si>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</si>
  <si>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</si>
  <si>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</si>
  <si>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</si>
  <si>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</si>
  <si>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</si>
  <si>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</si>
  <si>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</si>
  <si>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</si>
  <si>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</si>
  <si>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</si>
  <si>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</si>
  <si>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</si>
  <si>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</si>
  <si>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</si>
  <si>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</si>
  <si>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</si>
  <si>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</si>
  <si>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</si>
  <si>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</si>
  <si>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</si>
  <si>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</si>
  <si>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</si>
  <si>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</si>
  <si>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</si>
  <si>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</si>
  <si>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</si>
  <si>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</si>
  <si>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</si>
  <si>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</si>
  <si>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</si>
  <si>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</si>
  <si>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</si>
  <si>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</si>
  <si>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</si>
  <si>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</si>
  <si>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</si>
  <si>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</si>
  <si>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</si>
  <si>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</si>
  <si>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</si>
  <si>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</si>
  <si>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</si>
  <si>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</si>
  <si>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</si>
  <si>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</si>
  <si>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</si>
  <si>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</si>
  <si>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</si>
  <si>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</si>
  <si>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</si>
  <si>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</si>
  <si>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</si>
  <si>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</si>
  <si>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</si>
  <si>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</si>
  <si>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</si>
  <si>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</si>
  <si>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</si>
  <si>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</si>
  <si>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</si>
  <si>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</si>
  <si>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</si>
  <si>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</si>
  <si>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</si>
  <si>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</si>
  <si>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</si>
  <si>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</si>
  <si>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</si>
  <si>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</si>
  <si>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</si>
  <si>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</si>
  <si>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</si>
  <si>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</si>
  <si>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</si>
  <si>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</si>
  <si>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</si>
  <si>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</si>
  <si>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</si>
  <si>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</si>
  <si>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</si>
  <si>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</si>
  <si>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</si>
  <si>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</si>
  <si>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</si>
  <si>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</si>
  <si>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</si>
  <si>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</si>
  <si>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</si>
  <si>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</si>
  <si>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</si>
  <si>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</si>
  <si>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</si>
  <si>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</si>
  <si>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</si>
  <si>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</si>
  <si>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</si>
  <si>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</si>
  <si>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</si>
  <si>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</si>
  <si>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</si>
  <si>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</si>
  <si>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</si>
  <si>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</si>
  <si>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</si>
  <si>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</si>
  <si>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</si>
  <si>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</si>
  <si>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</si>
  <si>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</si>
  <si>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</si>
  <si>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</si>
  <si>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</si>
  <si>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</si>
  <si>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</si>
  <si>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</si>
  <si>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</si>
  <si>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</si>
  <si>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</si>
  <si>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</si>
  <si>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</si>
  <si>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</si>
  <si>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</si>
  <si>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</si>
  <si>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</si>
  <si>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</si>
  <si>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</si>
  <si>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</si>
  <si>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</si>
  <si>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</si>
  <si>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</si>
  <si>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</si>
  <si>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</si>
  <si>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</si>
  <si>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</si>
  <si>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</si>
  <si>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</si>
  <si>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</si>
  <si>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</si>
  <si>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</si>
  <si>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</si>
  <si>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</si>
  <si>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</si>
  <si>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</si>
  <si>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</si>
  <si>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</si>
  <si>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</si>
  <si>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</si>
  <si>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</si>
  <si>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</si>
  <si>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</si>
  <si>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</si>
  <si>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</si>
  <si>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</si>
  <si>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</si>
  <si>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</si>
  <si>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</si>
  <si>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</si>
  <si>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</si>
  <si>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</si>
  <si>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</si>
  <si>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</si>
  <si>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</si>
  <si>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</si>
  <si>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</si>
  <si>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</si>
  <si>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</si>
  <si>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</si>
  <si>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</si>
  <si>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</si>
  <si>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</si>
  <si>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</si>
  <si>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</si>
  <si>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</si>
  <si>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</si>
  <si>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</si>
  <si>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</si>
  <si>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</si>
  <si>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</si>
  <si>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</si>
  <si>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</si>
  <si>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</si>
  <si>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</si>
  <si>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</si>
  <si>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</si>
  <si>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</si>
  <si>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</si>
  <si>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</si>
  <si>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</si>
  <si>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</si>
  <si>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</si>
  <si>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</si>
  <si>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</si>
  <si>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</si>
  <si>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</si>
  <si>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</si>
  <si>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</si>
  <si>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</si>
  <si>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</si>
  <si>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</si>
  <si>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</si>
  <si>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</si>
  <si>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</si>
  <si>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</si>
  <si>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</si>
  <si>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</si>
  <si>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</si>
  <si>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</si>
  <si>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</si>
  <si>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</si>
  <si>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</si>
  <si>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</si>
  <si>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</si>
  <si>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</si>
  <si>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</si>
  <si>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</si>
  <si>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</si>
  <si>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</si>
  <si>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</si>
  <si>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</si>
  <si>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</si>
  <si>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</si>
  <si>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</si>
  <si>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</si>
  <si>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</si>
  <si>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</si>
  <si>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</si>
  <si>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</si>
  <si>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</si>
  <si>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</si>
  <si>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</si>
  <si>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</si>
  <si>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</si>
  <si>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</si>
  <si>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</si>
  <si>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</si>
  <si>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</si>
  <si>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</si>
  <si>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</si>
  <si>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</si>
  <si>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</si>
  <si>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</si>
  <si>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</si>
  <si>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</si>
  <si>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</si>
  <si>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</si>
  <si>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</si>
  <si>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</si>
  <si>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</si>
  <si>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</si>
  <si>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</si>
  <si>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</si>
  <si>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</si>
  <si>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</si>
  <si>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</si>
  <si>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</si>
  <si>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</si>
  <si>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</si>
  <si>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</si>
  <si>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</si>
  <si>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</si>
  <si>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</si>
  <si>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</si>
  <si>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</si>
  <si>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</si>
  <si>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</si>
  <si>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</si>
  <si>
    <t>一般</t>
  </si>
  <si>
    <t>商务金融用地</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</si>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</sst>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19996;&#20873;&#21271;&#349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45;&#31639;&#34920;-&#35780;&#20272;&#26092;&#27827;&#35199;&#36335;&#21150;&#20844;-&#29579;&#32043;&#29020;20221019-131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5">
          <cell r="I5">
            <v>1361.77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15">
          <cell r="F15">
            <v>32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2022年10月19日</v>
      </c>
    </row>
    <row r="13" spans="1:2" s="2762" customFormat="1">
      <c r="A13" s="2760" t="s">
        <v>742</v>
      </c>
      <c r="B13" s="2761"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C38" sqref="C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44853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2" t="s">
        <v>2439</v>
      </c>
      <c r="E8" s="2898"/>
      <c r="F8" s="2899"/>
      <c r="G8" s="2880"/>
      <c r="H8" s="2880"/>
      <c r="I8" s="2880"/>
      <c r="J8" s="862"/>
      <c r="K8" s="2900"/>
      <c r="L8" s="2893"/>
      <c r="M8" s="2893"/>
      <c r="N8" s="862"/>
      <c r="O8" s="2893"/>
      <c r="P8" s="862"/>
      <c r="Q8" s="862"/>
      <c r="R8" s="862"/>
    </row>
    <row r="9" spans="1:28" ht="13.5" thickBot="1">
      <c r="A9" s="2901" t="s">
        <v>2440</v>
      </c>
      <c r="B9" s="2902"/>
      <c r="C9" s="2903"/>
      <c r="D9" s="3043"/>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v>56171</v>
      </c>
      <c r="G13" s="2920"/>
      <c r="H13" s="2920"/>
      <c r="I13" s="2990"/>
      <c r="J13" s="862"/>
      <c r="K13" s="2892"/>
      <c r="L13" s="2893"/>
      <c r="M13" s="2893"/>
      <c r="N13" s="862"/>
      <c r="O13" s="2893"/>
      <c r="P13" s="862"/>
      <c r="Q13" s="862"/>
      <c r="R13" s="862"/>
    </row>
    <row r="14" spans="1:28">
      <c r="A14" s="1360"/>
      <c r="B14" s="2918"/>
      <c r="C14" s="2919" t="s">
        <v>2453</v>
      </c>
      <c r="D14" s="2921"/>
      <c r="E14" s="2921">
        <v>40</v>
      </c>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31</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424</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3015</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44853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44853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44853</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抵押担保权已注销时的房地产抵押价值</v>
      </c>
      <c r="L49" s="3139"/>
      <c r="M49" s="3160" t="str">
        <f>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44853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44853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2022年10月19日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44853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v>
      </c>
      <c r="D61" s="2221">
        <v>0.25</v>
      </c>
      <c r="E61" s="1157">
        <f>'数据-汇总表'!E11</f>
        <v>0</v>
      </c>
      <c r="F61" s="1196" t="e">
        <f t="shared" si="15"/>
        <v>#DIV/0!</v>
      </c>
      <c r="G61" s="2224" t="s">
        <v>2133</v>
      </c>
      <c r="H61" s="2222" t="str">
        <f>项目基本情况!C37</f>
        <v>九级</v>
      </c>
      <c r="I61" s="1236">
        <f>SUMIF(修正!A57:A68,H61,修正!E57:E68)</f>
        <v>0.2</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v>
      </c>
      <c r="D62" s="2221">
        <v>0.25</v>
      </c>
      <c r="E62" s="1157">
        <f>'数据-汇总表'!E12</f>
        <v>0</v>
      </c>
      <c r="F62" s="1196" t="e">
        <f t="shared" si="15"/>
        <v>#DIV/0!</v>
      </c>
      <c r="G62" s="2225" t="s">
        <v>2135</v>
      </c>
      <c r="H62" s="2222" t="str">
        <f>IF(G62="商业",项目基本情况!B37,IF(G62="办公",项目基本情况!C37,IF(G62="住宅",项目基本情况!D37,项目基本情况!E37)))</f>
        <v>九级</v>
      </c>
      <c r="I62" s="1236">
        <f>SUMIF(修正!A57:A68,H62,修正!F57:F68)</f>
        <v>0.2</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v>
      </c>
      <c r="D65" s="2221">
        <v>0.25</v>
      </c>
      <c r="E65" s="1157">
        <f>'数据-汇总表'!E15</f>
        <v>0</v>
      </c>
      <c r="F65" s="1196" t="e">
        <f t="shared" si="15"/>
        <v>#DIV/0!</v>
      </c>
      <c r="G65" s="2226" t="s">
        <v>2133</v>
      </c>
      <c r="H65" s="2227" t="str">
        <f>项目基本情况!C37</f>
        <v>九级</v>
      </c>
      <c r="I65" s="2228">
        <f>SUMIF(修正!A57:A68,H65,修正!G57:G68)</f>
        <v>0.1</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v>
      </c>
      <c r="D56" s="2221">
        <v>0.25</v>
      </c>
      <c r="E56" s="1157">
        <f>'数据-汇总表'!E11</f>
        <v>0</v>
      </c>
      <c r="F56" s="2249" t="e">
        <f t="shared" si="15"/>
        <v>#DIV/0!</v>
      </c>
      <c r="G56" s="2224" t="s">
        <v>2133</v>
      </c>
      <c r="H56" s="2222" t="str">
        <f>项目基本情况!C37</f>
        <v>九级</v>
      </c>
      <c r="I56" s="1235">
        <f>SUMIF(修正!A57:A68,H56,修正!E57:E68)</f>
        <v>0.2</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v>
      </c>
      <c r="D57" s="2221">
        <v>0.25</v>
      </c>
      <c r="E57" s="1157">
        <f>'数据-汇总表'!E12</f>
        <v>0</v>
      </c>
      <c r="F57" s="2249" t="e">
        <f t="shared" si="15"/>
        <v>#DIV/0!</v>
      </c>
      <c r="G57" s="2225" t="s">
        <v>2135</v>
      </c>
      <c r="H57" s="2222" t="str">
        <f>IF(G57="商业",项目基本情况!B37,IF(G57="办公",项目基本情况!C37,IF(G57="住宅",项目基本情况!D37,项目基本情况!E37)))</f>
        <v>九级</v>
      </c>
      <c r="I57" s="1235">
        <f>SUMIF(修正!A57:A68,H57,修正!F57:F68)</f>
        <v>0.2</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v>
      </c>
      <c r="D60" s="2221">
        <v>0.25</v>
      </c>
      <c r="E60" s="1157">
        <f>'数据-汇总表'!E15</f>
        <v>0</v>
      </c>
      <c r="F60" s="2249" t="e">
        <f t="shared" si="15"/>
        <v>#DIV/0!</v>
      </c>
      <c r="G60" s="2226" t="s">
        <v>2133</v>
      </c>
      <c r="H60" s="2227" t="str">
        <f>项目基本情况!C37</f>
        <v>九级</v>
      </c>
      <c r="I60" s="1235">
        <f>SUMIF(修正!A57:A68,H60,修正!G57:G68)</f>
        <v>0.1</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6" zoomScale="115" zoomScaleNormal="80" zoomScaleSheetLayoutView="115" workbookViewId="0">
      <selection activeCell="K39" sqref="K39"/>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1361.77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718</v>
      </c>
      <c r="C2" s="2266" t="s">
        <v>2172</v>
      </c>
      <c r="D2" s="473" t="s">
        <v>2173</v>
      </c>
      <c r="E2" s="2267" t="s">
        <v>24</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Ⅸ-平2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8132</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5273</v>
      </c>
      <c r="C3" s="2266" t="s">
        <v>2178</v>
      </c>
      <c r="D3" s="473" t="s">
        <v>2179</v>
      </c>
      <c r="E3" s="2267" t="s">
        <v>3109</v>
      </c>
      <c r="F3" s="2270" t="s">
        <v>3097</v>
      </c>
      <c r="G3" s="2271">
        <v>2</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6268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5113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5600</v>
      </c>
      <c r="D5" s="2274">
        <f>ROUND(C6*C17+C20,0)</f>
        <v>5600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4341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5600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3955</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九级</v>
      </c>
      <c r="Y7" s="498" t="s">
        <v>2194</v>
      </c>
      <c r="Z7" s="498">
        <f>G3</f>
        <v>2</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5600</v>
      </c>
      <c r="N9" s="473">
        <f>SUMPRODUCT((因素修正幅度!B277:B326=I2)*(因素修正幅度!C3:G3=E2)*(因素修正幅度!C277:G326))</f>
        <v>0.15</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3106</v>
      </c>
      <c r="D15" s="2325" t="s">
        <v>3106</v>
      </c>
      <c r="E15" s="2326" t="s">
        <v>3107</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0" t="s">
        <v>2237</v>
      </c>
      <c r="E20" s="3271"/>
      <c r="F20" s="3270" t="s">
        <v>2234</v>
      </c>
      <c r="G20" s="3271"/>
      <c r="H20" s="2347" t="s">
        <v>3100</v>
      </c>
      <c r="I20" s="2347" t="s">
        <v>3101</v>
      </c>
      <c r="J20" s="2989" t="s">
        <v>3102</v>
      </c>
      <c r="K20" s="2347" t="s">
        <v>3103</v>
      </c>
      <c r="L20" s="2347" t="s">
        <v>3104</v>
      </c>
      <c r="M20" s="2347" t="s">
        <v>3105</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五通一平</v>
      </c>
      <c r="E21" s="484">
        <f>SUMPRODUCT((修正!B1:M1=G2)*(修正!B17:M17))</f>
        <v>185</v>
      </c>
      <c r="F21" s="2351" t="s">
        <v>3110</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44853</v>
      </c>
      <c r="H23" s="2361" t="s">
        <v>3098</v>
      </c>
      <c r="I23" s="2360" t="str">
        <f>IF(H23="季度增幅（自定义）",SUMIF(N25:N28,E2,O25:O28),"")</f>
        <v/>
      </c>
      <c r="J23" s="2982" t="s">
        <v>3092</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0.88029999999999997</v>
      </c>
      <c r="D24" s="2365" t="s">
        <v>2246</v>
      </c>
      <c r="E24" s="2365">
        <f>存贷款利率!E20/100</f>
        <v>4.3499999999999997E-2</v>
      </c>
      <c r="F24" s="2365" t="s">
        <v>2238</v>
      </c>
      <c r="G24" s="2366">
        <f>SUMIF(M30:Q30,E2,M33:Q33)</f>
        <v>5.5E-2</v>
      </c>
      <c r="H24" s="2365" t="s">
        <v>2247</v>
      </c>
      <c r="I24" s="2367">
        <f>[4]项目基本情况!$F$15</f>
        <v>32</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1.0492999999999999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718</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5275</v>
      </c>
      <c r="D33" s="2420">
        <f>'[3]数据-基础表'!$I$5</f>
        <v>1361.77</v>
      </c>
      <c r="E33" s="2421">
        <f>ROUND(C33*D33/10000,0)</f>
        <v>718</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1319</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5"/>
      <c r="B37" s="2439" t="s">
        <v>2275</v>
      </c>
      <c r="C37" s="495">
        <f>ROUND(D5*C22*C23*C24*C28*F37,0)</f>
        <v>2637</v>
      </c>
      <c r="D37" s="2420"/>
      <c r="E37" s="473">
        <f>ROUND(C37*D37/10000,0)</f>
        <v>0</v>
      </c>
      <c r="F37" s="473">
        <f>SUMIF(修正!A57:A68,G2,修正!B57:B68)</f>
        <v>0.5</v>
      </c>
      <c r="G37" s="473">
        <f>ROUND(IF(E2="工业",C37*$M$42,C37*$M$41),0)</f>
        <v>659</v>
      </c>
      <c r="H37" s="473">
        <f>D37</f>
        <v>0</v>
      </c>
      <c r="I37" s="473">
        <f>ROUND(G37*H37/10000,0)</f>
        <v>0</v>
      </c>
      <c r="J37" s="327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1055</v>
      </c>
      <c r="D38" s="2420"/>
      <c r="E38" s="473">
        <f t="shared" ref="E38:E42" si="4">ROUND(C38*D38/10000,0)</f>
        <v>0</v>
      </c>
      <c r="F38" s="473">
        <f>SUMIF(修正!A57:A68,G2,修正!C57:C68)</f>
        <v>0.2</v>
      </c>
      <c r="G38" s="473">
        <f>ROUND(IF(E2="工业",C38*$M$42,C38*$M$41),0)</f>
        <v>264</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1055</v>
      </c>
      <c r="D39" s="2420"/>
      <c r="E39" s="473">
        <f t="shared" si="4"/>
        <v>0</v>
      </c>
      <c r="F39" s="473">
        <f>SUMIF(修正!A57:A68,G2,修正!D57:D68)</f>
        <v>0.2</v>
      </c>
      <c r="G39" s="473">
        <f>ROUND(IF(E2="工业",C39*$M$42,C39*$M$41),0)</f>
        <v>264</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1055</v>
      </c>
      <c r="D40" s="2420"/>
      <c r="E40" s="473">
        <f t="shared" si="4"/>
        <v>0</v>
      </c>
      <c r="F40" s="495">
        <f>SUMIF(修正!A57:A68,G2,修正!E57:E68)</f>
        <v>0.2</v>
      </c>
      <c r="G40" s="473">
        <f>ROUND(IF(E2="工业",C40*$M$42,C40*$M$41),0)</f>
        <v>264</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hidden="1">
      <c r="A49" s="2449" t="s">
        <v>2282</v>
      </c>
      <c r="B49" s="2450">
        <f>1+E51</f>
        <v>1.05</v>
      </c>
      <c r="C49" s="2451"/>
      <c r="D49" s="2452"/>
      <c r="E49" s="2453"/>
      <c r="F49" s="2454"/>
      <c r="G49" s="2448"/>
      <c r="H49" s="2448"/>
      <c r="I49" s="2448"/>
      <c r="J49" s="2448"/>
      <c r="K49" s="2448"/>
      <c r="L49" s="2448"/>
      <c r="M49" s="2448"/>
    </row>
    <row r="50" spans="1:14" s="2259" customFormat="1" ht="24.75" hidden="1">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hidden="1">
      <c r="A51" s="2455" t="s">
        <v>2291</v>
      </c>
      <c r="B51" s="499" t="str">
        <f>估价对象房地状况!C4</f>
        <v>估价对象位于XX商圈，周边商业氛围成熟，人流量大，商业繁华度好</v>
      </c>
      <c r="C51" s="2325" t="s">
        <v>3099</v>
      </c>
      <c r="D51" s="499">
        <f t="shared" ref="D51:D59" si="7">SUMIF($J$50:$N$50,C51,J51:N51)</f>
        <v>1.4999999999999999E-2</v>
      </c>
      <c r="E51" s="2458">
        <f>ROUND(SUM(D51:D59),4)</f>
        <v>0.05</v>
      </c>
      <c r="F51" s="2329" t="str">
        <f>IF(E2="商业",SUMIF(L1:L12,G2,N1:N12),"——")</f>
        <v>——</v>
      </c>
      <c r="G51" s="2459">
        <v>1.4999999999999999E-2</v>
      </c>
      <c r="H51" s="2460" t="str">
        <f t="shared" ref="H51:H59" si="8">IFERROR(ROUNDDOWN($F$51*I51/2,4),"——")</f>
        <v>——</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hidden="1">
      <c r="A52" s="2455" t="s">
        <v>2292</v>
      </c>
      <c r="B52" s="499" t="str">
        <f>估价对象房地状况!C18</f>
        <v>估价对象周边道路状况、公共交通通达情况、停车便捷程度，综合评价交通便捷度较好</v>
      </c>
      <c r="C52" s="2325" t="s">
        <v>3099</v>
      </c>
      <c r="D52" s="499">
        <f t="shared" si="7"/>
        <v>1.0999999999999999E-2</v>
      </c>
      <c r="E52" s="2461"/>
      <c r="F52" s="2402"/>
      <c r="G52" s="2459">
        <v>1.0999999999999999E-2</v>
      </c>
      <c r="H52" s="2460" t="str">
        <f t="shared" si="8"/>
        <v>——</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hidden="1">
      <c r="A53" s="2462" t="s">
        <v>2814</v>
      </c>
      <c r="B53" s="499">
        <f>估价对象房地状况!C19</f>
        <v>0</v>
      </c>
      <c r="C53" s="2325" t="s">
        <v>3099</v>
      </c>
      <c r="D53" s="499">
        <f t="shared" si="7"/>
        <v>6.0000000000000001E-3</v>
      </c>
      <c r="E53" s="2461"/>
      <c r="F53" s="2402"/>
      <c r="G53" s="2459">
        <v>6.0000000000000001E-3</v>
      </c>
      <c r="H53" s="2460" t="str">
        <f t="shared" si="8"/>
        <v>——</v>
      </c>
      <c r="I53" s="499">
        <v>0.12</v>
      </c>
      <c r="J53" s="493">
        <f t="shared" si="9"/>
        <v>1.2E-2</v>
      </c>
      <c r="K53" s="493">
        <f t="shared" si="10"/>
        <v>6.0000000000000001E-3</v>
      </c>
      <c r="L53" s="493">
        <v>0</v>
      </c>
      <c r="M53" s="493">
        <f t="shared" si="11"/>
        <v>-6.0000000000000001E-3</v>
      </c>
      <c r="N53" s="493">
        <f t="shared" si="11"/>
        <v>-1.2E-2</v>
      </c>
    </row>
    <row r="54" spans="1:14" s="2259" customFormat="1" ht="36.75" hidden="1">
      <c r="A54" s="2455" t="s">
        <v>2293</v>
      </c>
      <c r="B54" s="2463" t="s">
        <v>2294</v>
      </c>
      <c r="C54" s="2325" t="s">
        <v>3099</v>
      </c>
      <c r="D54" s="499">
        <f t="shared" si="7"/>
        <v>2.5000000000000001E-3</v>
      </c>
      <c r="E54" s="2461"/>
      <c r="F54" s="2402"/>
      <c r="G54" s="2459">
        <v>2.5000000000000001E-3</v>
      </c>
      <c r="H54" s="2460" t="str">
        <f t="shared" si="8"/>
        <v>——</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hidden="1">
      <c r="A55" s="2455" t="s">
        <v>2295</v>
      </c>
      <c r="B55" s="499">
        <f>估价对象房地状况!C24</f>
        <v>0</v>
      </c>
      <c r="C55" s="2325" t="s">
        <v>3099</v>
      </c>
      <c r="D55" s="499">
        <f t="shared" si="7"/>
        <v>4.0000000000000001E-3</v>
      </c>
      <c r="E55" s="2461"/>
      <c r="F55" s="2402"/>
      <c r="G55" s="2459">
        <v>4.0000000000000001E-3</v>
      </c>
      <c r="H55" s="2460" t="str">
        <f t="shared" si="8"/>
        <v>——</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hidden="1">
      <c r="A56" s="2455" t="s">
        <v>2296</v>
      </c>
      <c r="B56" s="2464" t="s">
        <v>2297</v>
      </c>
      <c r="C56" s="2325" t="s">
        <v>3099</v>
      </c>
      <c r="D56" s="499">
        <f t="shared" si="7"/>
        <v>2.5000000000000001E-3</v>
      </c>
      <c r="E56" s="2461"/>
      <c r="F56" s="2402"/>
      <c r="G56" s="2459">
        <v>2.5000000000000001E-3</v>
      </c>
      <c r="H56" s="2460" t="str">
        <f t="shared" si="8"/>
        <v>——</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hidden="1">
      <c r="A57" s="2465" t="s">
        <v>2298</v>
      </c>
      <c r="B57" s="999" t="str">
        <f>估价对象房地状况!C21</f>
        <v>估价对象所在区域公共配套设施齐备情况</v>
      </c>
      <c r="C57" s="2325" t="s">
        <v>3099</v>
      </c>
      <c r="D57" s="499">
        <f t="shared" si="7"/>
        <v>2.5000000000000001E-3</v>
      </c>
      <c r="E57" s="2461"/>
      <c r="F57" s="2402"/>
      <c r="G57" s="2459">
        <v>2.5000000000000001E-3</v>
      </c>
      <c r="H57" s="2460" t="str">
        <f t="shared" si="8"/>
        <v>——</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hidden="1">
      <c r="A58" s="2465" t="s">
        <v>2299</v>
      </c>
      <c r="B58" s="499" t="str">
        <f>估价对象房地状况!C22</f>
        <v>估价对象所在区域基础设施水平</v>
      </c>
      <c r="C58" s="2325" t="s">
        <v>3099</v>
      </c>
      <c r="D58" s="499">
        <f t="shared" si="7"/>
        <v>4.0000000000000001E-3</v>
      </c>
      <c r="E58" s="2461"/>
      <c r="F58" s="2402"/>
      <c r="G58" s="2459">
        <v>4.0000000000000001E-3</v>
      </c>
      <c r="H58" s="2460" t="str">
        <f t="shared" si="8"/>
        <v>——</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hidden="1" thickBot="1">
      <c r="A59" s="2466" t="s">
        <v>2300</v>
      </c>
      <c r="B59" s="2467" t="str">
        <f>估价对象房地状况!C20</f>
        <v>区域自然环境：；人文环境；综合评价环境状况一般</v>
      </c>
      <c r="C59" s="2325" t="s">
        <v>3099</v>
      </c>
      <c r="D59" s="499">
        <f t="shared" si="7"/>
        <v>2.5000000000000001E-3</v>
      </c>
      <c r="E59" s="487"/>
      <c r="F59" s="2402"/>
      <c r="G59" s="2459">
        <v>2.5000000000000001E-3</v>
      </c>
      <c r="H59" s="2460" t="str">
        <f t="shared" si="8"/>
        <v>——</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1.0492999999999999</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3108</v>
      </c>
      <c r="D62" s="499">
        <f>SUMIF($J$61:$N$61,C62,J62:N62)</f>
        <v>0</v>
      </c>
      <c r="E62" s="2458">
        <f>ROUND(SUM(D62:D70),4)</f>
        <v>4.9299999999999997E-2</v>
      </c>
      <c r="F62" s="2329">
        <f>IF(E2="办公",SUMIF(L1:L12,G2,N1:N12),"——")</f>
        <v>0.15</v>
      </c>
      <c r="G62" s="2459">
        <v>1.8700000000000001E-2</v>
      </c>
      <c r="H62" s="2460">
        <f t="shared" ref="H62:H70" si="12">IFERROR(ROUNDDOWN($F$62*I62/2,4),"——")</f>
        <v>1.8700000000000001E-2</v>
      </c>
      <c r="I62" s="499">
        <v>0.25</v>
      </c>
      <c r="J62" s="493">
        <f t="shared" ref="J62:J70" si="13">K62+$G62</f>
        <v>3.7400000000000003E-2</v>
      </c>
      <c r="K62" s="493">
        <f t="shared" ref="K62:K70" si="14">$L62+$G62</f>
        <v>1.8700000000000001E-2</v>
      </c>
      <c r="L62" s="493">
        <v>0</v>
      </c>
      <c r="M62" s="493">
        <f t="shared" ref="M62:N70" si="15">L62-$G62</f>
        <v>-1.8700000000000001E-2</v>
      </c>
      <c r="N62" s="493">
        <f t="shared" si="15"/>
        <v>-3.7400000000000003E-2</v>
      </c>
    </row>
    <row r="63" spans="1:14" s="2259" customFormat="1" ht="38.25">
      <c r="A63" s="2455" t="s">
        <v>2292</v>
      </c>
      <c r="B63" s="499" t="str">
        <f>估价对象房地状况!C18</f>
        <v>估价对象周边道路状况、公共交通通达情况、停车便捷程度，综合评价交通便捷度较好</v>
      </c>
      <c r="C63" s="2325" t="s">
        <v>3099</v>
      </c>
      <c r="D63" s="499">
        <f t="shared" ref="D63:D70" si="16">SUMIF($J$61:$N$61,C63,J63:N63)</f>
        <v>1.95E-2</v>
      </c>
      <c r="E63" s="2461"/>
      <c r="F63" s="2402"/>
      <c r="G63" s="2459">
        <v>1.95E-2</v>
      </c>
      <c r="H63" s="2460">
        <f t="shared" si="12"/>
        <v>1.95E-2</v>
      </c>
      <c r="I63" s="499">
        <v>0.26</v>
      </c>
      <c r="J63" s="493">
        <f t="shared" si="13"/>
        <v>3.9E-2</v>
      </c>
      <c r="K63" s="493">
        <f t="shared" si="14"/>
        <v>1.95E-2</v>
      </c>
      <c r="L63" s="493">
        <v>0</v>
      </c>
      <c r="M63" s="493">
        <f t="shared" si="15"/>
        <v>-1.95E-2</v>
      </c>
      <c r="N63" s="493">
        <f t="shared" si="15"/>
        <v>-3.9E-2</v>
      </c>
    </row>
    <row r="64" spans="1:14" s="2259" customFormat="1" ht="36">
      <c r="A64" s="2462" t="s">
        <v>2814</v>
      </c>
      <c r="B64" s="499">
        <f>估价对象房地状况!C19</f>
        <v>0</v>
      </c>
      <c r="C64" s="2325" t="s">
        <v>3099</v>
      </c>
      <c r="D64" s="499">
        <f t="shared" si="16"/>
        <v>8.2000000000000007E-3</v>
      </c>
      <c r="E64" s="2461"/>
      <c r="F64" s="2402"/>
      <c r="G64" s="2459">
        <v>8.2000000000000007E-3</v>
      </c>
      <c r="H64" s="2460">
        <f t="shared" si="12"/>
        <v>8.2000000000000007E-3</v>
      </c>
      <c r="I64" s="499">
        <v>0.11</v>
      </c>
      <c r="J64" s="493">
        <f t="shared" si="13"/>
        <v>1.6400000000000001E-2</v>
      </c>
      <c r="K64" s="493">
        <f t="shared" si="14"/>
        <v>8.2000000000000007E-3</v>
      </c>
      <c r="L64" s="493">
        <v>0</v>
      </c>
      <c r="M64" s="493">
        <f t="shared" si="15"/>
        <v>-8.2000000000000007E-3</v>
      </c>
      <c r="N64" s="493">
        <f t="shared" si="15"/>
        <v>-1.6400000000000001E-2</v>
      </c>
    </row>
    <row r="65" spans="1:33" s="2259" customFormat="1" ht="36.75">
      <c r="A65" s="2455" t="s">
        <v>2293</v>
      </c>
      <c r="B65" s="2463" t="s">
        <v>2294</v>
      </c>
      <c r="C65" s="2325" t="s">
        <v>3099</v>
      </c>
      <c r="D65" s="499">
        <f t="shared" si="16"/>
        <v>3.7000000000000002E-3</v>
      </c>
      <c r="E65" s="2461"/>
      <c r="F65" s="2402"/>
      <c r="G65" s="2459">
        <v>3.7000000000000002E-3</v>
      </c>
      <c r="H65" s="2460">
        <f t="shared" si="12"/>
        <v>3.7000000000000002E-3</v>
      </c>
      <c r="I65" s="499">
        <v>0.05</v>
      </c>
      <c r="J65" s="493">
        <f t="shared" si="13"/>
        <v>7.4000000000000003E-3</v>
      </c>
      <c r="K65" s="493">
        <f t="shared" si="14"/>
        <v>3.7000000000000002E-3</v>
      </c>
      <c r="L65" s="493">
        <v>0</v>
      </c>
      <c r="M65" s="493">
        <f t="shared" si="15"/>
        <v>-3.7000000000000002E-3</v>
      </c>
      <c r="N65" s="493">
        <f t="shared" si="15"/>
        <v>-7.4000000000000003E-3</v>
      </c>
    </row>
    <row r="66" spans="1:33" s="2259" customFormat="1" ht="24">
      <c r="A66" s="2455" t="s">
        <v>2295</v>
      </c>
      <c r="B66" s="499">
        <f>估价对象房地状况!C24</f>
        <v>0</v>
      </c>
      <c r="C66" s="2325" t="s">
        <v>3099</v>
      </c>
      <c r="D66" s="499">
        <f t="shared" si="16"/>
        <v>3.7000000000000002E-3</v>
      </c>
      <c r="E66" s="2461"/>
      <c r="F66" s="2402"/>
      <c r="G66" s="2459">
        <v>3.7000000000000002E-3</v>
      </c>
      <c r="H66" s="2460">
        <f t="shared" si="12"/>
        <v>3.7000000000000002E-3</v>
      </c>
      <c r="I66" s="499">
        <v>0.05</v>
      </c>
      <c r="J66" s="493">
        <f t="shared" si="13"/>
        <v>7.4000000000000003E-3</v>
      </c>
      <c r="K66" s="493">
        <f t="shared" si="14"/>
        <v>3.7000000000000002E-3</v>
      </c>
      <c r="L66" s="493">
        <v>0</v>
      </c>
      <c r="M66" s="493">
        <f t="shared" si="15"/>
        <v>-3.7000000000000002E-3</v>
      </c>
      <c r="N66" s="493">
        <f t="shared" si="15"/>
        <v>-7.4000000000000003E-3</v>
      </c>
    </row>
    <row r="67" spans="1:33" s="2259" customFormat="1" ht="24">
      <c r="A67" s="2455" t="s">
        <v>2296</v>
      </c>
      <c r="B67" s="2464" t="s">
        <v>2297</v>
      </c>
      <c r="C67" s="2325" t="s">
        <v>3099</v>
      </c>
      <c r="D67" s="499">
        <f t="shared" si="16"/>
        <v>4.4999999999999997E-3</v>
      </c>
      <c r="E67" s="2461"/>
      <c r="F67" s="2402"/>
      <c r="G67" s="2459">
        <v>4.4999999999999997E-3</v>
      </c>
      <c r="H67" s="2460">
        <f t="shared" si="12"/>
        <v>4.4999999999999997E-3</v>
      </c>
      <c r="I67" s="499">
        <v>0.06</v>
      </c>
      <c r="J67" s="493">
        <f t="shared" si="13"/>
        <v>8.9999999999999993E-3</v>
      </c>
      <c r="K67" s="493">
        <f t="shared" si="14"/>
        <v>4.4999999999999997E-3</v>
      </c>
      <c r="L67" s="493">
        <v>0</v>
      </c>
      <c r="M67" s="493">
        <f t="shared" si="15"/>
        <v>-4.4999999999999997E-3</v>
      </c>
      <c r="N67" s="493">
        <f t="shared" si="15"/>
        <v>-8.9999999999999993E-3</v>
      </c>
    </row>
    <row r="68" spans="1:33" s="2259" customFormat="1" ht="25.5">
      <c r="A68" s="2455" t="s">
        <v>2298</v>
      </c>
      <c r="B68" s="999" t="str">
        <f>估价对象房地状况!C21</f>
        <v>估价对象所在区域公共配套设施齐备情况</v>
      </c>
      <c r="C68" s="2325" t="s">
        <v>3099</v>
      </c>
      <c r="D68" s="499">
        <f t="shared" si="16"/>
        <v>4.4999999999999997E-3</v>
      </c>
      <c r="E68" s="2461"/>
      <c r="F68" s="2402"/>
      <c r="G68" s="2459">
        <v>4.4999999999999997E-3</v>
      </c>
      <c r="H68" s="2460">
        <f t="shared" si="12"/>
        <v>4.4999999999999997E-3</v>
      </c>
      <c r="I68" s="499">
        <v>0.06</v>
      </c>
      <c r="J68" s="493">
        <f t="shared" si="13"/>
        <v>8.9999999999999993E-3</v>
      </c>
      <c r="K68" s="493">
        <f t="shared" si="14"/>
        <v>4.4999999999999997E-3</v>
      </c>
      <c r="L68" s="493">
        <v>0</v>
      </c>
      <c r="M68" s="493">
        <f t="shared" si="15"/>
        <v>-4.4999999999999997E-3</v>
      </c>
      <c r="N68" s="493">
        <f t="shared" si="15"/>
        <v>-8.9999999999999993E-3</v>
      </c>
    </row>
    <row r="69" spans="1:33" s="2259" customFormat="1" ht="24">
      <c r="A69" s="2455" t="s">
        <v>2299</v>
      </c>
      <c r="B69" s="999" t="str">
        <f>估价对象房地状况!C22</f>
        <v>估价对象所在区域基础设施水平</v>
      </c>
      <c r="C69" s="2325" t="s">
        <v>3108</v>
      </c>
      <c r="D69" s="499">
        <f t="shared" si="16"/>
        <v>0</v>
      </c>
      <c r="E69" s="2461"/>
      <c r="F69" s="2402"/>
      <c r="G69" s="2459">
        <v>6.7000000000000002E-3</v>
      </c>
      <c r="H69" s="2460">
        <f t="shared" si="12"/>
        <v>6.7000000000000002E-3</v>
      </c>
      <c r="I69" s="499">
        <v>0.09</v>
      </c>
      <c r="J69" s="493">
        <f t="shared" si="13"/>
        <v>1.34E-2</v>
      </c>
      <c r="K69" s="493">
        <f t="shared" si="14"/>
        <v>6.7000000000000002E-3</v>
      </c>
      <c r="L69" s="493">
        <v>0</v>
      </c>
      <c r="M69" s="493">
        <f t="shared" si="15"/>
        <v>-6.7000000000000002E-3</v>
      </c>
      <c r="N69" s="493">
        <f t="shared" si="15"/>
        <v>-1.34E-2</v>
      </c>
    </row>
    <row r="70" spans="1:33" s="2259" customFormat="1" ht="26.25" thickBot="1">
      <c r="A70" s="2466" t="s">
        <v>2300</v>
      </c>
      <c r="B70" s="2468" t="str">
        <f>估价对象房地状况!C20</f>
        <v>区域自然环境：；人文环境；综合评价环境状况一般</v>
      </c>
      <c r="C70" s="2325" t="s">
        <v>3099</v>
      </c>
      <c r="D70" s="499">
        <f t="shared" si="16"/>
        <v>5.1999999999999998E-3</v>
      </c>
      <c r="E70" s="487"/>
      <c r="F70" s="2402"/>
      <c r="G70" s="2459">
        <v>5.1999999999999998E-3</v>
      </c>
      <c r="H70" s="2460">
        <f t="shared" si="12"/>
        <v>5.1999999999999998E-3</v>
      </c>
      <c r="I70" s="2468">
        <v>7.0000000000000007E-2</v>
      </c>
      <c r="J70" s="493">
        <f t="shared" si="13"/>
        <v>1.04E-2</v>
      </c>
      <c r="K70" s="493">
        <f t="shared" si="14"/>
        <v>5.1999999999999998E-3</v>
      </c>
      <c r="L70" s="493">
        <v>0</v>
      </c>
      <c r="M70" s="493">
        <f t="shared" si="15"/>
        <v>-5.1999999999999998E-3</v>
      </c>
      <c r="N70" s="493">
        <f t="shared" si="15"/>
        <v>-1.04E-2</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1.0475000000000001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3099</v>
      </c>
      <c r="D84" s="499">
        <f t="shared" ref="D84:D91" si="22">SUMIF($J$83:$N$83,C84,J84:N84)</f>
        <v>1.2999999999999999E-2</v>
      </c>
      <c r="E84" s="2458">
        <f>ROUND(SUM(D84:D91),4)</f>
        <v>4.7500000000000001E-2</v>
      </c>
      <c r="F84" s="2329" t="str">
        <f>IF(E2="工业",SUMIF(L1:L12,G2,N1:N12),"——")</f>
        <v>——</v>
      </c>
      <c r="G84" s="2459">
        <v>1.2999999999999999E-2</v>
      </c>
      <c r="H84" s="2460" t="str">
        <f t="shared" ref="H84:H91" si="23">IFERROR(ROUNDDOWN($F$84*I84/2,4),"——")</f>
        <v>——</v>
      </c>
      <c r="I84" s="499">
        <v>0.26</v>
      </c>
      <c r="J84" s="493">
        <f t="shared" ref="J84:J91" si="24">K84+$G84</f>
        <v>2.5999999999999999E-2</v>
      </c>
      <c r="K84" s="493">
        <f t="shared" ref="K84:K91" si="25">$L84+$G84</f>
        <v>1.2999999999999999E-2</v>
      </c>
      <c r="L84" s="493">
        <v>0</v>
      </c>
      <c r="M84" s="493">
        <f t="shared" ref="M84:N91" si="26">L84-$G84</f>
        <v>-1.2999999999999999E-2</v>
      </c>
      <c r="N84" s="493">
        <f t="shared" si="26"/>
        <v>-2.5999999999999999E-2</v>
      </c>
      <c r="AA84" s="2261"/>
      <c r="AG84" s="2259"/>
    </row>
    <row r="85" spans="1:33" ht="38.25">
      <c r="A85" s="2455" t="s">
        <v>2292</v>
      </c>
      <c r="B85" s="499" t="str">
        <f>估价对象房地状况!G16</f>
        <v>估价对象周边道路状况、公共交通通达情况、停车便捷程度，综合评价交通便捷度较好</v>
      </c>
      <c r="C85" s="2325" t="s">
        <v>3099</v>
      </c>
      <c r="D85" s="499">
        <f t="shared" si="22"/>
        <v>1.4999999999999999E-2</v>
      </c>
      <c r="E85" s="2461"/>
      <c r="F85" s="2329"/>
      <c r="G85" s="2459">
        <v>1.4999999999999999E-2</v>
      </c>
      <c r="H85" s="2460" t="str">
        <f t="shared" si="23"/>
        <v>——</v>
      </c>
      <c r="I85" s="499">
        <v>0.3</v>
      </c>
      <c r="J85" s="493">
        <f t="shared" si="24"/>
        <v>0.03</v>
      </c>
      <c r="K85" s="493">
        <f t="shared" si="25"/>
        <v>1.4999999999999999E-2</v>
      </c>
      <c r="L85" s="493">
        <v>0</v>
      </c>
      <c r="M85" s="493">
        <f t="shared" si="26"/>
        <v>-1.4999999999999999E-2</v>
      </c>
      <c r="N85" s="493">
        <f t="shared" si="26"/>
        <v>-0.03</v>
      </c>
      <c r="AA85" s="2261"/>
      <c r="AG85" s="2259"/>
    </row>
    <row r="86" spans="1:33" ht="36">
      <c r="A86" s="2462" t="s">
        <v>2815</v>
      </c>
      <c r="B86" s="499">
        <f>估价对象房地状况!G17</f>
        <v>0</v>
      </c>
      <c r="C86" s="2325" t="s">
        <v>3099</v>
      </c>
      <c r="D86" s="499">
        <f t="shared" si="22"/>
        <v>5.0000000000000001E-3</v>
      </c>
      <c r="E86" s="2461"/>
      <c r="F86" s="2329"/>
      <c r="G86" s="2459">
        <v>5.0000000000000001E-3</v>
      </c>
      <c r="H86" s="2460" t="str">
        <f t="shared" si="23"/>
        <v>——</v>
      </c>
      <c r="I86" s="499">
        <v>0.1</v>
      </c>
      <c r="J86" s="493">
        <f t="shared" si="24"/>
        <v>0.01</v>
      </c>
      <c r="K86" s="493">
        <f t="shared" si="25"/>
        <v>5.0000000000000001E-3</v>
      </c>
      <c r="L86" s="493">
        <v>0</v>
      </c>
      <c r="M86" s="493">
        <f t="shared" si="26"/>
        <v>-5.0000000000000001E-3</v>
      </c>
      <c r="N86" s="493">
        <f t="shared" si="26"/>
        <v>-0.01</v>
      </c>
      <c r="AA86" s="2261"/>
      <c r="AG86" s="2259"/>
    </row>
    <row r="87" spans="1:33" ht="14.25">
      <c r="A87" s="2455" t="s">
        <v>2305</v>
      </c>
      <c r="B87" s="499">
        <f>估价对象房地状况!G22</f>
        <v>0</v>
      </c>
      <c r="C87" s="2325" t="s">
        <v>3108</v>
      </c>
      <c r="D87" s="499">
        <f t="shared" si="22"/>
        <v>0</v>
      </c>
      <c r="E87" s="2461"/>
      <c r="F87" s="2329"/>
      <c r="G87" s="2459">
        <v>2.5000000000000001E-3</v>
      </c>
      <c r="H87" s="2460" t="str">
        <f t="shared" si="23"/>
        <v>——</v>
      </c>
      <c r="I87" s="499">
        <v>0.05</v>
      </c>
      <c r="J87" s="493">
        <f t="shared" si="24"/>
        <v>5.0000000000000001E-3</v>
      </c>
      <c r="K87" s="493">
        <f t="shared" si="25"/>
        <v>2.5000000000000001E-3</v>
      </c>
      <c r="L87" s="493">
        <v>0</v>
      </c>
      <c r="M87" s="493">
        <f t="shared" si="26"/>
        <v>-2.5000000000000001E-3</v>
      </c>
      <c r="N87" s="493">
        <f t="shared" si="26"/>
        <v>-5.0000000000000001E-3</v>
      </c>
      <c r="AA87" s="2261"/>
      <c r="AG87" s="2259"/>
    </row>
    <row r="88" spans="1:33" ht="25.5">
      <c r="A88" s="2455" t="s">
        <v>2298</v>
      </c>
      <c r="B88" s="999" t="str">
        <f>估价对象房地状况!G19</f>
        <v>估价对象所在区域公共配套设施齐备情况</v>
      </c>
      <c r="C88" s="2325" t="s">
        <v>3099</v>
      </c>
      <c r="D88" s="499">
        <f t="shared" si="22"/>
        <v>3.0000000000000001E-3</v>
      </c>
      <c r="E88" s="2461"/>
      <c r="F88" s="2329"/>
      <c r="G88" s="2459">
        <v>3.0000000000000001E-3</v>
      </c>
      <c r="H88" s="2460" t="str">
        <f t="shared" si="23"/>
        <v>——</v>
      </c>
      <c r="I88" s="499">
        <v>0.06</v>
      </c>
      <c r="J88" s="493">
        <f t="shared" si="24"/>
        <v>6.0000000000000001E-3</v>
      </c>
      <c r="K88" s="493">
        <f t="shared" si="25"/>
        <v>3.0000000000000001E-3</v>
      </c>
      <c r="L88" s="493">
        <v>0</v>
      </c>
      <c r="M88" s="493">
        <f t="shared" si="26"/>
        <v>-3.0000000000000001E-3</v>
      </c>
      <c r="N88" s="493">
        <f t="shared" si="26"/>
        <v>-6.0000000000000001E-3</v>
      </c>
    </row>
    <row r="89" spans="1:33" ht="24">
      <c r="A89" s="2455" t="s">
        <v>2299</v>
      </c>
      <c r="B89" s="999" t="str">
        <f>估价对象房地状况!G20</f>
        <v>估价对象所在区域基础设施水平</v>
      </c>
      <c r="C89" s="2325" t="s">
        <v>3099</v>
      </c>
      <c r="D89" s="499">
        <f t="shared" si="22"/>
        <v>6.0000000000000001E-3</v>
      </c>
      <c r="E89" s="2461"/>
      <c r="F89" s="2329"/>
      <c r="G89" s="2459">
        <v>6.0000000000000001E-3</v>
      </c>
      <c r="H89" s="2460" t="str">
        <f t="shared" si="23"/>
        <v>——</v>
      </c>
      <c r="I89" s="499">
        <v>0.12</v>
      </c>
      <c r="J89" s="493">
        <f t="shared" si="24"/>
        <v>1.2E-2</v>
      </c>
      <c r="K89" s="493">
        <f t="shared" si="25"/>
        <v>6.0000000000000001E-3</v>
      </c>
      <c r="L89" s="493">
        <v>0</v>
      </c>
      <c r="M89" s="493">
        <f t="shared" si="26"/>
        <v>-6.0000000000000001E-3</v>
      </c>
      <c r="N89" s="493">
        <f t="shared" si="26"/>
        <v>-1.2E-2</v>
      </c>
    </row>
    <row r="90" spans="1:33" ht="24">
      <c r="A90" s="2455" t="s">
        <v>2296</v>
      </c>
      <c r="B90" s="2464" t="s">
        <v>2309</v>
      </c>
      <c r="C90" s="2325" t="s">
        <v>3099</v>
      </c>
      <c r="D90" s="499">
        <f t="shared" si="22"/>
        <v>3.0000000000000001E-3</v>
      </c>
      <c r="E90" s="2461"/>
      <c r="F90" s="2329"/>
      <c r="G90" s="2459">
        <v>3.0000000000000001E-3</v>
      </c>
      <c r="H90" s="2460" t="str">
        <f t="shared" si="23"/>
        <v>——</v>
      </c>
      <c r="I90" s="499">
        <v>0.06</v>
      </c>
      <c r="J90" s="493">
        <f t="shared" si="24"/>
        <v>6.0000000000000001E-3</v>
      </c>
      <c r="K90" s="493">
        <f t="shared" si="25"/>
        <v>3.0000000000000001E-3</v>
      </c>
      <c r="L90" s="493">
        <v>0</v>
      </c>
      <c r="M90" s="493">
        <f t="shared" si="26"/>
        <v>-3.0000000000000001E-3</v>
      </c>
      <c r="N90" s="493">
        <f t="shared" si="26"/>
        <v>-6.0000000000000001E-3</v>
      </c>
    </row>
    <row r="91" spans="1:33" ht="39" thickBot="1">
      <c r="A91" s="2466" t="s">
        <v>2310</v>
      </c>
      <c r="B91" s="2468" t="str">
        <f>估价对象房地状况!G18</f>
        <v>该园区内是否有污染型企业，绿化情况，卫生条件，整体环境状况判断</v>
      </c>
      <c r="C91" s="2325" t="s">
        <v>3099</v>
      </c>
      <c r="D91" s="499">
        <f t="shared" si="22"/>
        <v>2.5000000000000001E-3</v>
      </c>
      <c r="E91" s="487"/>
      <c r="F91" s="2329"/>
      <c r="G91" s="2459">
        <v>2.5000000000000001E-3</v>
      </c>
      <c r="H91" s="2460" t="str">
        <f t="shared" si="23"/>
        <v>——</v>
      </c>
      <c r="I91" s="2468">
        <v>0.05</v>
      </c>
      <c r="J91" s="493">
        <f t="shared" si="24"/>
        <v>5.0000000000000001E-3</v>
      </c>
      <c r="K91" s="493">
        <f t="shared" si="25"/>
        <v>2.5000000000000001E-3</v>
      </c>
      <c r="L91" s="493">
        <v>0</v>
      </c>
      <c r="M91" s="493">
        <f t="shared" si="26"/>
        <v>-2.5000000000000001E-3</v>
      </c>
      <c r="N91" s="493">
        <f t="shared" si="26"/>
        <v>-5.0000000000000001E-3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80"/>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2</v>
      </c>
      <c r="C117" s="2365" t="s">
        <v>2318</v>
      </c>
      <c r="D117" s="500">
        <f>SUMPRODUCT((A119:A123=F117)*(B118:M118=H117)*B119:M123)</f>
        <v>0.80159999999999998</v>
      </c>
      <c r="E117" s="473" t="s">
        <v>2173</v>
      </c>
      <c r="F117" s="501" t="str">
        <f>E2</f>
        <v>办公</v>
      </c>
      <c r="G117" s="473" t="s">
        <v>2174</v>
      </c>
      <c r="H117" s="501" t="str">
        <f>G2</f>
        <v>九级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0.9748</v>
      </c>
      <c r="C119" s="502">
        <f>B119</f>
        <v>0.9748</v>
      </c>
      <c r="D119" s="502">
        <f>ROUND(0.949-0.014*B117,4)</f>
        <v>0.92100000000000004</v>
      </c>
      <c r="E119" s="502">
        <f>D119</f>
        <v>0.92100000000000004</v>
      </c>
      <c r="F119" s="502">
        <f>E119</f>
        <v>0.92100000000000004</v>
      </c>
      <c r="G119" s="502">
        <f>F119</f>
        <v>0.92100000000000004</v>
      </c>
      <c r="H119" s="502">
        <f>G119</f>
        <v>0.92100000000000004</v>
      </c>
      <c r="I119" s="502">
        <f>ROUND(0.8486-0.018*B117,4)</f>
        <v>0.81259999999999999</v>
      </c>
      <c r="J119" s="502">
        <f t="shared" ref="J119:M122" si="36">I119</f>
        <v>0.81259999999999999</v>
      </c>
      <c r="K119" s="502">
        <f t="shared" si="36"/>
        <v>0.81259999999999999</v>
      </c>
      <c r="L119" s="502">
        <f t="shared" si="36"/>
        <v>0.81259999999999999</v>
      </c>
      <c r="M119" s="504">
        <f t="shared" si="36"/>
        <v>0.81259999999999999</v>
      </c>
    </row>
    <row r="120" spans="1:14">
      <c r="A120" s="2413" t="s">
        <v>2230</v>
      </c>
      <c r="B120" s="502">
        <f>ROUND(0.993-0.0112*B117,4)</f>
        <v>0.97060000000000002</v>
      </c>
      <c r="C120" s="502">
        <f>B120</f>
        <v>0.97060000000000002</v>
      </c>
      <c r="D120" s="502">
        <f>ROUND(0.9415-0.0142*B117,4)</f>
        <v>0.91310000000000002</v>
      </c>
      <c r="E120" s="502">
        <f t="shared" ref="E120:H121" si="37">D120</f>
        <v>0.91310000000000002</v>
      </c>
      <c r="F120" s="502">
        <f t="shared" si="37"/>
        <v>0.91310000000000002</v>
      </c>
      <c r="G120" s="502">
        <f t="shared" si="37"/>
        <v>0.91310000000000002</v>
      </c>
      <c r="H120" s="502">
        <f t="shared" si="37"/>
        <v>0.91310000000000002</v>
      </c>
      <c r="I120" s="502">
        <f>ROUND(0.838-0.0182*B117,4)</f>
        <v>0.80159999999999998</v>
      </c>
      <c r="J120" s="502">
        <f t="shared" si="36"/>
        <v>0.80159999999999998</v>
      </c>
      <c r="K120" s="502">
        <f t="shared" si="36"/>
        <v>0.80159999999999998</v>
      </c>
      <c r="L120" s="502">
        <f t="shared" si="36"/>
        <v>0.80159999999999998</v>
      </c>
      <c r="M120" s="504">
        <f t="shared" si="36"/>
        <v>0.80159999999999998</v>
      </c>
    </row>
    <row r="121" spans="1:14">
      <c r="A121" s="2413" t="s">
        <v>2231</v>
      </c>
      <c r="B121" s="502">
        <f>ROUND(0.9448-0.0115*B117,4)</f>
        <v>0.92179999999999995</v>
      </c>
      <c r="C121" s="502">
        <f>B121</f>
        <v>0.92179999999999995</v>
      </c>
      <c r="D121" s="502">
        <f>ROUND(0.937-0.0145*B117,4)</f>
        <v>0.90800000000000003</v>
      </c>
      <c r="E121" s="502">
        <f t="shared" si="37"/>
        <v>0.90800000000000003</v>
      </c>
      <c r="F121" s="502">
        <f t="shared" si="37"/>
        <v>0.90800000000000003</v>
      </c>
      <c r="G121" s="502">
        <f t="shared" si="37"/>
        <v>0.90800000000000003</v>
      </c>
      <c r="H121" s="502">
        <f t="shared" si="37"/>
        <v>0.90800000000000003</v>
      </c>
      <c r="I121" s="502">
        <f>ROUND(0.7965-0.0185*B117,4)</f>
        <v>0.75949999999999995</v>
      </c>
      <c r="J121" s="502">
        <f t="shared" si="36"/>
        <v>0.75949999999999995</v>
      </c>
      <c r="K121" s="502">
        <f t="shared" si="36"/>
        <v>0.75949999999999995</v>
      </c>
      <c r="L121" s="502">
        <f t="shared" si="36"/>
        <v>0.75949999999999995</v>
      </c>
      <c r="M121" s="504">
        <f t="shared" si="36"/>
        <v>0.75949999999999995</v>
      </c>
    </row>
    <row r="122" spans="1:14" ht="13.5" thickBot="1">
      <c r="A122" s="2417" t="s">
        <v>2232</v>
      </c>
      <c r="B122" s="503">
        <f>ROUND(0.7836-0.012*B117,4)</f>
        <v>0.75960000000000005</v>
      </c>
      <c r="C122" s="503">
        <f>B122</f>
        <v>0.75960000000000005</v>
      </c>
      <c r="D122" s="503">
        <f>ROUND(0.753-0.015*B117,4)</f>
        <v>0.72299999999999998</v>
      </c>
      <c r="E122" s="503">
        <f>D122</f>
        <v>0.72299999999999998</v>
      </c>
      <c r="F122" s="503">
        <f>E122</f>
        <v>0.72299999999999998</v>
      </c>
      <c r="G122" s="503">
        <f>ROUND(0.6612-0.018*B117,4)</f>
        <v>0.62519999999999998</v>
      </c>
      <c r="H122" s="503">
        <f>G122</f>
        <v>0.62519999999999998</v>
      </c>
      <c r="I122" s="503">
        <f>ROUND(0.5905-0.019*B117,4)</f>
        <v>0.55249999999999999</v>
      </c>
      <c r="J122" s="503">
        <f t="shared" si="36"/>
        <v>0.55249999999999999</v>
      </c>
      <c r="K122" s="503">
        <f t="shared" si="36"/>
        <v>0.55249999999999999</v>
      </c>
      <c r="L122" s="503">
        <f t="shared" si="36"/>
        <v>0.55249999999999999</v>
      </c>
      <c r="M122" s="505">
        <f t="shared" si="36"/>
        <v>0.55249999999999999</v>
      </c>
    </row>
    <row r="123" spans="1:14">
      <c r="A123" s="2492" t="s">
        <v>2901</v>
      </c>
      <c r="B123" s="502">
        <f>ROUND(0.9404-0.0106*B117,4)</f>
        <v>0.91920000000000002</v>
      </c>
      <c r="C123" s="502">
        <f>B123</f>
        <v>0.91920000000000002</v>
      </c>
      <c r="D123" s="502">
        <f>ROUND(0.8955-0.0135*B117,4)</f>
        <v>0.86850000000000005</v>
      </c>
      <c r="E123" s="502">
        <f t="shared" ref="E123" si="38">D123</f>
        <v>0.86850000000000005</v>
      </c>
      <c r="F123" s="502">
        <f t="shared" ref="F123" si="39">E123</f>
        <v>0.86850000000000005</v>
      </c>
      <c r="G123" s="502">
        <f t="shared" ref="G123" si="40">F123</f>
        <v>0.86850000000000005</v>
      </c>
      <c r="H123" s="502">
        <f t="shared" ref="H123" si="41">G123</f>
        <v>0.86850000000000005</v>
      </c>
      <c r="I123" s="502">
        <f>ROUND(0.7632-0.0166*B117,4)</f>
        <v>0.73</v>
      </c>
      <c r="J123" s="502">
        <f t="shared" ref="J123" si="42">I123</f>
        <v>0.73</v>
      </c>
      <c r="K123" s="502">
        <f t="shared" ref="K123" si="43">J123</f>
        <v>0.73</v>
      </c>
      <c r="L123" s="502">
        <f t="shared" ref="L123" si="44">K123</f>
        <v>0.73</v>
      </c>
      <c r="M123" s="504">
        <f t="shared" ref="M123" si="45">L123</f>
        <v>0.73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0.9103</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718</v>
      </c>
      <c r="C2" s="2543" t="s">
        <v>2332</v>
      </c>
      <c r="D2" s="2543" t="s">
        <v>2333</v>
      </c>
      <c r="E2" s="2544">
        <f ca="1">SUMIF(E6:E13,"&lt;&gt;#ref!",E6:E13)</f>
        <v>1361.77</v>
      </c>
      <c r="F2" s="2542"/>
      <c r="G2" s="2542"/>
      <c r="H2" s="2542"/>
      <c r="I2" s="2542"/>
      <c r="J2" s="2542"/>
      <c r="K2" s="2542"/>
      <c r="L2" s="2542"/>
      <c r="M2" s="2542"/>
      <c r="N2" s="2542"/>
      <c r="O2" s="2542"/>
      <c r="P2" s="2542"/>
    </row>
    <row r="3" spans="1:16" ht="15.75">
      <c r="A3" s="2543" t="s">
        <v>2334</v>
      </c>
      <c r="B3" s="1704">
        <f ca="1">ROUND(B2*10000/E2,0)</f>
        <v>5273</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718</v>
      </c>
      <c r="C6" s="2543" t="s">
        <v>2332</v>
      </c>
      <c r="D6" s="2542"/>
      <c r="E6" s="2544">
        <f ca="1">SUMIF(INDIRECT("'"&amp;A6&amp;"'"&amp;"!C:C"),"建筑面积",INDIRECT("'"&amp;A6&amp;"'"&amp;"!D:D"))</f>
        <v>1361.77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44853</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44853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2022-10-19T05:35:56Z</dcterms:modified>
</cp:coreProperties>
</file>