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 windowWidth="14670" windowHeight="1248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经济技术指标"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土地案例" sheetId="73" r:id="rId44"/>
    <sheet name="销售案例" sheetId="74"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E44" i="72"/>
  <c r="D41" i="72"/>
  <c r="D15" i="66" l="1"/>
  <c r="G15" i="66" l="1"/>
  <c r="I15" i="66" l="1"/>
  <c r="M102" i="9" l="1"/>
  <c r="L104" i="9"/>
  <c r="L102" i="9"/>
  <c r="C40" i="39" l="1"/>
  <c r="N18" i="35"/>
  <c r="E92" i="35"/>
  <c r="F92" i="35" s="1"/>
  <c r="D92" i="35"/>
  <c r="I37" i="35"/>
  <c r="G37" i="35"/>
  <c r="E37" i="35"/>
  <c r="G35" i="9"/>
  <c r="E38" i="9"/>
  <c r="E37" i="9"/>
  <c r="D38" i="9"/>
  <c r="C38" i="9"/>
  <c r="C37" i="9"/>
  <c r="B38" i="9"/>
  <c r="B37" i="9"/>
  <c r="E104" i="21"/>
  <c r="F104" i="21" s="1"/>
  <c r="D104" i="21"/>
  <c r="J30" i="72"/>
  <c r="K29" i="72"/>
  <c r="I31" i="35" l="1"/>
  <c r="G31" i="35"/>
  <c r="E31" i="35"/>
  <c r="E5" i="21"/>
  <c r="C31" i="35"/>
  <c r="H51" i="72"/>
  <c r="H32" i="72"/>
  <c r="I5" i="35"/>
  <c r="G5" i="35"/>
  <c r="E5" i="35"/>
  <c r="AH8" i="1"/>
  <c r="O72" i="39" l="1"/>
  <c r="E72" i="39" l="1"/>
  <c r="F72" i="39" s="1"/>
  <c r="G72" i="39" s="1"/>
  <c r="H72" i="39" s="1"/>
  <c r="I72" i="39" s="1"/>
  <c r="J72" i="39" s="1"/>
  <c r="K72" i="39" s="1"/>
  <c r="L72" i="39" s="1"/>
  <c r="M72" i="39" s="1"/>
  <c r="N72" i="39" s="1"/>
  <c r="D72" i="39"/>
  <c r="I47" i="21" l="1"/>
  <c r="G47" i="21"/>
  <c r="E47" i="21"/>
  <c r="I5" i="21"/>
  <c r="G5" i="21"/>
  <c r="C5" i="21"/>
  <c r="C5" i="35" s="1"/>
  <c r="E9" i="6"/>
  <c r="G21" i="6"/>
  <c r="G20" i="6"/>
  <c r="F19" i="6"/>
  <c r="AT13" i="3"/>
  <c r="AJ13" i="3"/>
  <c r="AH13" i="3"/>
  <c r="AF13" i="3"/>
  <c r="M13" i="3"/>
  <c r="K13" i="3"/>
  <c r="I13" i="3"/>
  <c r="A3" i="3"/>
  <c r="E118" i="39"/>
  <c r="F118" i="39" s="1"/>
  <c r="G118" i="39" s="1"/>
  <c r="H118" i="39" s="1"/>
  <c r="D118" i="39"/>
  <c r="I40" i="39"/>
  <c r="G40" i="39"/>
  <c r="E40" i="39"/>
  <c r="I48" i="39"/>
  <c r="G48" i="39"/>
  <c r="E48" i="39"/>
  <c r="I9" i="39"/>
  <c r="G9" i="39"/>
  <c r="E9" i="39"/>
  <c r="I7" i="39"/>
  <c r="G7" i="39"/>
  <c r="E7" i="39"/>
  <c r="K49" i="72" l="1"/>
  <c r="L49" i="72"/>
  <c r="L30" i="72"/>
  <c r="J49" i="72"/>
  <c r="F41" i="72"/>
  <c r="I49" i="72"/>
  <c r="H49" i="72"/>
  <c r="E49" i="72"/>
  <c r="C49" i="72"/>
  <c r="B49" i="72"/>
  <c r="F48" i="72"/>
  <c r="M47" i="72"/>
  <c r="F47" i="72"/>
  <c r="M46" i="72"/>
  <c r="F46" i="72"/>
  <c r="M45" i="72"/>
  <c r="F45" i="72"/>
  <c r="M44" i="72"/>
  <c r="F44" i="72"/>
  <c r="M43" i="72"/>
  <c r="F43" i="72"/>
  <c r="M42" i="72"/>
  <c r="F42" i="72"/>
  <c r="M41" i="72"/>
  <c r="M40" i="72"/>
  <c r="F40" i="72"/>
  <c r="M39" i="72"/>
  <c r="M38" i="72"/>
  <c r="F38" i="72"/>
  <c r="M37" i="72"/>
  <c r="F37" i="72"/>
  <c r="M36" i="72"/>
  <c r="F36" i="72"/>
  <c r="M49" i="72" l="1"/>
  <c r="N47" i="72"/>
  <c r="N44" i="72"/>
  <c r="D49" i="72"/>
  <c r="N37" i="72"/>
  <c r="N40" i="72"/>
  <c r="N42" i="72"/>
  <c r="N38" i="72"/>
  <c r="N41" i="72"/>
  <c r="N43" i="72"/>
  <c r="N45" i="72"/>
  <c r="N46" i="72"/>
  <c r="N36" i="72"/>
  <c r="F39" i="72"/>
  <c r="M48" i="72"/>
  <c r="N48" i="72" s="1"/>
  <c r="K30" i="72"/>
  <c r="C30" i="72"/>
  <c r="E30" i="72"/>
  <c r="AL13" i="3" s="1"/>
  <c r="H30" i="72"/>
  <c r="I30" i="72"/>
  <c r="M14" i="72"/>
  <c r="D17" i="72"/>
  <c r="D30" i="72" s="1"/>
  <c r="AD13" i="3" s="1"/>
  <c r="M15" i="72"/>
  <c r="M16" i="72"/>
  <c r="M17" i="72"/>
  <c r="M18" i="72"/>
  <c r="M19" i="72"/>
  <c r="M20" i="72"/>
  <c r="M21" i="72"/>
  <c r="M22" i="72"/>
  <c r="M23" i="72"/>
  <c r="M24" i="72"/>
  <c r="M25" i="72"/>
  <c r="M26" i="72"/>
  <c r="M27" i="72"/>
  <c r="M28" i="72"/>
  <c r="F15" i="72"/>
  <c r="F16" i="72"/>
  <c r="F18" i="72"/>
  <c r="N18" i="72" s="1"/>
  <c r="F19" i="72"/>
  <c r="N19" i="72" s="1"/>
  <c r="F20" i="72"/>
  <c r="N20" i="72" s="1"/>
  <c r="F21" i="72"/>
  <c r="N21" i="72" s="1"/>
  <c r="F22" i="72"/>
  <c r="N22" i="72" s="1"/>
  <c r="F23" i="72"/>
  <c r="N23" i="72" s="1"/>
  <c r="F24" i="72"/>
  <c r="N24" i="72" s="1"/>
  <c r="F25" i="72"/>
  <c r="N25" i="72" s="1"/>
  <c r="F26" i="72"/>
  <c r="N26" i="72" s="1"/>
  <c r="F27" i="72"/>
  <c r="F28" i="72"/>
  <c r="F29" i="72"/>
  <c r="F14" i="72"/>
  <c r="B30" i="72"/>
  <c r="F17" i="4"/>
  <c r="G17" i="4" s="1"/>
  <c r="AN13" i="3" l="1"/>
  <c r="M30" i="72"/>
  <c r="M29" i="72"/>
  <c r="N29" i="72" s="1"/>
  <c r="N15" i="72"/>
  <c r="N28" i="72"/>
  <c r="N14" i="72"/>
  <c r="N16" i="72"/>
  <c r="N27" i="72"/>
  <c r="N39" i="72"/>
  <c r="F49" i="72"/>
  <c r="N49" i="72" s="1"/>
  <c r="F17" i="72"/>
  <c r="N17" i="72" s="1"/>
  <c r="F30" i="72" l="1"/>
  <c r="N30" i="72" s="1"/>
  <c r="E119" i="39" l="1"/>
  <c r="F119" i="39" s="1"/>
  <c r="G119" i="39" s="1"/>
  <c r="H119" i="39" s="1"/>
  <c r="D119" i="39"/>
  <c r="N14" i="1" l="1"/>
  <c r="N7" i="1"/>
  <c r="L14" i="1"/>
  <c r="K28" i="36" l="1"/>
  <c r="K27" i="36"/>
  <c r="K26" i="36"/>
  <c r="K20" i="36"/>
  <c r="K18" i="36"/>
  <c r="K16" i="36"/>
  <c r="K14" i="36"/>
  <c r="K30" i="35"/>
  <c r="K29" i="35"/>
  <c r="K28" i="35"/>
  <c r="K18" i="35"/>
  <c r="C24" i="21"/>
  <c r="C22" i="21"/>
  <c r="C20" i="21"/>
  <c r="C18" i="21"/>
  <c r="C16" i="21"/>
  <c r="E66" i="21"/>
  <c r="F66" i="21" s="1"/>
  <c r="G66" i="21" s="1"/>
  <c r="H66" i="21" s="1"/>
  <c r="I66" i="21" s="1"/>
  <c r="D66" i="21"/>
  <c r="E35" i="36"/>
  <c r="C21" i="36"/>
  <c r="C19" i="36"/>
  <c r="C17" i="36"/>
  <c r="C15" i="36"/>
  <c r="C5" i="36"/>
  <c r="E21" i="35"/>
  <c r="C21" i="35"/>
  <c r="C17" i="35"/>
  <c r="C15" i="35"/>
  <c r="Z26" i="70" l="1"/>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6" i="1" l="1"/>
  <c r="C12" i="39"/>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P75" i="15"/>
  <c r="Q74" i="44"/>
  <c r="Q61" i="44"/>
  <c r="Q60" i="44"/>
  <c r="Q53" i="44"/>
  <c r="J51" i="44"/>
  <c r="J52" i="44"/>
  <c r="M48" i="44"/>
  <c r="A16" i="55"/>
  <c r="A15" i="55"/>
  <c r="B66" i="63" s="1"/>
  <c r="A11" i="55"/>
  <c r="A10" i="55"/>
  <c r="B61" i="63" s="1"/>
  <c r="A9" i="55"/>
  <c r="B60" i="63" s="1"/>
  <c r="A8" i="55"/>
  <c r="A6" i="54"/>
  <c r="A8" i="54"/>
  <c r="B53" i="63" s="1"/>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57" i="46"/>
  <c r="B77"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s="1"/>
  <c r="F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D62" i="36"/>
  <c r="E62" i="36" s="1"/>
  <c r="B59" i="36"/>
  <c r="B57" i="36"/>
  <c r="J12" i="36"/>
  <c r="B55" i="36"/>
  <c r="J10" i="36"/>
  <c r="W10" i="36" s="1"/>
  <c r="C51" i="36"/>
  <c r="P37" i="36"/>
  <c r="P36" i="36"/>
  <c r="V35" i="36"/>
  <c r="T35" i="36"/>
  <c r="R35" i="36"/>
  <c r="P35" i="36"/>
  <c r="Q34" i="36"/>
  <c r="Z34" i="36" s="1"/>
  <c r="Q33" i="36"/>
  <c r="Z33" i="36" s="1"/>
  <c r="Q32" i="36"/>
  <c r="Z32" i="36" s="1"/>
  <c r="Q31" i="36"/>
  <c r="Z31" i="36"/>
  <c r="Q30" i="36"/>
  <c r="Z30" i="36" s="1"/>
  <c r="Q29" i="36"/>
  <c r="Z29" i="36"/>
  <c r="Q28" i="36"/>
  <c r="Z28" i="36"/>
  <c r="J28" i="36"/>
  <c r="AC28" i="36" s="1"/>
  <c r="Q27" i="36"/>
  <c r="Z27" i="36"/>
  <c r="Q26" i="36"/>
  <c r="Z26" i="36"/>
  <c r="H26" i="36"/>
  <c r="AB26" i="36" s="1"/>
  <c r="Q25" i="36"/>
  <c r="Z25" i="36"/>
  <c r="Q24" i="36"/>
  <c r="Z24" i="36"/>
  <c r="Q23" i="36"/>
  <c r="Z23" i="36"/>
  <c r="J23" i="36"/>
  <c r="AC23" i="36"/>
  <c r="H23" i="36"/>
  <c r="AB23" i="36"/>
  <c r="F23" i="36"/>
  <c r="AA23" i="36"/>
  <c r="Q22" i="36"/>
  <c r="Z22" i="36"/>
  <c r="J22" i="36"/>
  <c r="AC22" i="36" s="1"/>
  <c r="Q20" i="36"/>
  <c r="Z20" i="36"/>
  <c r="Q16" i="36"/>
  <c r="Z16" i="36"/>
  <c r="Q14" i="36"/>
  <c r="Z14" i="36"/>
  <c r="Q13" i="36"/>
  <c r="Z13" i="36"/>
  <c r="Q12" i="36"/>
  <c r="Z12" i="36"/>
  <c r="H12" i="36"/>
  <c r="U12" i="36" s="1"/>
  <c r="Q11" i="36"/>
  <c r="Z11" i="36" s="1"/>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U28" i="35" s="1"/>
  <c r="F28" i="35"/>
  <c r="AA28" i="35" s="1"/>
  <c r="Q27" i="35"/>
  <c r="Z27" i="35" s="1"/>
  <c r="Q26" i="35"/>
  <c r="Z26" i="35"/>
  <c r="Q25" i="35"/>
  <c r="Z25" i="35"/>
  <c r="Q24" i="35"/>
  <c r="Z24" i="35"/>
  <c r="Q23" i="35"/>
  <c r="Z23" i="35"/>
  <c r="J23" i="35"/>
  <c r="AC23" i="35"/>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H8" i="35"/>
  <c r="U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c r="C21" i="20"/>
  <c r="B99" i="46" s="1"/>
  <c r="C20" i="20"/>
  <c r="C18" i="20"/>
  <c r="B73" i="46"/>
  <c r="C17" i="20"/>
  <c r="B61" i="46"/>
  <c r="C16" i="20"/>
  <c r="B50" i="46"/>
  <c r="C15" i="20"/>
  <c r="B72"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3" i="11"/>
  <c r="E12" i="11"/>
  <c r="C9" i="12"/>
  <c r="K103" i="9" s="1"/>
  <c r="K104" i="9" s="1"/>
  <c r="BB12" i="3"/>
  <c r="F9" i="12"/>
  <c r="E9" i="12"/>
  <c r="M104" i="9" s="1"/>
  <c r="K105" i="9" s="1"/>
  <c r="C106" i="9" s="1"/>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F34" i="21"/>
  <c r="AA34" i="21" s="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H12" i="21"/>
  <c r="U12" i="21" s="1"/>
  <c r="J26" i="21"/>
  <c r="W26" i="21"/>
  <c r="F26" i="21"/>
  <c r="AA26" i="21" s="1"/>
  <c r="AB41" i="21"/>
  <c r="S41" i="21"/>
  <c r="AA41" i="21"/>
  <c r="W41" i="21"/>
  <c r="S10" i="39"/>
  <c r="U30" i="37"/>
  <c r="E103" i="37"/>
  <c r="F103" i="37"/>
  <c r="F39" i="37"/>
  <c r="S39" i="37"/>
  <c r="W39" i="37"/>
  <c r="F29" i="36"/>
  <c r="AA29" i="36" s="1"/>
  <c r="U22" i="36"/>
  <c r="W23" i="36"/>
  <c r="J33" i="36"/>
  <c r="W33" i="36" s="1"/>
  <c r="U31" i="35"/>
  <c r="S34" i="35"/>
  <c r="W36" i="35"/>
  <c r="W24" i="35"/>
  <c r="S31" i="35"/>
  <c r="U34" i="35"/>
  <c r="F36" i="34"/>
  <c r="S36" i="34"/>
  <c r="W9" i="34"/>
  <c r="S34" i="34"/>
  <c r="W39" i="34"/>
  <c r="H39" i="33"/>
  <c r="AB39" i="33"/>
  <c r="F26" i="33"/>
  <c r="AA26" i="33"/>
  <c r="U9" i="33"/>
  <c r="U33" i="33"/>
  <c r="W38" i="33"/>
  <c r="S40" i="33"/>
  <c r="S33" i="33"/>
  <c r="W33" i="33"/>
  <c r="U38" i="33"/>
  <c r="W8" i="21"/>
  <c r="H39" i="37"/>
  <c r="AB39" i="37"/>
  <c r="W10" i="40"/>
  <c r="U11" i="40"/>
  <c r="U36" i="40"/>
  <c r="C29" i="39"/>
  <c r="C23" i="39"/>
  <c r="U36"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F14" i="21"/>
  <c r="AA14" i="21" s="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U46" i="21"/>
  <c r="W30" i="21"/>
  <c r="S28" i="21"/>
  <c r="AA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G4" i="4"/>
  <c r="S37" i="34"/>
  <c r="J16" i="35"/>
  <c r="W16" i="35" s="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c r="I107" i="34"/>
  <c r="J107" i="34"/>
  <c r="K107" i="34"/>
  <c r="L107" i="34"/>
  <c r="M107" i="34"/>
  <c r="S30" i="36"/>
  <c r="G103" i="37"/>
  <c r="H103" i="37"/>
  <c r="I103" i="37"/>
  <c r="J103" i="37"/>
  <c r="K103" i="37"/>
  <c r="L103" i="37"/>
  <c r="M103" i="37"/>
  <c r="H35" i="37"/>
  <c r="AB35" i="37"/>
  <c r="S26" i="21"/>
  <c r="H32" i="21"/>
  <c r="U32" i="21" s="1"/>
  <c r="AB26" i="21"/>
  <c r="U26" i="21"/>
  <c r="J32" i="21"/>
  <c r="AC32" i="21" s="1"/>
  <c r="AC5" i="3"/>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99" i="37"/>
  <c r="AC27" i="37"/>
  <c r="U25" i="35"/>
  <c r="S45" i="34"/>
  <c r="U31" i="34"/>
  <c r="AC40" i="37"/>
  <c r="W40" i="37"/>
  <c r="W27" i="33"/>
  <c r="AC45" i="21"/>
  <c r="S28" i="33"/>
  <c r="AA44" i="34"/>
  <c r="AC19" i="33"/>
  <c r="W19" i="33"/>
  <c r="U43" i="34"/>
  <c r="AB43" i="34"/>
  <c r="AC34" i="37"/>
  <c r="S35" i="37"/>
  <c r="AA35" i="37"/>
  <c r="AA32" i="21"/>
  <c r="S32" i="21"/>
  <c r="AB34" i="21"/>
  <c r="BL571" i="3"/>
  <c r="BA571" i="3"/>
  <c r="AZ571" i="3" s="1"/>
  <c r="BL570" i="3"/>
  <c r="F42" i="21"/>
  <c r="AA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U8" i="21"/>
  <c r="AB8" i="21"/>
  <c r="AB8" i="33"/>
  <c r="U8" i="33"/>
  <c r="E106" i="33"/>
  <c r="H34" i="33"/>
  <c r="U34" i="33"/>
  <c r="F34" i="33"/>
  <c r="S34" i="33"/>
  <c r="E121" i="33"/>
  <c r="F41" i="33"/>
  <c r="S41" i="33"/>
  <c r="AC34" i="34"/>
  <c r="W34" i="34"/>
  <c r="AA39" i="34"/>
  <c r="S39" i="34"/>
  <c r="S43" i="34"/>
  <c r="E78" i="34"/>
  <c r="F15" i="34"/>
  <c r="W28" i="35"/>
  <c r="J20" i="35"/>
  <c r="AC20" i="35" s="1"/>
  <c r="E72" i="35"/>
  <c r="F72" i="35" s="1"/>
  <c r="G72" i="35" s="1"/>
  <c r="H22" i="35"/>
  <c r="AB22" i="35" s="1"/>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AA39" i="39"/>
  <c r="S39" i="39"/>
  <c r="U34" i="39"/>
  <c r="AB46" i="39"/>
  <c r="W33" i="39"/>
  <c r="AA33" i="39"/>
  <c r="S33"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U25" i="36"/>
  <c r="U32" i="36"/>
  <c r="AB12" i="36"/>
  <c r="U9" i="36"/>
  <c r="S33" i="36"/>
  <c r="S29" i="36"/>
  <c r="AA13" i="35"/>
  <c r="AC9" i="35"/>
  <c r="S8" i="35"/>
  <c r="S23"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U35" i="21"/>
  <c r="W43"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AC21" i="39"/>
  <c r="AB38" i="39"/>
  <c r="U31" i="39"/>
  <c r="AB31" i="39"/>
  <c r="S38" i="39"/>
  <c r="S22" i="31"/>
  <c r="D96" i="9"/>
  <c r="M18" i="15"/>
  <c r="A18" i="64"/>
  <c r="B74" i="63"/>
  <c r="C53" i="10"/>
  <c r="A25" i="64" s="1"/>
  <c r="A18" i="51"/>
  <c r="B14" i="63" s="1"/>
  <c r="BA16" i="3"/>
  <c r="BA17" i="3"/>
  <c r="AZ17" i="3" s="1"/>
  <c r="K1" i="43"/>
  <c r="K1" i="12"/>
  <c r="G1" i="44"/>
  <c r="BK5" i="3"/>
  <c r="BO5" i="3"/>
  <c r="BP5" i="3"/>
  <c r="BN5" i="3"/>
  <c r="BL18" i="3"/>
  <c r="AZ18" i="3" s="1"/>
  <c r="BC5" i="3"/>
  <c r="BD5" i="3"/>
  <c r="BS5" i="3"/>
  <c r="BQ5" i="3"/>
  <c r="BL16" i="3"/>
  <c r="BM5" i="3"/>
  <c r="F29" i="6" s="1"/>
  <c r="G28" i="12"/>
  <c r="D24" i="44"/>
  <c r="D26" i="44"/>
  <c r="F50" i="46"/>
  <c r="H52" i="46" s="1"/>
  <c r="C6" i="46"/>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AB18" i="36" s="1"/>
  <c r="S25" i="36"/>
  <c r="AA34" i="36"/>
  <c r="U23" i="36"/>
  <c r="W28" i="36"/>
  <c r="AA32" i="36"/>
  <c r="U13" i="36"/>
  <c r="AA22" i="36"/>
  <c r="AA13" i="36"/>
  <c r="S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W29" i="21"/>
  <c r="G95" i="40"/>
  <c r="J27" i="40"/>
  <c r="W37" i="40"/>
  <c r="W30" i="40"/>
  <c r="S34" i="40"/>
  <c r="U38" i="40"/>
  <c r="S40" i="40"/>
  <c r="S42" i="40"/>
  <c r="J31" i="39"/>
  <c r="W31" i="39" s="1"/>
  <c r="S45" i="39"/>
  <c r="AB33" i="39"/>
  <c r="AC46" i="39"/>
  <c r="S34" i="39"/>
  <c r="W36" i="39"/>
  <c r="W16" i="39"/>
  <c r="W45" i="39"/>
  <c r="AA46" i="39"/>
  <c r="W34" i="39"/>
  <c r="W10" i="39"/>
  <c r="W40" i="39"/>
  <c r="S32" i="40"/>
  <c r="C27" i="39"/>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66" i="36"/>
  <c r="J18" i="36"/>
  <c r="W18" i="36" s="1"/>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M10" i="44"/>
  <c r="F9" i="15"/>
  <c r="F45" i="44"/>
  <c r="F39" i="44"/>
  <c r="F10" i="44"/>
  <c r="M26" i="15"/>
  <c r="E14" i="67"/>
  <c r="F13" i="67"/>
  <c r="M24" i="44"/>
  <c r="J3" i="65"/>
  <c r="E10" i="67"/>
  <c r="F26" i="15"/>
  <c r="M30" i="44"/>
  <c r="I3" i="65"/>
  <c r="F9" i="67"/>
  <c r="F40" i="44"/>
  <c r="L47" i="15"/>
  <c r="M28" i="15"/>
  <c r="F40" i="15"/>
  <c r="M23" i="15"/>
  <c r="M6" i="15"/>
  <c r="F10" i="67"/>
  <c r="F38" i="44"/>
  <c r="F11" i="44"/>
  <c r="N5" i="65"/>
  <c r="E11" i="67"/>
  <c r="J15" i="15"/>
  <c r="J4" i="65"/>
  <c r="L49" i="44"/>
  <c r="F43" i="44"/>
  <c r="J5" i="65"/>
  <c r="M31" i="44"/>
  <c r="M11" i="44"/>
  <c r="M25" i="44"/>
  <c r="E12" i="67"/>
  <c r="F8" i="15"/>
  <c r="B12" i="67"/>
  <c r="F9" i="44"/>
  <c r="B14" i="67"/>
  <c r="J7" i="65"/>
  <c r="N7" i="65"/>
  <c r="M24" i="15"/>
  <c r="N4" i="65"/>
  <c r="F14" i="67"/>
  <c r="I4" i="65"/>
  <c r="B9" i="67"/>
  <c r="M8" i="44"/>
  <c r="F15" i="44"/>
  <c r="E9" i="67"/>
  <c r="E13" i="67"/>
  <c r="F37" i="15"/>
  <c r="F16" i="15"/>
  <c r="B13" i="67"/>
  <c r="F42" i="15"/>
  <c r="F8" i="44"/>
  <c r="B10" i="67"/>
  <c r="J36" i="15"/>
  <c r="N3" i="65"/>
  <c r="N6" i="65"/>
  <c r="I6" i="65"/>
  <c r="F6" i="15"/>
  <c r="J6" i="65"/>
  <c r="F12" i="67"/>
  <c r="I5" i="65"/>
  <c r="M28" i="44"/>
  <c r="I7" i="65"/>
  <c r="J17" i="44"/>
  <c r="M9" i="15"/>
  <c r="B11" i="67"/>
  <c r="F36" i="15"/>
  <c r="L48" i="44"/>
  <c r="F8" i="67"/>
  <c r="M8" i="15"/>
  <c r="M26" i="44"/>
  <c r="F11" i="67"/>
  <c r="F38" i="15"/>
  <c r="E8" i="67"/>
  <c r="B8" i="67"/>
  <c r="F13" i="15"/>
  <c r="M22" i="15"/>
  <c r="F18" i="44"/>
  <c r="F28" i="44"/>
  <c r="J51" i="15" l="1"/>
  <c r="AB28" i="35"/>
  <c r="S42" i="21"/>
  <c r="G16" i="3"/>
  <c r="I4" i="6"/>
  <c r="AZ16" i="3"/>
  <c r="BL15" i="3"/>
  <c r="AZ15" i="3" s="1"/>
  <c r="BR5" i="3"/>
  <c r="F11" i="1"/>
  <c r="AP11" i="1" s="1"/>
  <c r="F7" i="1"/>
  <c r="G3" i="46"/>
  <c r="Z7" i="46" s="1"/>
  <c r="E20" i="6"/>
  <c r="C43" i="9"/>
  <c r="K47" i="9" s="1"/>
  <c r="A14" i="55" s="1"/>
  <c r="B65" i="63" s="1"/>
  <c r="W11" i="39"/>
  <c r="U11" i="39"/>
  <c r="M43" i="9"/>
  <c r="D18" i="9"/>
  <c r="M44" i="9" s="1"/>
  <c r="G27" i="6"/>
  <c r="F28" i="6"/>
  <c r="F30" i="6" s="1"/>
  <c r="O40" i="9"/>
  <c r="K31" i="9" s="1"/>
  <c r="K32" i="9" s="1"/>
  <c r="A30" i="64"/>
  <c r="A30" i="51"/>
  <c r="B22" i="63" s="1"/>
  <c r="AA28" i="36"/>
  <c r="F62" i="36"/>
  <c r="G62" i="36" s="1"/>
  <c r="H14" i="36"/>
  <c r="U14" i="36" s="1"/>
  <c r="J14" i="36"/>
  <c r="W14" i="36" s="1"/>
  <c r="F14" i="36"/>
  <c r="AA14" i="36" s="1"/>
  <c r="AA40" i="21"/>
  <c r="F37" i="21"/>
  <c r="H113" i="21"/>
  <c r="J37" i="21"/>
  <c r="H37" i="21"/>
  <c r="F77" i="21"/>
  <c r="G77" i="21" s="1"/>
  <c r="J15" i="21"/>
  <c r="AC15" i="21" s="1"/>
  <c r="F15" i="21"/>
  <c r="S15" i="21" s="1"/>
  <c r="H15" i="21"/>
  <c r="AB15" i="21" s="1"/>
  <c r="U38" i="21"/>
  <c r="U43" i="21"/>
  <c r="U42" i="21"/>
  <c r="AA38" i="21"/>
  <c r="AA36" i="21"/>
  <c r="S35" i="21"/>
  <c r="W25" i="21"/>
  <c r="AB25" i="21"/>
  <c r="AC23" i="21"/>
  <c r="AA17" i="21"/>
  <c r="AA15" i="21"/>
  <c r="AC27" i="21"/>
  <c r="S27" i="21"/>
  <c r="AB30" i="21"/>
  <c r="AB23" i="21"/>
  <c r="W15" i="21"/>
  <c r="S23" i="21"/>
  <c r="S21" i="21"/>
  <c r="AC19" i="21"/>
  <c r="S19" i="21"/>
  <c r="W17" i="21"/>
  <c r="U17" i="21"/>
  <c r="S12" i="21"/>
  <c r="AA12" i="21"/>
  <c r="W14" i="21"/>
  <c r="AC14" i="21"/>
  <c r="S14" i="21"/>
  <c r="AB12" i="21"/>
  <c r="AB14" i="21"/>
  <c r="J12" i="21"/>
  <c r="F69" i="21"/>
  <c r="G69" i="21" s="1"/>
  <c r="H69" i="21" s="1"/>
  <c r="I69" i="21" s="1"/>
  <c r="J69" i="21" s="1"/>
  <c r="K69" i="21" s="1"/>
  <c r="L69" i="21" s="1"/>
  <c r="M69" i="21" s="1"/>
  <c r="W9" i="21"/>
  <c r="AA9" i="21"/>
  <c r="S8" i="21"/>
  <c r="S10" i="21"/>
  <c r="W32" i="21"/>
  <c r="S46" i="21"/>
  <c r="S39" i="21"/>
  <c r="AC36" i="21"/>
  <c r="AB36" i="21"/>
  <c r="AC35" i="21"/>
  <c r="AC34" i="21"/>
  <c r="S34" i="21"/>
  <c r="AB32" i="21"/>
  <c r="AC40" i="21"/>
  <c r="U40" i="21"/>
  <c r="U39" i="21"/>
  <c r="W42" i="21"/>
  <c r="W10" i="21"/>
  <c r="AB10" i="21"/>
  <c r="U9" i="21"/>
  <c r="AC14" i="36"/>
  <c r="W9" i="36"/>
  <c r="H20" i="36"/>
  <c r="U20" i="36" s="1"/>
  <c r="F20" i="36"/>
  <c r="S20" i="36" s="1"/>
  <c r="F68" i="36"/>
  <c r="G68" i="36" s="1"/>
  <c r="J20" i="36"/>
  <c r="AC20" i="36" s="1"/>
  <c r="AB20" i="36"/>
  <c r="AB14" i="36"/>
  <c r="AB8" i="36"/>
  <c r="AC18" i="36"/>
  <c r="F64" i="36"/>
  <c r="G64" i="36" s="1"/>
  <c r="J16" i="36"/>
  <c r="F16" i="36"/>
  <c r="AA16" i="36" s="1"/>
  <c r="H16" i="36"/>
  <c r="AB16" i="36" s="1"/>
  <c r="AA20" i="36"/>
  <c r="S18" i="36"/>
  <c r="S16" i="36"/>
  <c r="H81" i="36"/>
  <c r="I81" i="36" s="1"/>
  <c r="J81" i="36" s="1"/>
  <c r="K81" i="36" s="1"/>
  <c r="L81" i="36" s="1"/>
  <c r="M81" i="36" s="1"/>
  <c r="J27" i="36"/>
  <c r="F27" i="36"/>
  <c r="H27" i="36"/>
  <c r="AB28" i="36"/>
  <c r="U29" i="36"/>
  <c r="AB34" i="36"/>
  <c r="U34" i="36"/>
  <c r="AC34" i="36"/>
  <c r="W29" i="36"/>
  <c r="AC24" i="36"/>
  <c r="W24" i="36"/>
  <c r="S24" i="36"/>
  <c r="H24" i="36"/>
  <c r="W22" i="36"/>
  <c r="U18" i="36"/>
  <c r="AA31" i="36"/>
  <c r="U31" i="36"/>
  <c r="AC31" i="36"/>
  <c r="U26" i="36"/>
  <c r="AA26" i="36"/>
  <c r="H42" i="39"/>
  <c r="J42" i="39"/>
  <c r="F42" i="39"/>
  <c r="S42" i="39" s="1"/>
  <c r="G121" i="39"/>
  <c r="H121" i="39" s="1"/>
  <c r="I121" i="39" s="1"/>
  <c r="J121" i="39" s="1"/>
  <c r="K121" i="39" s="1"/>
  <c r="L121" i="39" s="1"/>
  <c r="M121" i="39" s="1"/>
  <c r="F41" i="39"/>
  <c r="AA41" i="39" s="1"/>
  <c r="J41" i="39"/>
  <c r="AC41" i="39" s="1"/>
  <c r="H41" i="39"/>
  <c r="AB41" i="39" s="1"/>
  <c r="C17" i="40"/>
  <c r="B94" i="46"/>
  <c r="B84" i="46"/>
  <c r="B76" i="46"/>
  <c r="B79" i="46"/>
  <c r="B101" i="46"/>
  <c r="S16" i="39"/>
  <c r="AB15" i="39"/>
  <c r="W15" i="39"/>
  <c r="S15" i="39"/>
  <c r="S14" i="39"/>
  <c r="W14" i="39"/>
  <c r="U14" i="39"/>
  <c r="E5" i="6"/>
  <c r="D12" i="11" s="1"/>
  <c r="C12" i="11" s="1"/>
  <c r="AB44" i="39"/>
  <c r="G125" i="39"/>
  <c r="H43" i="39"/>
  <c r="U43" i="39" s="1"/>
  <c r="U41" i="39"/>
  <c r="W41" i="39"/>
  <c r="AC44" i="39"/>
  <c r="AA44" i="39"/>
  <c r="AC37" i="39"/>
  <c r="AA37" i="39"/>
  <c r="AB37" i="39"/>
  <c r="S31" i="39"/>
  <c r="AB29" i="39"/>
  <c r="W29" i="39"/>
  <c r="S29" i="39"/>
  <c r="W27" i="39"/>
  <c r="S27" i="39"/>
  <c r="U27" i="39"/>
  <c r="W25" i="39"/>
  <c r="S25" i="39"/>
  <c r="AB25" i="39"/>
  <c r="U23" i="39"/>
  <c r="W23" i="39"/>
  <c r="S23" i="39"/>
  <c r="S17" i="39"/>
  <c r="AC17" i="39"/>
  <c r="AB17" i="39"/>
  <c r="S40" i="39"/>
  <c r="H29" i="35"/>
  <c r="J29" i="35"/>
  <c r="AC29" i="35" s="1"/>
  <c r="H87" i="35"/>
  <c r="I87" i="35" s="1"/>
  <c r="J87" i="35" s="1"/>
  <c r="K87" i="35" s="1"/>
  <c r="L87" i="35" s="1"/>
  <c r="M87" i="35" s="1"/>
  <c r="F29" i="35"/>
  <c r="S29" i="35" s="1"/>
  <c r="S32" i="35"/>
  <c r="AA33" i="35"/>
  <c r="U33" i="35"/>
  <c r="AC33" i="35"/>
  <c r="W32" i="35"/>
  <c r="W35" i="35"/>
  <c r="S30" i="35"/>
  <c r="S28" i="35"/>
  <c r="AB27" i="35"/>
  <c r="AC27" i="35"/>
  <c r="W31" i="35"/>
  <c r="W29" i="35"/>
  <c r="S22" i="35"/>
  <c r="U22" i="35"/>
  <c r="W20" i="35"/>
  <c r="AB20" i="35"/>
  <c r="AA20" i="35"/>
  <c r="S18" i="35"/>
  <c r="AB16" i="35"/>
  <c r="S16" i="35"/>
  <c r="AC16" i="35"/>
  <c r="F14" i="35"/>
  <c r="AA14" i="35" s="1"/>
  <c r="F64" i="35"/>
  <c r="G64" i="35" s="1"/>
  <c r="J14" i="35"/>
  <c r="AC14" i="35" s="1"/>
  <c r="H14" i="35"/>
  <c r="U14" i="35" s="1"/>
  <c r="W14" i="35"/>
  <c r="AB14" i="35"/>
  <c r="S14" i="35"/>
  <c r="J26" i="35"/>
  <c r="H26" i="35"/>
  <c r="F26" i="35"/>
  <c r="G29" i="6"/>
  <c r="E29" i="6" s="1"/>
  <c r="K15" i="1" s="1"/>
  <c r="P16" i="4"/>
  <c r="C51" i="10"/>
  <c r="A9" i="64" s="1"/>
  <c r="G12" i="1"/>
  <c r="D65" i="46"/>
  <c r="D50" i="46"/>
  <c r="F36" i="44"/>
  <c r="M22" i="44"/>
  <c r="M20" i="15"/>
  <c r="BL13" i="3"/>
  <c r="L19" i="6"/>
  <c r="L27" i="6" s="1"/>
  <c r="C7" i="21"/>
  <c r="C58" i="21" s="1"/>
  <c r="D58" i="21" s="1"/>
  <c r="E58" i="21" s="1"/>
  <c r="C7" i="33"/>
  <c r="C58" i="33" s="1"/>
  <c r="D58" i="33" s="1"/>
  <c r="E58" i="33" s="1"/>
  <c r="F58" i="33" s="1"/>
  <c r="C7" i="34"/>
  <c r="C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28" i="64"/>
  <c r="G9"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D64" i="40"/>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6" i="46"/>
  <c r="P27" i="46"/>
  <c r="P25" i="46"/>
  <c r="Q73" i="44"/>
  <c r="F65" i="15"/>
  <c r="C29" i="44"/>
  <c r="C8" i="44"/>
  <c r="C34" i="44" s="1"/>
  <c r="J1" i="65"/>
  <c r="F67" i="15"/>
  <c r="F50" i="15"/>
  <c r="C27" i="15"/>
  <c r="F64" i="15"/>
  <c r="M9" i="44"/>
  <c r="J8" i="44" s="1"/>
  <c r="L59" i="15"/>
  <c r="L60" i="44"/>
  <c r="L59" i="44"/>
  <c r="I55" i="44"/>
  <c r="J54" i="44"/>
  <c r="L57" i="44"/>
  <c r="J58" i="44"/>
  <c r="J56" i="44" s="1"/>
  <c r="J59" i="44" s="1"/>
  <c r="Q52" i="44" s="1"/>
  <c r="Q72" i="15"/>
  <c r="F63" i="15"/>
  <c r="C4" i="65"/>
  <c r="B39" i="1" s="1"/>
  <c r="L48" i="15"/>
  <c r="E2" i="65"/>
  <c r="E3" i="65"/>
  <c r="C18" i="44"/>
  <c r="J26" i="46" l="1"/>
  <c r="F26" i="46"/>
  <c r="G26" i="46"/>
  <c r="L58" i="15"/>
  <c r="Q74" i="15" s="1"/>
  <c r="L56" i="15"/>
  <c r="J53" i="15"/>
  <c r="F1" i="15" s="1"/>
  <c r="I54" i="15"/>
  <c r="J57" i="15"/>
  <c r="J55" i="15" s="1"/>
  <c r="J58" i="15" s="1"/>
  <c r="Q51" i="15" s="1"/>
  <c r="G7" i="1"/>
  <c r="G11" i="1"/>
  <c r="P29" i="46"/>
  <c r="B72" i="39" s="1"/>
  <c r="P28" i="46"/>
  <c r="B67" i="40" s="1"/>
  <c r="A1" i="70"/>
  <c r="D21" i="12"/>
  <c r="C21" i="12" s="1"/>
  <c r="H26" i="46"/>
  <c r="E26" i="46"/>
  <c r="D26" i="46" s="1"/>
  <c r="C25" i="46" s="1"/>
  <c r="B117" i="46"/>
  <c r="D123" i="46" s="1"/>
  <c r="E123" i="46" s="1"/>
  <c r="F123" i="46" s="1"/>
  <c r="G123" i="46" s="1"/>
  <c r="H123" i="46" s="1"/>
  <c r="G28" i="6"/>
  <c r="G30" i="6" s="1"/>
  <c r="G31" i="6" s="1"/>
  <c r="J7" i="33"/>
  <c r="K7" i="1"/>
  <c r="G16" i="1" s="1"/>
  <c r="J12" i="40" s="1"/>
  <c r="D9" i="12"/>
  <c r="C107" i="9" s="1"/>
  <c r="C105" i="9" s="1"/>
  <c r="C110" i="9" s="1"/>
  <c r="D3" i="35"/>
  <c r="S41" i="39"/>
  <c r="S14" i="36"/>
  <c r="U37" i="21"/>
  <c r="AB37" i="21"/>
  <c r="W37" i="21"/>
  <c r="AC37" i="21"/>
  <c r="S37" i="21"/>
  <c r="AA37" i="21"/>
  <c r="U15" i="21"/>
  <c r="W12" i="21"/>
  <c r="AC12" i="21"/>
  <c r="W20" i="36"/>
  <c r="W16" i="36"/>
  <c r="AC16" i="36"/>
  <c r="U16" i="36"/>
  <c r="AB27" i="36"/>
  <c r="U27" i="36"/>
  <c r="W27" i="36"/>
  <c r="AC27" i="36"/>
  <c r="S27" i="36"/>
  <c r="AA27" i="36"/>
  <c r="U24" i="36"/>
  <c r="AB24" i="36"/>
  <c r="AC42" i="39"/>
  <c r="W42" i="39"/>
  <c r="AB42" i="39"/>
  <c r="U42" i="39"/>
  <c r="AB43" i="39"/>
  <c r="H125" i="39"/>
  <c r="I125" i="39" s="1"/>
  <c r="J125" i="39" s="1"/>
  <c r="K125" i="39" s="1"/>
  <c r="L125" i="39" s="1"/>
  <c r="M125" i="39" s="1"/>
  <c r="F43" i="39"/>
  <c r="J43" i="39"/>
  <c r="AA29" i="35"/>
  <c r="U29" i="35"/>
  <c r="AB29" i="35"/>
  <c r="AB26" i="35"/>
  <c r="U26" i="35"/>
  <c r="S26" i="35"/>
  <c r="AA26" i="35"/>
  <c r="AC26" i="35"/>
  <c r="W26" i="35"/>
  <c r="C4" i="4"/>
  <c r="B20" i="55" s="1"/>
  <c r="B70" i="63" s="1"/>
  <c r="A9" i="51"/>
  <c r="B9" i="63" s="1"/>
  <c r="J60" i="44"/>
  <c r="J61" i="44" s="1"/>
  <c r="Q50" i="44" s="1"/>
  <c r="E83" i="46"/>
  <c r="B81" i="46" s="1"/>
  <c r="BA5" i="3"/>
  <c r="E12" i="6"/>
  <c r="E58" i="40" s="1"/>
  <c r="J7" i="21"/>
  <c r="W7" i="21" s="1"/>
  <c r="E61" i="46"/>
  <c r="B59" i="46" s="1"/>
  <c r="E50" i="46"/>
  <c r="B48" i="46" s="1"/>
  <c r="C28" i="46" s="1"/>
  <c r="E17" i="46"/>
  <c r="C17" i="46" s="1"/>
  <c r="C7" i="46"/>
  <c r="AZ5" i="3"/>
  <c r="E3" i="6" s="1"/>
  <c r="C33" i="21" s="1"/>
  <c r="F27" i="6"/>
  <c r="F31" i="6" s="1"/>
  <c r="E58" i="39"/>
  <c r="E10" i="6"/>
  <c r="E14" i="6"/>
  <c r="E65" i="39" s="1"/>
  <c r="E13" i="6"/>
  <c r="E59" i="40" s="1"/>
  <c r="E11" i="6"/>
  <c r="E62" i="39" s="1"/>
  <c r="E28" i="6"/>
  <c r="K14" i="1" s="1"/>
  <c r="G5" i="3"/>
  <c r="B3" i="3" s="1"/>
  <c r="AT6" i="3" s="1"/>
  <c r="E63" i="39"/>
  <c r="E66" i="39"/>
  <c r="E61" i="40"/>
  <c r="H7" i="34"/>
  <c r="U7" i="34" s="1"/>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D15" i="59"/>
  <c r="C14" i="59"/>
  <c r="M19" i="44"/>
  <c r="F17" i="11"/>
  <c r="Q62" i="15"/>
  <c r="Q75" i="15"/>
  <c r="M13" i="44"/>
  <c r="J12" i="44" s="1"/>
  <c r="J7" i="44" s="1"/>
  <c r="F11" i="15"/>
  <c r="M11" i="15"/>
  <c r="F13" i="44"/>
  <c r="C12" i="44" s="1"/>
  <c r="C7" i="44" s="1"/>
  <c r="C40" i="44" s="1"/>
  <c r="Q75" i="44"/>
  <c r="Q62" i="44"/>
  <c r="M32" i="46"/>
  <c r="P32" i="46"/>
  <c r="O32" i="46"/>
  <c r="N32" i="46"/>
  <c r="F1" i="44"/>
  <c r="Q54" i="44"/>
  <c r="J20" i="44"/>
  <c r="Q63" i="44"/>
  <c r="Q76" i="44"/>
  <c r="AE6" i="1"/>
  <c r="AE12" i="1"/>
  <c r="AE8" i="1"/>
  <c r="AE9" i="1"/>
  <c r="AE10" i="1"/>
  <c r="AE11" i="1"/>
  <c r="M29" i="15"/>
  <c r="F7" i="15"/>
  <c r="F43" i="15"/>
  <c r="AE7" i="1"/>
  <c r="F46" i="44"/>
  <c r="C6" i="15" l="1"/>
  <c r="C32" i="15" s="1"/>
  <c r="F49" i="15"/>
  <c r="C48" i="15" s="1"/>
  <c r="M7" i="15"/>
  <c r="F70" i="15"/>
  <c r="AP16" i="1"/>
  <c r="F22" i="11" s="1"/>
  <c r="Q61" i="15"/>
  <c r="Q53" i="15"/>
  <c r="I123" i="46"/>
  <c r="J123" i="46" s="1"/>
  <c r="K123" i="46" s="1"/>
  <c r="L123" i="46" s="1"/>
  <c r="M123" i="46" s="1"/>
  <c r="B119" i="46"/>
  <c r="C119" i="46" s="1"/>
  <c r="B120" i="46"/>
  <c r="C120" i="46" s="1"/>
  <c r="D121" i="46"/>
  <c r="E121" i="46" s="1"/>
  <c r="F121" i="46" s="1"/>
  <c r="G121" i="46" s="1"/>
  <c r="H121" i="46" s="1"/>
  <c r="D122" i="46"/>
  <c r="E122" i="46" s="1"/>
  <c r="F122" i="46" s="1"/>
  <c r="I119" i="46"/>
  <c r="J119" i="46" s="1"/>
  <c r="K119" i="46" s="1"/>
  <c r="L119" i="46" s="1"/>
  <c r="M119" i="46" s="1"/>
  <c r="I122" i="46"/>
  <c r="J122" i="46" s="1"/>
  <c r="K122" i="46" s="1"/>
  <c r="L122" i="46" s="1"/>
  <c r="M122" i="46" s="1"/>
  <c r="I120" i="46"/>
  <c r="J120" i="46" s="1"/>
  <c r="K120" i="46" s="1"/>
  <c r="L120" i="46" s="1"/>
  <c r="M120" i="46" s="1"/>
  <c r="B123" i="46"/>
  <c r="C123" i="46"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F3" i="35"/>
  <c r="M7" i="1"/>
  <c r="H16" i="1"/>
  <c r="Q16" i="1"/>
  <c r="D16" i="43"/>
  <c r="C16" i="43" s="1"/>
  <c r="AC7" i="21"/>
  <c r="W43" i="39"/>
  <c r="AC43" i="39"/>
  <c r="AA43" i="39"/>
  <c r="S43" i="39"/>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6" i="15"/>
  <c r="F41" i="15"/>
  <c r="M27" i="15"/>
  <c r="M29" i="44"/>
  <c r="C10" i="15" l="1"/>
  <c r="C5" i="15" s="1"/>
  <c r="C38" i="15" s="1"/>
  <c r="F68" i="15"/>
  <c r="O7" i="1"/>
  <c r="P7" i="1" s="1"/>
  <c r="M17" i="15"/>
  <c r="J6" i="15"/>
  <c r="J18" i="15" s="1"/>
  <c r="F21" i="43"/>
  <c r="F33" i="12"/>
  <c r="C34" i="12" s="1"/>
  <c r="D33" i="12" s="1"/>
  <c r="B14" i="66"/>
  <c r="J33" i="21"/>
  <c r="F33" i="21"/>
  <c r="H33" i="21"/>
  <c r="D22" i="12"/>
  <c r="C22"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F7" i="67"/>
  <c r="J5" i="15" l="1"/>
  <c r="J24" i="15" s="1"/>
  <c r="B29" i="1"/>
  <c r="C11" i="11" s="1"/>
  <c r="C10" i="11" s="1"/>
  <c r="E40" i="46"/>
  <c r="K27" i="6"/>
  <c r="AA33" i="21"/>
  <c r="S33" i="21"/>
  <c r="U33" i="21"/>
  <c r="AB33" i="21"/>
  <c r="W33" i="21"/>
  <c r="AC33"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C7" i="59"/>
  <c r="D8" i="59"/>
  <c r="E9" i="59"/>
  <c r="D9" i="59"/>
  <c r="B9" i="59"/>
  <c r="D22" i="6"/>
  <c r="D8" i="6"/>
  <c r="E62" i="40"/>
  <c r="D15" i="6"/>
  <c r="D11" i="6"/>
  <c r="K38" i="9"/>
  <c r="E45" i="9"/>
  <c r="D14" i="6"/>
  <c r="D21" i="6"/>
  <c r="D13" i="6"/>
  <c r="E67" i="39"/>
  <c r="D25" i="6"/>
  <c r="D29" i="6"/>
  <c r="D5" i="6"/>
  <c r="D26" i="6"/>
  <c r="D20" i="6"/>
  <c r="D10" i="6"/>
  <c r="H22" i="6"/>
  <c r="D12" i="6"/>
  <c r="H21" i="6"/>
  <c r="H20" i="6"/>
  <c r="H26" i="6"/>
  <c r="D23" i="6"/>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15"/>
  <c r="B7" i="67"/>
  <c r="E7" i="67"/>
  <c r="H24" i="6" l="1"/>
  <c r="R22" i="6"/>
  <c r="R9" i="1" s="1"/>
  <c r="C18" i="11"/>
  <c r="C17" i="11"/>
  <c r="C20" i="12"/>
  <c r="C14" i="66"/>
  <c r="D30" i="6"/>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15"/>
  <c r="M23" i="44"/>
  <c r="C16" i="44"/>
  <c r="F37" i="44"/>
  <c r="F35" i="15"/>
  <c r="M21" i="15"/>
  <c r="C19" i="11" l="1"/>
  <c r="C20" i="11" s="1"/>
  <c r="C21" i="11" s="1"/>
  <c r="C22" i="11" s="1"/>
  <c r="C23" i="11" s="1"/>
  <c r="B2" i="1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J64" i="40"/>
  <c r="I66" i="40"/>
  <c r="J69" i="39"/>
  <c r="I71" i="39"/>
  <c r="B3" i="67"/>
  <c r="B4" i="67"/>
  <c r="C11" i="21" l="1"/>
  <c r="H13" i="39"/>
  <c r="F13" i="39"/>
  <c r="J13" i="39"/>
  <c r="H7" i="36"/>
  <c r="AB7" i="36" s="1"/>
  <c r="T36" i="36" s="1"/>
  <c r="G36" i="36" s="1"/>
  <c r="F7" i="36"/>
  <c r="B3" i="11"/>
  <c r="B4" i="11"/>
  <c r="B5" i="11"/>
  <c r="C19" i="15"/>
  <c r="C20" i="15" s="1"/>
  <c r="C26" i="15" s="1"/>
  <c r="C21" i="44"/>
  <c r="C22" i="44" s="1"/>
  <c r="C28" i="44" s="1"/>
  <c r="D5" i="59"/>
  <c r="T5" i="59"/>
  <c r="F5" i="59"/>
  <c r="V5" i="59" s="1"/>
  <c r="B6" i="59"/>
  <c r="E6" i="59"/>
  <c r="C19" i="43"/>
  <c r="K69" i="39"/>
  <c r="J71" i="39"/>
  <c r="AC7" i="36"/>
  <c r="V36" i="36" s="1"/>
  <c r="I36" i="36" s="1"/>
  <c r="W7" i="36"/>
  <c r="J66" i="40"/>
  <c r="K64" i="40"/>
  <c r="S7" i="36"/>
  <c r="AA7" i="36"/>
  <c r="R36" i="36" s="1"/>
  <c r="W13" i="39" l="1"/>
  <c r="AC13" i="39"/>
  <c r="U13" i="39"/>
  <c r="AB13" i="39"/>
  <c r="S13" i="39"/>
  <c r="AA13" i="39"/>
  <c r="J11" i="21"/>
  <c r="H11" i="21"/>
  <c r="F11" i="21"/>
  <c r="U7" i="36"/>
  <c r="E5" i="59"/>
  <c r="U5" i="59" s="1"/>
  <c r="B5" i="59"/>
  <c r="C21" i="43"/>
  <c r="R37" i="36"/>
  <c r="E36" i="36"/>
  <c r="I41" i="36" s="1"/>
  <c r="J41" i="36" s="1"/>
  <c r="K66" i="40"/>
  <c r="L64" i="40"/>
  <c r="G41" i="36"/>
  <c r="H41" i="36" s="1"/>
  <c r="G40" i="36"/>
  <c r="H40" i="36" s="1"/>
  <c r="I40" i="36"/>
  <c r="J40" i="36" s="1"/>
  <c r="L69" i="39"/>
  <c r="K71" i="39"/>
  <c r="AA11" i="21" l="1"/>
  <c r="R48" i="21" s="1"/>
  <c r="S11" i="21"/>
  <c r="W11" i="21"/>
  <c r="AC11" i="21"/>
  <c r="V48" i="21" s="1"/>
  <c r="I48" i="21" s="1"/>
  <c r="I52" i="21" s="1"/>
  <c r="J52" i="21" s="1"/>
  <c r="AB11" i="21"/>
  <c r="T48" i="21" s="1"/>
  <c r="G48" i="21" s="1"/>
  <c r="U11" i="21"/>
  <c r="S5" i="59"/>
  <c r="M24" i="46"/>
  <c r="L71" i="39"/>
  <c r="M69" i="39"/>
  <c r="M64" i="40"/>
  <c r="L66" i="40"/>
  <c r="E40" i="36"/>
  <c r="F40" i="36" s="1"/>
  <c r="E41" i="36"/>
  <c r="F41" i="36" s="1"/>
  <c r="C37" i="36"/>
  <c r="B3" i="36" s="1"/>
  <c r="B2" i="36" s="1"/>
  <c r="C36" i="36"/>
  <c r="G52" i="21" l="1"/>
  <c r="H52" i="21" s="1"/>
  <c r="G53" i="21"/>
  <c r="H53" i="21" s="1"/>
  <c r="E48" i="21"/>
  <c r="R49" i="21"/>
  <c r="N64" i="40"/>
  <c r="N66" i="40" s="1"/>
  <c r="M66" i="40"/>
  <c r="N69" i="39"/>
  <c r="N71" i="39" s="1"/>
  <c r="M71" i="39"/>
  <c r="I53" i="21" l="1"/>
  <c r="J53" i="21" s="1"/>
  <c r="E53" i="21"/>
  <c r="F53" i="21" s="1"/>
  <c r="E52" i="21"/>
  <c r="F52" i="21" s="1"/>
  <c r="C49" i="21"/>
  <c r="B3" i="21" s="1"/>
  <c r="C48" i="21"/>
  <c r="J9" i="40"/>
  <c r="H9" i="40"/>
  <c r="F9" i="40"/>
  <c r="J9" i="39"/>
  <c r="H9" i="39"/>
  <c r="F9" i="39"/>
  <c r="C8" i="12" l="1"/>
  <c r="C10" i="12" s="1"/>
  <c r="B2" i="2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3" i="35" l="1"/>
  <c r="E8" i="12" l="1"/>
  <c r="E10" i="12" s="1"/>
  <c r="C6" i="12" s="1"/>
  <c r="C24" i="12" s="1"/>
  <c r="C35" i="12" s="1"/>
  <c r="C33" i="12" s="1"/>
  <c r="B2" i="35"/>
  <c r="C29" i="12" l="1"/>
  <c r="C28" i="12"/>
  <c r="C26" i="12" s="1"/>
  <c r="C31" i="12" l="1"/>
  <c r="C30" i="12" s="1"/>
  <c r="C36" i="12" s="1"/>
  <c r="B2" i="12" s="1"/>
  <c r="B4" i="12" s="1"/>
  <c r="D19" i="9"/>
  <c r="D21" i="9"/>
  <c r="B5" i="12" l="1"/>
  <c r="L44" i="9"/>
  <c r="G19" i="9"/>
  <c r="D27" i="9" s="1"/>
  <c r="D22" i="9"/>
  <c r="B3" i="12"/>
  <c r="G21" i="9"/>
  <c r="C32" i="9"/>
  <c r="D20" i="9"/>
  <c r="N43" i="9" l="1"/>
  <c r="G22" i="9"/>
  <c r="G20" i="9"/>
  <c r="O43" i="9"/>
  <c r="C33" i="9"/>
  <c r="C34" i="9"/>
  <c r="C42" i="9"/>
  <c r="O38" i="9"/>
  <c r="C35" i="9"/>
  <c r="F42" i="9" s="1"/>
  <c r="D14" i="66" l="1"/>
  <c r="K26" i="9"/>
  <c r="K25" i="9"/>
  <c r="E42" i="9"/>
  <c r="P5" i="54" s="1"/>
  <c r="B46" i="63" s="1"/>
  <c r="M38" i="9"/>
  <c r="K27" i="9" s="1"/>
  <c r="R5" i="54"/>
  <c r="B48" i="63" s="1"/>
  <c r="N68" i="9"/>
  <c r="C44" i="9"/>
  <c r="D63" i="9"/>
  <c r="N38" i="9"/>
  <c r="K28" i="9" s="1"/>
  <c r="D42" i="9"/>
  <c r="Q5" i="54" s="1"/>
  <c r="B47" i="63" s="1"/>
  <c r="N69" i="9" l="1"/>
  <c r="D44" i="9"/>
  <c r="E44" i="9"/>
  <c r="O39" i="9"/>
  <c r="F44" i="9"/>
  <c r="D73" i="9"/>
  <c r="N73" i="9" s="1"/>
  <c r="C111" i="9"/>
  <c r="C104" i="9" s="1"/>
  <c r="C96" i="9"/>
  <c r="C91" i="9" s="1"/>
  <c r="C90" i="9"/>
  <c r="C82" i="9"/>
  <c r="C81" i="9" s="1"/>
  <c r="C85" i="9" s="1"/>
  <c r="C86" i="9" s="1"/>
  <c r="D72" i="9" s="1"/>
  <c r="D71" i="9"/>
  <c r="D66" i="9" s="1"/>
  <c r="N72" i="9" s="1"/>
  <c r="C103" i="9"/>
  <c r="D70" i="9"/>
  <c r="F14" i="66"/>
  <c r="E14" i="66"/>
  <c r="C97" i="9" l="1"/>
  <c r="C98" i="9" s="1"/>
  <c r="E98" i="9" s="1"/>
  <c r="E99" i="9" s="1"/>
  <c r="C113" i="9"/>
  <c r="G14" i="66"/>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O78" i="9" s="1"/>
  <c r="O79" i="9" l="1"/>
  <c r="I14" i="66" s="1"/>
  <c r="Q77" i="9"/>
  <c r="O81" i="9" l="1"/>
  <c r="C46" i="9"/>
  <c r="O80" i="9"/>
  <c r="K33" i="9" l="1"/>
  <c r="O41" i="9"/>
  <c r="R8" i="54" s="1"/>
  <c r="B54" i="63" s="1"/>
  <c r="D46" i="9"/>
  <c r="F46" i="9"/>
  <c r="E46" i="9"/>
  <c r="K34" i="9" l="1"/>
  <c r="B1" i="66" l="1"/>
  <c r="C7" i="66" s="1"/>
  <c r="B2" i="66" l="1"/>
  <c r="D7" i="66" s="1"/>
  <c r="F15" i="66" l="1"/>
  <c r="B5" i="66"/>
  <c r="E15" i="66"/>
  <c r="C5" i="66" l="1"/>
  <c r="D5" i="66"/>
  <c r="B6" i="66"/>
  <c r="C6" i="66" l="1"/>
  <c r="D6" i="66"/>
  <c r="B8" i="66" l="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<sst xmlns="http://schemas.openxmlformats.org/spreadsheetml/2006/main" count="8015" uniqueCount="3606">
  <si>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</si>
  <si>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</si>
  <si>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</si>
  <si>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</si>
  <si>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</si>
  <si>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</si>
  <si>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</si>
  <si>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</si>
  <si>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</si>
  <si>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</si>
  <si>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</si>
  <si>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</si>
  <si>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</si>
  <si>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</si>
  <si>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</si>
  <si>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</si>
  <si>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</si>
  <si>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</si>
  <si>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</si>
  <si>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</si>
  <si>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</si>
  <si>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</si>
  <si>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</si>
  <si>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</si>
  <si>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</si>
  <si>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</si>
  <si>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</si>
  <si>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</si>
  <si>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</si>
  <si>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</si>
  <si>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</si>
  <si>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</si>
  <si>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</si>
  <si>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</si>
  <si>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</si>
  <si>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</si>
  <si>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</si>
  <si>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</si>
  <si>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</si>
  <si>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</si>
  <si>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</si>
  <si>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</si>
  <si>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</si>
  <si>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</si>
  <si>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</si>
  <si>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</si>
  <si>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</si>
  <si>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</si>
  <si>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</si>
  <si>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</si>
  <si>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</si>
  <si>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</si>
  <si>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</si>
  <si>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</si>
  <si>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</si>
  <si>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</si>
  <si>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</si>
  <si>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</si>
  <si>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</si>
  <si>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</si>
  <si>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</si>
  <si>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</si>
  <si>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</si>
  <si>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</si>
  <si>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</si>
  <si>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</si>
  <si>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</si>
  <si>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</si>
  <si>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</si>
  <si>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</si>
  <si>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</si>
  <si>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</si>
  <si>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</si>
  <si>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</si>
  <si>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</si>
  <si>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</si>
  <si>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</si>
  <si>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</si>
  <si>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</si>
  <si>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</si>
  <si>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</si>
  <si>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</si>
  <si>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</si>
  <si>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</si>
  <si>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</si>
  <si>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</si>
  <si>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</si>
  <si>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</si>
  <si>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</si>
  <si>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</si>
  <si>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</si>
  <si>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</si>
  <si>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</si>
  <si>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</si>
  <si>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</si>
  <si>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</si>
  <si>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</si>
  <si>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</si>
  <si>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</si>
  <si>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</si>
  <si>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</si>
  <si>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</si>
  <si>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</si>
  <si>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</si>
  <si>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</si>
  <si>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</si>
  <si>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</si>
  <si>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</si>
  <si>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</si>
  <si>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</si>
  <si>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</si>
  <si>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</si>
  <si>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</si>
  <si>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</si>
  <si>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</si>
  <si>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</si>
  <si>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</si>
  <si>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</si>
  <si>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</si>
  <si>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</si>
  <si>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</si>
  <si>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</si>
  <si>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</si>
  <si>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</si>
  <si>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</si>
  <si>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</si>
  <si>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</si>
  <si>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</si>
  <si>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</si>
  <si>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</si>
  <si>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</si>
  <si>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</si>
  <si>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</si>
  <si>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</si>
  <si>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</si>
  <si>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</si>
  <si>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</si>
  <si>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</si>
  <si>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</si>
  <si>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</si>
  <si>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</si>
  <si>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</si>
  <si>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</si>
  <si>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</si>
  <si>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</si>
  <si>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</si>
  <si>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</si>
  <si>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</si>
  <si>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</si>
  <si>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</si>
  <si>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</si>
  <si>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</si>
  <si>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</si>
  <si>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</si>
  <si>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</si>
  <si>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</si>
  <si>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</si>
  <si>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</si>
  <si>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</si>
  <si>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</si>
  <si>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</si>
  <si>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</si>
  <si>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</si>
  <si>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</si>
  <si>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</si>
  <si>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</si>
  <si>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</si>
  <si>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</si>
  <si>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</si>
  <si>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</si>
  <si>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</si>
  <si>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</si>
  <si>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</si>
  <si>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</si>
  <si>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</si>
  <si>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</si>
  <si>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</si>
  <si>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</si>
  <si>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</si>
  <si>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</si>
  <si>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</si>
  <si>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</si>
  <si>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</si>
  <si>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</si>
  <si>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</si>
  <si>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</si>
  <si>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</si>
  <si>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</si>
  <si>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</si>
  <si>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</si>
  <si>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</si>
  <si>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</si>
  <si>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</si>
  <si>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</si>
  <si>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</si>
  <si>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</si>
  <si>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</si>
  <si>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</si>
  <si>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</si>
  <si>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</si>
  <si>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</si>
  <si>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</si>
  <si>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</si>
  <si>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</si>
  <si>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</si>
  <si>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</si>
  <si>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</si>
  <si>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</si>
  <si>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</si>
  <si>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</si>
  <si>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</si>
  <si>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</si>
  <si>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</si>
  <si>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</si>
  <si>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</si>
  <si>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</si>
  <si>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</si>
  <si>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</si>
  <si>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</si>
  <si>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</si>
  <si>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</si>
  <si>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</si>
  <si>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</si>
  <si>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</si>
  <si>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</si>
  <si>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</si>
  <si>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</si>
  <si>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</si>
  <si>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</si>
  <si>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</si>
  <si>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</si>
  <si>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</si>
  <si>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</si>
  <si>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</si>
  <si>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</si>
  <si>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</si>
  <si>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</si>
  <si>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</si>
  <si>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</si>
  <si>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</si>
  <si>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</si>
  <si>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</si>
  <si>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</si>
  <si>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</si>
  <si>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</si>
  <si>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</si>
  <si>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</si>
  <si>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</si>
  <si>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</si>
  <si>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</si>
  <si>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</si>
  <si>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</si>
  <si>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</si>
  <si>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</si>
  <si>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</si>
  <si>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</si>
  <si>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</si>
  <si>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</si>
  <si>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</si>
  <si>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</si>
  <si>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</si>
  <si>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</si>
  <si>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</si>
  <si>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</si>
  <si>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</si>
  <si>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</si>
  <si>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</si>
  <si>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</si>
  <si>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</si>
  <si>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</si>
  <si>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</si>
  <si>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</si>
  <si>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</si>
  <si>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</si>
  <si>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</si>
  <si>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</si>
  <si>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</si>
  <si>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</si>
  <si>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</si>
  <si>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</si>
  <si>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</si>
  <si>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</si>
  <si>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</si>
  <si>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</si>
  <si>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</si>
  <si>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</si>
  <si>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</si>
  <si>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</si>
  <si>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</si>
  <si>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</si>
  <si>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</si>
  <si>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</si>
  <si>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</si>
  <si>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</si>
  <si>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</si>
  <si>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</si>
  <si>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</si>
  <si>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</si>
  <si>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</si>
  <si>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</si>
  <si>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</si>
  <si>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</si>
  <si>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</si>
  <si>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</si>
  <si>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</si>
  <si>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</si>
  <si>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</si>
  <si>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</si>
  <si>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</si>
  <si>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</si>
  <si>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</si>
  <si>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</si>
  <si>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</si>
  <si>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</si>
  <si>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</si>
  <si>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</si>
  <si>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</si>
  <si>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</si>
  <si>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</si>
  <si>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</si>
  <si>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</si>
  <si>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</si>
  <si>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</si>
  <si>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</si>
  <si>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</si>
  <si>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</si>
  <si>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</si>
  <si>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</si>
  <si>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</si>
  <si>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</si>
  <si>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</si>
  <si>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</si>
  <si>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</si>
  <si>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</si>
  <si>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</si>
  <si>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</si>
  <si>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</si>
  <si>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</si>
  <si>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</si>
  <si>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</si>
  <si>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</si>
  <si>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</si>
  <si>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</si>
  <si>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</si>
  <si>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</si>
  <si>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</si>
  <si>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</si>
  <si>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</si>
  <si>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</si>
  <si>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</si>
  <si>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</si>
  <si>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</si>
  <si>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</si>
  <si>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</si>
  <si>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</si>
  <si>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</si>
  <si>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</si>
  <si>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</si>
  <si>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</si>
  <si>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</si>
  <si>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</si>
  <si>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</si>
  <si>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</si>
  <si>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</si>
  <si>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</si>
  <si>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</si>
  <si>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</si>
  <si>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</si>
  <si>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</si>
  <si>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</si>
  <si>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</si>
  <si>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</si>
  <si>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</si>
  <si>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</si>
  <si>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</si>
  <si>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</si>
  <si>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</si>
  <si>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</si>
  <si>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</si>
  <si>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</si>
  <si>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</si>
  <si>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</si>
  <si>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</si>
  <si>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</si>
  <si>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</si>
  <si>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</si>
  <si>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</si>
  <si>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</si>
  <si>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</si>
  <si>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</si>
  <si>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</si>
  <si>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</si>
  <si>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</si>
  <si>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</si>
  <si>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</si>
  <si>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</si>
  <si>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</si>
  <si>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</si>
  <si>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</si>
  <si>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</si>
  <si>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</si>
  <si>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</si>
  <si>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</si>
  <si>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</si>
  <si>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</si>
  <si>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</si>
  <si>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</si>
  <si>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</si>
  <si>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</si>
  <si>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</si>
  <si>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</si>
  <si>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</si>
  <si>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</si>
  <si>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</si>
  <si>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</si>
  <si>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</si>
  <si>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</si>
  <si>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</si>
  <si>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</si>
  <si>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</si>
  <si>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</si>
  <si>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</si>
  <si>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</si>
  <si>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</si>
  <si>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</si>
  <si>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</si>
  <si>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</si>
  <si>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</si>
  <si>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</si>
  <si>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</si>
  <si>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</si>
  <si>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</si>
  <si>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</si>
  <si>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</si>
  <si>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</si>
  <si>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</si>
  <si>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</si>
  <si>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</si>
  <si>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</si>
  <si>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</si>
  <si>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</si>
  <si>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</si>
  <si>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</si>
  <si>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</si>
  <si>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</si>
  <si>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</si>
  <si>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</si>
  <si>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</si>
  <si>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</si>
  <si>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</si>
  <si>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</si>
  <si>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</si>
  <si>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</si>
  <si>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</si>
  <si>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</si>
  <si>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</si>
  <si>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</si>
  <si>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</si>
  <si>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</si>
  <si>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</si>
  <si>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</si>
  <si>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</si>
  <si>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</si>
  <si>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</si>
  <si>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</si>
  <si>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</si>
  <si>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</si>
  <si>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</si>
  <si>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</si>
  <si>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</si>
  <si>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</si>
  <si>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</si>
  <si>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</si>
  <si>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</si>
  <si>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</si>
  <si>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</si>
  <si>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</si>
  <si>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</si>
  <si>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</si>
  <si>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</si>
  <si>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</si>
  <si>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</si>
  <si>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</si>
  <si>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</si>
  <si>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</si>
  <si>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</si>
  <si>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</si>
  <si>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</si>
  <si>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</si>
  <si>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</si>
  <si>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</si>
  <si>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</si>
  <si>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</si>
  <si>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</si>
  <si>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</si>
  <si>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</si>
  <si>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</si>
  <si>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</si>
  <si>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</si>
  <si>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</si>
  <si>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</si>
  <si>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</si>
  <si>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</si>
  <si>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</si>
  <si>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</si>
  <si>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</si>
  <si>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</si>
  <si>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</si>
  <si>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</si>
  <si>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</si>
  <si>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</si>
  <si>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</si>
  <si>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</si>
  <si>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</si>
  <si>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</si>
  <si>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</si>
  <si>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</si>
  <si>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</si>
  <si>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</si>
  <si>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</si>
  <si>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</si>
  <si>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</si>
  <si>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</si>
  <si>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</si>
  <si>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</si>
  <si>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</si>
  <si>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</si>
  <si>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</si>
  <si>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</si>
  <si>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</si>
  <si>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</si>
  <si>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</si>
  <si>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</si>
  <si>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</si>
  <si>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</si>
  <si>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</si>
  <si>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</si>
  <si>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</si>
  <si>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</si>
  <si>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</si>
  <si>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</si>
  <si>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</si>
  <si>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</si>
  <si>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</si>
  <si>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</si>
  <si>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</si>
  <si>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</si>
  <si>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</si>
  <si>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</si>
  <si>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</si>
  <si>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</si>
  <si>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</si>
  <si>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</si>
  <si>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</si>
  <si>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</si>
  <si>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</si>
  <si>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</si>
  <si>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</si>
  <si>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</si>
  <si>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</si>
  <si>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</si>
  <si>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</si>
  <si>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</si>
  <si>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</si>
  <si>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</si>
  <si>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</si>
  <si>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</si>
  <si>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</si>
  <si>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</si>
  <si>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</si>
  <si>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</si>
  <si>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</si>
  <si>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</si>
  <si>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</si>
  <si>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</si>
  <si>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</si>
  <si>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</si>
  <si>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</si>
  <si>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</si>
  <si>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</si>
  <si>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</si>
  <si>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</si>
  <si>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</si>
  <si>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</si>
  <si>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</si>
  <si>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</si>
  <si>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</si>
  <si>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</si>
  <si>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</si>
  <si>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</si>
  <si>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</si>
  <si>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</si>
  <si>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</si>
  <si>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</si>
  <si>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</si>
  <si>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</si>
  <si>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</si>
  <si>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</si>
  <si>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</si>
  <si>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</si>
  <si>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</si>
  <si>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</si>
  <si>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</si>
  <si>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</si>
  <si>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</si>
  <si>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</si>
  <si>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</si>
  <si>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</si>
  <si>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</si>
  <si>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</si>
  <si>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</si>
  <si>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</si>
  <si>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</si>
  <si>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</si>
  <si>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</si>
  <si>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</si>
  <si>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</si>
  <si>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</si>
  <si>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</si>
  <si>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</si>
  <si>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</si>
  <si>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</si>
  <si>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</si>
  <si>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</si>
  <si>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</si>
  <si>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</si>
  <si>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</si>
  <si>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</si>
  <si>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</si>
  <si>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</si>
  <si>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</si>
  <si>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</si>
  <si>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</si>
  <si>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</si>
  <si>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</si>
  <si>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</si>
  <si>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</si>
  <si>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</si>
  <si>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</si>
  <si>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</si>
  <si>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</si>
  <si>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</si>
  <si>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</si>
  <si>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</si>
  <si>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</si>
  <si>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</si>
  <si>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</si>
  <si>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</si>
  <si>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</si>
  <si>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</si>
  <si>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</si>
  <si>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</si>
  <si>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</si>
  <si>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</si>
  <si>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</si>
  <si>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</si>
  <si>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</si>
  <si>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</si>
  <si>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</si>
  <si>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</si>
  <si>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</si>
  <si>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</si>
  <si>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</si>
  <si>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</si>
  <si>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</si>
  <si>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</si>
  <si>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</si>
  <si>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</si>
  <si>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</si>
  <si>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</si>
  <si>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</si>
  <si>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</si>
  <si>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</si>
  <si>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</si>
  <si>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</si>
  <si>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</si>
  <si>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</si>
  <si>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</si>
  <si>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</si>
  <si>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</si>
  <si>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</si>
  <si>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</si>
  <si>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</si>
  <si>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</si>
  <si>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</si>
  <si>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</si>
  <si>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</si>
  <si>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</si>
  <si>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</si>
  <si>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</si>
  <si>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</si>
  <si>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</si>
  <si>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</si>
  <si>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</si>
  <si>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</si>
  <si>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</si>
  <si>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</si>
  <si>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</si>
  <si>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</si>
  <si>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</si>
  <si>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</si>
  <si>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</si>
  <si>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</si>
  <si>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</si>
  <si>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</si>
  <si>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</si>
  <si>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</si>
  <si>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</si>
  <si>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</si>
  <si>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</si>
  <si>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</si>
  <si>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</si>
  <si>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</si>
  <si>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</si>
  <si>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</si>
  <si>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</si>
  <si>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</si>
  <si>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</si>
  <si>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</si>
  <si>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</si>
  <si>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</si>
  <si>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</si>
  <si>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</si>
  <si>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</si>
  <si>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</si>
  <si>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</si>
  <si>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</si>
  <si>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</si>
  <si>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</si>
  <si>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</si>
  <si>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</si>
  <si>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</si>
  <si>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</si>
  <si>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</si>
  <si>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</si>
  <si>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</si>
  <si>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</si>
  <si>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</si>
  <si>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</si>
  <si>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</si>
  <si>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</si>
  <si>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</si>
  <si>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</si>
  <si>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</si>
  <si>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</si>
  <si>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</si>
  <si>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</si>
  <si>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</si>
  <si>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</si>
  <si>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</si>
  <si>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</si>
  <si>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</si>
  <si>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</si>
  <si>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</si>
  <si>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</si>
  <si>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</si>
  <si>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</si>
  <si>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</si>
  <si>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</si>
  <si>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</si>
  <si>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</si>
  <si>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</si>
  <si>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</si>
  <si>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</si>
  <si>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</si>
  <si>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</si>
  <si>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</si>
  <si>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</si>
  <si>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</si>
  <si>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</si>
  <si>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</si>
  <si>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</si>
  <si>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</si>
  <si>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</si>
  <si>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</si>
  <si>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</si>
  <si>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</si>
  <si>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</si>
  <si>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</si>
  <si>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</si>
  <si>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</si>
  <si>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</si>
  <si>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</si>
  <si>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</si>
  <si>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</si>
  <si>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</si>
  <si>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</si>
  <si>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</si>
  <si>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</si>
  <si>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</si>
  <si>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</si>
  <si>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</si>
  <si>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</si>
  <si>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</si>
  <si>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</si>
  <si>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</si>
  <si>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</si>
  <si>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</si>
  <si>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</si>
  <si>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</si>
  <si>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</si>
  <si>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</si>
  <si>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</si>
  <si>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</si>
  <si>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</si>
  <si>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</si>
  <si>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</si>
  <si>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</si>
  <si>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</si>
  <si>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</si>
  <si>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</si>
  <si>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</si>
  <si>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</si>
  <si>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</si>
  <si>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</si>
  <si>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</si>
  <si>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</si>
  <si>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</si>
  <si>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</si>
  <si>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</si>
  <si>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</si>
  <si>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</si>
  <si>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</si>
  <si>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</si>
  <si>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</si>
  <si>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</si>
  <si>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</si>
  <si>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</si>
  <si>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</si>
  <si>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</si>
  <si>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</si>
  <si>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</si>
  <si>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</si>
  <si>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</si>
  <si>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</si>
  <si>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</si>
  <si>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</si>
  <si>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</si>
  <si>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</si>
  <si>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</si>
  <si>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</si>
  <si>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</si>
  <si>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</si>
  <si>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</si>
  <si>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</si>
  <si>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</si>
  <si>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</si>
  <si>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</si>
  <si>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</si>
  <si>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</si>
  <si>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</si>
  <si>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</si>
  <si>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</si>
  <si>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</si>
  <si>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</si>
  <si>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</si>
  <si>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</si>
  <si>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</si>
  <si>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</si>
  <si>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</si>
  <si>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</si>
  <si>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</si>
  <si>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</si>
  <si>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</si>
  <si>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</si>
  <si>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</si>
  <si>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</si>
  <si>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</si>
  <si>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</si>
  <si>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</si>
  <si>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</si>
  <si>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</si>
  <si>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</si>
  <si>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</si>
  <si>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</si>
  <si>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</si>
  <si>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</si>
  <si>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</si>
  <si>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</si>
  <si>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</si>
  <si>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</si>
  <si>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</si>
  <si>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</si>
  <si>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</si>
  <si>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</si>
  <si>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</si>
  <si>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</si>
  <si>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</si>
  <si>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</si>
  <si>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</si>
  <si>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</si>
  <si>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</si>
  <si>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</si>
  <si>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</si>
  <si>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</si>
  <si>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</si>
  <si>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</si>
  <si>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</si>
  <si>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</si>
  <si>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</si>
  <si>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</si>
  <si>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</si>
  <si>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</si>
  <si>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</si>
  <si>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</si>
  <si>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</si>
  <si>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</si>
  <si>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</si>
  <si>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</si>
  <si>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</si>
  <si>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</si>
  <si>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</si>
  <si>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</si>
  <si>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</si>
  <si>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</si>
  <si>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</si>
  <si>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</si>
  <si>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</si>
  <si>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</si>
  <si>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</si>
  <si>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</si>
  <si>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</si>
  <si>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</si>
  <si>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</si>
  <si>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</si>
  <si>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</si>
  <si>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</si>
  <si>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</si>
  <si>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</si>
  <si>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</si>
  <si>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</si>
  <si>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</si>
  <si>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</si>
  <si>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</si>
  <si>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</si>
  <si>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</si>
  <si>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</si>
  <si>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</si>
  <si>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</si>
  <si>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</si>
  <si>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</si>
  <si>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</si>
  <si>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</si>
  <si>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</si>
  <si>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</si>
  <si>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</si>
  <si>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</si>
  <si>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</si>
  <si>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</si>
  <si>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</si>
  <si>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</si>
  <si>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</si>
  <si>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</si>
  <si>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</si>
  <si>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</si>
  <si>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</si>
  <si>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</si>
  <si>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</si>
  <si>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</si>
  <si>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</si>
  <si>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</si>
  <si>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</si>
  <si>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</si>
  <si>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</si>
  <si>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</si>
  <si>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</si>
  <si>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</si>
  <si>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</si>
  <si>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</si>
  <si>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</si>
  <si>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</si>
  <si>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</si>
  <si>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</si>
  <si>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</si>
  <si>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</si>
  <si>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</si>
  <si>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</si>
  <si>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</si>
  <si>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</si>
  <si>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</si>
  <si>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</si>
  <si>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</si>
  <si>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</si>
  <si>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</si>
  <si>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</si>
  <si>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</si>
  <si>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</si>
  <si>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</si>
  <si>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</si>
  <si>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</si>
  <si>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</si>
  <si>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</si>
  <si>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</si>
  <si>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</si>
  <si>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</si>
  <si>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</si>
  <si>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</si>
  <si>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</si>
  <si>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</si>
  <si>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</si>
  <si>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</si>
  <si>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</si>
  <si>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</si>
  <si>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</si>
  <si>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</si>
  <si>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</si>
  <si>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</si>
  <si>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</si>
  <si>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</si>
  <si>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</si>
  <si>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</si>
  <si>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</si>
  <si>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</si>
  <si>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</si>
  <si>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</si>
  <si>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</si>
  <si>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</si>
  <si>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</si>
  <si>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</si>
  <si>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</si>
  <si>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</si>
  <si>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</si>
  <si>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</si>
  <si>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</si>
  <si>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</si>
  <si>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</si>
  <si>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</si>
  <si>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</si>
  <si>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</si>
  <si>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</si>
  <si>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</si>
  <si>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</si>
  <si>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</si>
  <si>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</si>
  <si>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</si>
  <si>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</si>
  <si>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</si>
  <si>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</si>
  <si>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</si>
  <si>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</si>
  <si>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</si>
  <si>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</si>
  <si>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</si>
  <si>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</si>
  <si>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</si>
  <si>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</si>
  <si>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</si>
  <si>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</si>
  <si>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</si>
  <si>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</si>
  <si>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</si>
  <si>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</si>
  <si>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</si>
  <si>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</si>
  <si>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</si>
  <si>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</si>
  <si>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</si>
  <si>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</si>
  <si>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</si>
  <si>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</si>
  <si>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</si>
  <si>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</si>
  <si>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</si>
  <si>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</si>
  <si>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</si>
  <si>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</si>
  <si>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</si>
  <si>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</si>
  <si>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</si>
  <si>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</si>
  <si>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</si>
  <si>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</si>
  <si>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</si>
  <si>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</si>
  <si>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</si>
  <si>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</si>
  <si>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</si>
  <si>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</si>
  <si>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</si>
  <si>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</si>
  <si>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</si>
  <si>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</si>
  <si>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</si>
  <si>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</si>
  <si>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</si>
  <si>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</si>
  <si>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</si>
  <si>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</si>
  <si>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</si>
  <si>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</si>
  <si>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</si>
  <si>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</si>
  <si>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</si>
  <si>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</si>
  <si>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</si>
  <si>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</si>
  <si>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</si>
  <si>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</si>
  <si>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</si>
  <si>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</si>
  <si>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</si>
  <si>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</si>
  <si>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</si>
  <si>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</si>
  <si>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</si>
  <si>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</si>
  <si>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</si>
  <si>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</si>
  <si>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</si>
  <si>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</si>
  <si>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</si>
  <si>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</si>
  <si>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</si>
  <si>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</si>
  <si>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</si>
  <si>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</si>
  <si>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</si>
  <si>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</si>
  <si>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</si>
  <si>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</si>
  <si>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</si>
  <si>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</si>
  <si>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</si>
  <si>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</si>
  <si>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</si>
  <si>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</si>
  <si>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</si>
  <si>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</si>
  <si>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</si>
  <si>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</si>
  <si>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</si>
  <si>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</si>
  <si>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</si>
  <si>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</si>
  <si>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</si>
  <si>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</si>
  <si>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</si>
  <si>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</si>
  <si>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</si>
  <si>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</si>
  <si>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</si>
  <si>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</si>
  <si>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</si>
  <si>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</si>
  <si>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</si>
  <si>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</si>
  <si>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</si>
  <si>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</si>
  <si>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</si>
  <si>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</si>
  <si>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</si>
  <si>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</si>
  <si>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</si>
  <si>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</si>
  <si>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</si>
  <si>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</si>
  <si>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</si>
  <si>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</si>
  <si>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</si>
  <si>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</si>
  <si>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</si>
  <si>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</si>
  <si>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</si>
  <si>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</si>
  <si>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</si>
  <si>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</si>
  <si>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</si>
  <si>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</si>
  <si>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</si>
  <si>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</si>
  <si>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</si>
  <si>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</si>
  <si>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</si>
  <si>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</si>
  <si>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</si>
  <si>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</si>
  <si>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</si>
  <si>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</si>
  <si>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</si>
  <si>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</si>
  <si>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</si>
  <si>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</si>
  <si>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</si>
  <si>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</si>
  <si>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</si>
  <si>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</si>
  <si>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</si>
  <si>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</si>
  <si>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</si>
  <si>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</si>
  <si>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</si>
  <si>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</si>
  <si>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</si>
  <si>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</si>
  <si>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</si>
  <si>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</si>
  <si>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</si>
  <si>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</si>
  <si>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</si>
  <si>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</si>
  <si>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</si>
  <si>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</si>
  <si>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</si>
  <si>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</si>
  <si>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</si>
  <si>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</si>
  <si>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</si>
  <si>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</si>
  <si>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</si>
  <si>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</si>
  <si>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</si>
  <si>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</si>
  <si>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</si>
  <si>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</si>
  <si>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</si>
  <si>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</si>
  <si>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</si>
  <si>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</si>
  <si>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</si>
  <si>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</si>
  <si>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</si>
  <si>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</si>
  <si>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</si>
  <si>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</si>
  <si>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</si>
  <si>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</si>
  <si>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</si>
  <si>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</si>
  <si>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</si>
  <si>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</si>
  <si>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</si>
  <si>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</si>
  <si>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</si>
  <si>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</si>
  <si>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</si>
  <si>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</si>
  <si>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</si>
  <si>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</si>
  <si>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</si>
  <si>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</si>
  <si>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</si>
  <si>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</si>
  <si>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</si>
  <si>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</si>
  <si>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</si>
  <si>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</si>
  <si>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</si>
  <si>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</si>
  <si>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</si>
  <si>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</si>
  <si>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</si>
  <si>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</si>
  <si>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</si>
  <si>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</si>
  <si>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</si>
  <si>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</si>
  <si>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</si>
  <si>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</si>
  <si>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</si>
  <si>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</si>
  <si>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</si>
  <si>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</si>
  <si>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</si>
  <si>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</si>
  <si>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</si>
  <si>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</si>
  <si>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</si>
  <si>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</si>
  <si>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</si>
  <si>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</si>
  <si>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</si>
  <si>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</si>
  <si>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</si>
  <si>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</si>
  <si>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</si>
  <si>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</si>
  <si>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</si>
  <si>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</si>
  <si>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</si>
  <si>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</si>
  <si>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</si>
  <si>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</si>
  <si>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</si>
  <si>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</si>
  <si>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</si>
  <si>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</si>
  <si>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</si>
  <si>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</si>
  <si>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</si>
  <si>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</si>
  <si>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</si>
  <si>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</si>
  <si>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</si>
  <si>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</si>
  <si>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</si>
  <si>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</si>
  <si>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</si>
  <si>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</si>
  <si>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</si>
  <si>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</si>
  <si>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</si>
  <si>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</si>
  <si>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</si>
  <si>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</si>
  <si>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</si>
  <si>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</si>
  <si>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</si>
  <si>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</si>
  <si>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</si>
  <si>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</si>
  <si>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</si>
  <si>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</si>
  <si>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</si>
  <si>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</si>
  <si>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</si>
  <si>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</si>
  <si>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</si>
  <si>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</si>
  <si>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</si>
  <si>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</si>
  <si>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</si>
  <si>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</si>
  <si>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</si>
  <si>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</si>
  <si>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</si>
  <si>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</si>
  <si>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</si>
  <si>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</si>
  <si>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</si>
  <si>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</si>
  <si>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</si>
  <si>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</si>
  <si>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</si>
  <si>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</si>
  <si>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</si>
  <si>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</si>
  <si>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</si>
  <si>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</si>
  <si>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</si>
  <si>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</si>
  <si>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</si>
  <si>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</si>
  <si>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</si>
  <si>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</si>
  <si>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</si>
  <si>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</si>
  <si>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</si>
  <si>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</si>
  <si>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</si>
  <si>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</si>
  <si>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</si>
  <si>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</si>
  <si>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</si>
  <si>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</si>
  <si>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</si>
  <si>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</si>
  <si>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</si>
  <si>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</si>
  <si>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</si>
  <si>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</si>
  <si>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</si>
  <si>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</si>
  <si>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</si>
  <si>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</si>
  <si>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</si>
  <si>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</si>
  <si>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</si>
  <si>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</si>
  <si>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</si>
  <si>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</si>
  <si>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</si>
  <si>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</si>
  <si>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</si>
  <si>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</si>
  <si>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</si>
  <si>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</si>
  <si>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</si>
  <si>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</si>
  <si>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</si>
  <si>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</si>
  <si>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</si>
  <si>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</si>
  <si>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</si>
  <si>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</si>
  <si>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</si>
  <si>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</si>
  <si>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</si>
  <si>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</si>
  <si>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</si>
  <si>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</si>
  <si>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</si>
  <si>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</si>
  <si>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</si>
  <si>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</si>
  <si>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</si>
  <si>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</si>
  <si>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</si>
  <si>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</si>
  <si>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</si>
  <si>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</si>
  <si>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</si>
  <si>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</si>
  <si>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</si>
  <si>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</si>
  <si>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</si>
  <si>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</si>
  <si>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</si>
  <si>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</si>
  <si>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</si>
  <si>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</si>
  <si>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</si>
  <si>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</si>
  <si>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</si>
  <si>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</si>
  <si>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</si>
  <si>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</si>
  <si>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</si>
  <si>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</si>
  <si>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</si>
  <si>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</si>
  <si>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</si>
  <si>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</si>
  <si>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</si>
  <si>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</si>
  <si>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</si>
  <si>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</si>
  <si>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</si>
  <si>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</si>
  <si>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</si>
  <si>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</si>
  <si>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</si>
  <si>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</si>
  <si>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</si>
  <si>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</si>
  <si>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</si>
  <si>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</si>
  <si>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</si>
  <si>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</si>
  <si>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</si>
  <si>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</si>
  <si>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</si>
  <si>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</si>
  <si>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</si>
  <si>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</si>
  <si>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</si>
  <si>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</si>
  <si>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</si>
  <si>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</si>
  <si>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</si>
  <si>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</si>
  <si>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</si>
  <si>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</si>
  <si>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</si>
  <si>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</si>
  <si>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</si>
  <si>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</si>
  <si>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</si>
  <si>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</si>
  <si>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</si>
  <si>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</si>
  <si>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</si>
  <si>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</si>
  <si>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</si>
  <si>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</si>
  <si>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</si>
  <si>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</si>
  <si>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</si>
  <si>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</si>
  <si>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</si>
  <si>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</si>
  <si>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</si>
  <si>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</si>
  <si>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</si>
  <si>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</si>
  <si>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</si>
  <si>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</si>
  <si>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</si>
  <si>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</si>
  <si>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</si>
  <si>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</si>
  <si>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</si>
  <si>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</si>
  <si>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</si>
  <si>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</si>
  <si>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</si>
  <si>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</si>
  <si>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</si>
  <si>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</si>
  <si>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</si>
  <si>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</si>
  <si>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</si>
  <si>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</si>
  <si>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</si>
  <si>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</si>
  <si>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</si>
  <si>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</si>
  <si>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</si>
  <si>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</si>
  <si>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</si>
  <si>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</si>
  <si>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</si>
  <si>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</si>
  <si>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</si>
  <si>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</si>
  <si>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</si>
  <si>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</si>
  <si>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</si>
  <si>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</si>
  <si>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</si>
  <si>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</si>
  <si>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</si>
  <si>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</si>
  <si>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</si>
  <si>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</si>
  <si>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</si>
  <si>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</si>
  <si>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</si>
  <si>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</si>
  <si>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</si>
  <si>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</si>
  <si>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</si>
  <si>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</si>
  <si>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</si>
  <si>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</si>
  <si>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</si>
  <si>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</si>
  <si>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</si>
  <si>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</si>
  <si>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</si>
  <si>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</si>
  <si>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</si>
  <si>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</si>
  <si>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</si>
  <si>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</si>
  <si>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</si>
  <si>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</si>
  <si>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</si>
  <si>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</si>
  <si>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</si>
  <si>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</si>
  <si>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</si>
  <si>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</si>
  <si>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</si>
  <si>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</si>
  <si>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</si>
  <si>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</si>
  <si>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</si>
  <si>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</si>
  <si>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</si>
  <si>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</si>
  <si>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</si>
  <si>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</si>
  <si>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</si>
  <si>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</si>
  <si>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</si>
  <si>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</si>
  <si>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</si>
  <si>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</si>
  <si>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</si>
  <si>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</si>
  <si>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</si>
  <si>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</si>
  <si>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</si>
  <si>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</si>
  <si>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</si>
  <si>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</si>
  <si>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</si>
  <si>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</si>
  <si>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</si>
  <si>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</si>
  <si>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</si>
  <si>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</si>
  <si>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</si>
  <si>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</si>
  <si>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</si>
  <si>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</si>
  <si>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</si>
  <si>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</si>
  <si>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</si>
  <si>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</si>
  <si>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</si>
  <si>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</si>
  <si>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</si>
  <si>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</si>
  <si>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</si>
  <si>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</si>
  <si>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</si>
  <si>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</si>
  <si>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</si>
  <si>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</si>
  <si>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</si>
  <si>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</si>
  <si>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</si>
  <si>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</si>
  <si>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</si>
  <si>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</si>
  <si>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</si>
  <si>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</si>
  <si>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</si>
  <si>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</si>
  <si>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</si>
  <si>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</si>
  <si>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</si>
  <si>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</si>
  <si>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</si>
  <si>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</si>
  <si>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</si>
  <si>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</si>
  <si>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</si>
  <si>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</si>
  <si>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</si>
  <si>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</si>
  <si>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</si>
  <si>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</si>
  <si>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</si>
  <si>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</si>
  <si>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</si>
  <si>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</si>
  <si>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</si>
  <si>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</si>
  <si>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</si>
  <si>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</si>
  <si>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</si>
  <si>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</si>
  <si>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</si>
  <si>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</si>
  <si>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</si>
  <si>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</si>
  <si>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</si>
  <si>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</si>
  <si>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</si>
  <si>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</si>
  <si>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</si>
  <si>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</si>
  <si>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</si>
  <si>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</si>
  <si>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</si>
  <si>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</si>
  <si>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</si>
  <si>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</si>
  <si>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</si>
  <si>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</si>
  <si>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</si>
  <si>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</si>
  <si>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</si>
  <si>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</si>
  <si>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</si>
  <si>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</si>
  <si>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</si>
  <si>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</si>
  <si>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</si>
  <si>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</si>
  <si>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</si>
  <si>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</si>
  <si>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</si>
  <si>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</si>
  <si>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</si>
  <si>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</si>
  <si>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</si>
  <si>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</si>
  <si>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</si>
  <si>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</si>
  <si>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</si>
  <si>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</si>
  <si>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</si>
  <si>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</si>
  <si>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</si>
  <si>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</si>
  <si>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</si>
  <si>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</si>
  <si>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</si>
  <si>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</si>
  <si>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</si>
  <si>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</si>
  <si>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</si>
  <si>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</si>
  <si>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</si>
  <si>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</si>
  <si>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</si>
  <si>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</si>
  <si>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</si>
  <si>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</si>
  <si>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</si>
  <si>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</si>
  <si>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</si>
  <si>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</si>
  <si>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</si>
  <si>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</si>
  <si>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</si>
  <si>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</si>
  <si>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</si>
  <si>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</si>
  <si>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</si>
  <si>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</si>
  <si>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</si>
  <si>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</si>
  <si>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</si>
  <si>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</si>
  <si>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</si>
  <si>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</si>
  <si>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</si>
  <si>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</si>
  <si>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</si>
  <si>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</si>
  <si>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</si>
  <si>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</si>
  <si>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</si>
  <si>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</si>
  <si>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</si>
  <si>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</si>
  <si>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</si>
  <si>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</si>
  <si>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</si>
  <si>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</si>
  <si>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</si>
  <si>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</si>
  <si>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</si>
  <si>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</si>
  <si>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</si>
  <si>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</si>
  <si>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</si>
  <si>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</si>
  <si>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</si>
  <si>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</si>
  <si>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</si>
  <si>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</si>
  <si>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</si>
  <si>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</si>
  <si>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</si>
  <si>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</si>
  <si>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</si>
  <si>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</si>
  <si>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</si>
  <si>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</si>
  <si>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</si>
  <si>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</si>
  <si>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</si>
  <si>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</si>
  <si>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</si>
  <si>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</si>
  <si>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</si>
  <si>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</si>
  <si>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</si>
  <si>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</si>
  <si>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</si>
  <si>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</si>
  <si>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</si>
  <si>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</si>
  <si>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</si>
  <si>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</si>
  <si>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</si>
  <si>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</si>
  <si>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</si>
  <si>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</si>
  <si>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</si>
  <si>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</si>
  <si>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</si>
  <si>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</si>
  <si>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</si>
  <si>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</si>
  <si>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</si>
  <si>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</si>
  <si>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</si>
  <si>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</si>
  <si>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</si>
  <si>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</si>
  <si>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</si>
  <si>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</si>
  <si>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</si>
  <si>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</si>
  <si>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</si>
  <si>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</si>
  <si>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</si>
  <si>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</si>
  <si>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</si>
  <si>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</si>
  <si>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</si>
  <si>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</si>
  <si>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</si>
  <si>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</si>
  <si>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</si>
  <si>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</si>
  <si>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</si>
  <si>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</si>
  <si>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</si>
  <si>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</si>
  <si>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</si>
  <si>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</si>
  <si>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</si>
  <si>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</si>
  <si>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</si>
  <si>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</si>
  <si>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</si>
  <si>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</si>
  <si>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</si>
  <si>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</si>
  <si>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</si>
  <si>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</si>
  <si>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</si>
  <si>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</si>
  <si>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</si>
  <si>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</si>
  <si>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</si>
  <si>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</si>
  <si>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</si>
  <si>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</si>
  <si>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</si>
  <si>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</si>
  <si>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</si>
  <si>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</si>
  <si>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</si>
  <si>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</si>
  <si>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</si>
  <si>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</si>
  <si>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</si>
  <si>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</si>
  <si>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</si>
  <si>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</si>
  <si>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</si>
  <si>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</si>
  <si>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</si>
  <si>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</si>
  <si>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</si>
  <si>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</si>
  <si>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</si>
  <si>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</si>
  <si>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</si>
  <si>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</si>
  <si>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</si>
  <si>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</si>
  <si>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</si>
  <si>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</si>
  <si>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</si>
  <si>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</si>
  <si>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</si>
  <si>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</si>
  <si>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</si>
  <si>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</si>
  <si>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</si>
  <si>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</si>
  <si>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</si>
  <si>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</si>
  <si>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</si>
  <si>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</si>
  <si>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</si>
  <si>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</si>
  <si>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</si>
  <si>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</si>
  <si>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</si>
  <si>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</si>
  <si>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</si>
  <si>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</si>
  <si>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</si>
  <si>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</si>
  <si>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</si>
  <si>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</si>
  <si>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</si>
  <si>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</si>
  <si>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</si>
  <si>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</si>
  <si>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</si>
  <si>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</si>
  <si>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</si>
  <si>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</si>
  <si>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</si>
  <si>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</si>
  <si>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</si>
  <si>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</si>
  <si>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</si>
  <si>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</si>
  <si>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</si>
  <si>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</si>
  <si>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</si>
  <si>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</si>
  <si>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</si>
  <si>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</si>
  <si>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</si>
  <si>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</si>
  <si>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</si>
  <si>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</si>
  <si>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</si>
  <si>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</si>
  <si>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</si>
  <si>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</si>
  <si>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</si>
  <si>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</si>
  <si>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</si>
  <si>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</si>
  <si>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</si>
  <si>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</si>
  <si>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</si>
  <si>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</si>
  <si>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</si>
  <si>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</si>
  <si>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</si>
  <si>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</si>
  <si>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</si>
  <si>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</si>
  <si>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</si>
  <si>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</si>
  <si>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</si>
  <si>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</si>
  <si>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</si>
  <si>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</si>
  <si>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</si>
  <si>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</si>
  <si>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</si>
  <si>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</si>
  <si>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</si>
  <si>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</si>
  <si>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</si>
  <si>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</si>
  <si>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</si>
  <si>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</si>
  <si>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</si>
  <si>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</si>
  <si>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</si>
  <si>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</si>
  <si>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</si>
  <si>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</si>
  <si>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</si>
  <si>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</si>
  <si>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</si>
  <si>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</si>
  <si>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</si>
  <si>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</si>
  <si>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</si>
  <si>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</si>
  <si>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</si>
  <si>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</si>
  <si>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</si>
  <si>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</si>
  <si>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</si>
  <si>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</si>
  <si>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</si>
  <si>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</si>
  <si>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</si>
  <si>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</si>
  <si>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</si>
  <si>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</si>
  <si>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</si>
  <si>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</si>
  <si>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</si>
  <si>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</si>
  <si>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</si>
  <si>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</si>
  <si>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</si>
  <si>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</si>
  <si>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</si>
  <si>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</si>
  <si>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</si>
  <si>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</si>
  <si>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</si>
  <si>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</si>
  <si>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</si>
  <si>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</si>
  <si>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</si>
  <si>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</si>
  <si>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</si>
  <si>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</si>
  <si>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</si>
  <si>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</si>
  <si>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</si>
  <si>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</si>
  <si>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</si>
  <si>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</si>
  <si>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</si>
  <si>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</si>
  <si>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</si>
  <si>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</si>
  <si>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</si>
  <si>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</si>
  <si>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</si>
  <si>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</si>
  <si>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</si>
  <si>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</si>
  <si>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</si>
  <si>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</si>
  <si>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</si>
  <si>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</si>
  <si>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</si>
  <si>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</si>
  <si>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</si>
  <si>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</si>
  <si>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</si>
  <si>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</si>
  <si>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</si>
  <si>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</si>
  <si>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</si>
  <si>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</si>
  <si>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</si>
  <si>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</si>
  <si>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</si>
  <si>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</si>
  <si>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</si>
  <si>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</si>
  <si>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</si>
  <si>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</si>
  <si>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</si>
  <si>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</si>
  <si>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</si>
  <si>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</si>
  <si>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</si>
  <si>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</si>
  <si>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</si>
  <si>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</si>
  <si>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</si>
  <si>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</si>
  <si>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</si>
  <si>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</si>
  <si>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</si>
  <si>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</si>
  <si>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</si>
  <si>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</si>
  <si>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</si>
  <si>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</si>
  <si>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</si>
  <si>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</si>
  <si>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</si>
  <si>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</si>
  <si>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</si>
  <si>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</si>
  <si>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</si>
  <si>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</si>
  <si>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</si>
  <si>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</si>
  <si>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</si>
  <si>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</si>
  <si>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</si>
  <si>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</si>
  <si>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</si>
  <si>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</si>
  <si>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</si>
  <si>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</si>
  <si>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</si>
  <si>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</si>
  <si>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</si>
  <si>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</si>
  <si>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</si>
  <si>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</si>
  <si>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</si>
  <si>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</si>
  <si>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</si>
  <si>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</si>
  <si>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</si>
  <si>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</si>
  <si>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</si>
  <si>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</si>
  <si>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</si>
  <si>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</si>
  <si>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</si>
  <si>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</si>
  <si>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</si>
  <si>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</si>
  <si>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</si>
  <si>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</si>
  <si>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</si>
  <si>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</si>
  <si>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</si>
  <si>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</si>
  <si>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</si>
  <si>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</si>
  <si>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</si>
  <si>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</si>
  <si>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</si>
  <si>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</si>
  <si>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</si>
  <si>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</si>
  <si>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</si>
  <si>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</si>
  <si>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</si>
  <si>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</si>
  <si>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</si>
  <si>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</si>
  <si>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</si>
  <si>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</si>
  <si>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</si>
  <si>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</si>
  <si>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</si>
  <si>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</si>
  <si>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</si>
  <si>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</si>
  <si>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</si>
  <si>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</si>
  <si>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</si>
  <si>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</si>
  <si>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</si>
  <si>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</si>
  <si>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</si>
  <si>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</si>
  <si>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</si>
  <si>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</si>
  <si>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</si>
  <si>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</si>
  <si>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</si>
  <si>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</si>
  <si>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</si>
  <si>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</si>
  <si>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</si>
  <si>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</si>
  <si>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</si>
  <si>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</si>
  <si>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</si>
  <si>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</si>
  <si>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</si>
  <si>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</si>
  <si>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</si>
  <si>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</si>
  <si>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</si>
  <si>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</si>
  <si>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</si>
  <si>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</si>
  <si>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</si>
  <si>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</si>
  <si>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</si>
  <si>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</si>
  <si>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</si>
  <si>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</si>
  <si>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</si>
  <si>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</si>
  <si>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</si>
  <si>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</si>
  <si>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</si>
  <si>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</si>
  <si>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</si>
  <si>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</si>
  <si>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</si>
  <si>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</si>
  <si>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</si>
  <si>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</si>
  <si>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</si>
  <si>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</si>
  <si>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</si>
  <si>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</si>
  <si>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</si>
  <si>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</si>
  <si>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</si>
  <si>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</si>
  <si>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</si>
  <si>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</si>
  <si>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</si>
  <si>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</si>
  <si>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</si>
  <si>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</si>
  <si>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</si>
  <si>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</si>
  <si>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</si>
  <si>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</si>
  <si>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</si>
  <si>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</si>
  <si>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</si>
  <si>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</si>
  <si>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</si>
  <si>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</si>
  <si>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</si>
  <si>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</si>
  <si>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</si>
  <si>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</si>
  <si>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</si>
  <si>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</si>
  <si>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</si>
  <si>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</si>
  <si>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</si>
  <si>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</si>
  <si>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</si>
  <si>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</si>
  <si>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</si>
  <si>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</si>
  <si>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</si>
  <si>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</si>
  <si>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</si>
  <si>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</si>
  <si>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</si>
  <si>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</si>
  <si>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</si>
  <si>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</si>
  <si>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</si>
  <si>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</si>
  <si>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</si>
  <si>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</si>
  <si>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</si>
  <si>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</si>
  <si>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</si>
  <si>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</si>
  <si>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</si>
  <si>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</si>
  <si>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</si>
  <si>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</si>
  <si>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</si>
  <si>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</si>
  <si>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</si>
  <si>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</si>
  <si>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</si>
  <si>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</si>
  <si>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</si>
  <si>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</si>
  <si>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</si>
  <si>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</si>
  <si>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</si>
  <si>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</si>
  <si>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</si>
  <si>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</si>
  <si>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</si>
  <si>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</si>
  <si>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</si>
  <si>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</si>
  <si>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</si>
  <si>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</si>
  <si>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</si>
  <si>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</si>
  <si>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</si>
  <si>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</si>
  <si>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</si>
  <si>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</si>
  <si>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</si>
  <si>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</si>
  <si>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</si>
  <si>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</si>
  <si>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</si>
  <si>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</si>
  <si>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</si>
  <si>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</si>
  <si>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</si>
  <si>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</si>
  <si>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</si>
  <si>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</si>
  <si>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</si>
  <si>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</si>
  <si>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</si>
  <si>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</si>
  <si>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</si>
  <si>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</si>
  <si>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</si>
  <si>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</si>
  <si>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</si>
  <si>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</si>
  <si>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</si>
  <si>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</si>
  <si>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</si>
  <si>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</si>
  <si>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</si>
  <si>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</si>
  <si>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</si>
  <si>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</si>
  <si>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</si>
  <si>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</si>
  <si>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</si>
  <si>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</si>
  <si>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</si>
  <si>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</si>
  <si>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</si>
  <si>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</si>
  <si>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</si>
  <si>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</si>
  <si>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</si>
  <si>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</si>
  <si>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</si>
  <si>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</si>
  <si>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</si>
  <si>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</si>
  <si>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</si>
  <si>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</si>
  <si>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</si>
  <si>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</si>
  <si>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</si>
  <si>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</si>
  <si>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</si>
  <si>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</si>
  <si>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</si>
  <si>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</si>
  <si>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</si>
  <si>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</si>
  <si>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</si>
  <si>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</si>
  <si>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</si>
  <si>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</si>
  <si>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</si>
  <si>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</si>
  <si>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</si>
  <si>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</si>
  <si>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</si>
  <si>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</si>
  <si>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</si>
  <si>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</si>
  <si>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</si>
  <si>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</si>
  <si>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</si>
  <si>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</si>
  <si>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</si>
  <si>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</si>
  <si>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</si>
  <si>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</si>
  <si>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</si>
  <si>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</si>
  <si>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</si>
  <si>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</si>
  <si>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</si>
  <si>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</si>
  <si>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</si>
  <si>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</si>
  <si>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</si>
  <si>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</si>
  <si>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</si>
  <si>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</si>
  <si>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</si>
  <si>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</si>
  <si>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</si>
  <si>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</si>
  <si>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</si>
  <si>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</si>
  <si>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</si>
  <si>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</si>
  <si>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</si>
  <si>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</si>
  <si>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</si>
  <si>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</si>
  <si>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</si>
  <si>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</si>
  <si>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</si>
  <si>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</si>
  <si>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</si>
  <si>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</si>
  <si>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</si>
  <si>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</si>
  <si>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</si>
  <si>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</si>
  <si>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</si>
  <si>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</si>
  <si>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</si>
  <si>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</si>
  <si>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</si>
  <si>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</si>
  <si>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</si>
  <si>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</si>
  <si>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</si>
  <si>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</si>
  <si>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</si>
  <si>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</si>
  <si>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</si>
  <si>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</si>
  <si>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</si>
  <si>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</si>
  <si>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</si>
  <si>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</si>
  <si>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</si>
  <si>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</si>
  <si>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</si>
  <si>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</si>
  <si>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</si>
  <si>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</si>
  <si>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</si>
  <si>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</si>
  <si>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</si>
  <si>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</si>
  <si>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</si>
  <si>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</si>
  <si>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</si>
  <si>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</si>
  <si>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</si>
  <si>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</si>
  <si>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</si>
  <si>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</si>
  <si>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</si>
  <si>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</si>
  <si>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</si>
  <si>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</si>
  <si>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</si>
  <si>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</si>
  <si>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</si>
  <si>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</si>
  <si>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</si>
  <si>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</si>
  <si>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</si>
  <si>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</si>
  <si>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</si>
  <si>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</si>
  <si>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</si>
  <si>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</si>
  <si>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</si>
  <si>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</si>
  <si>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</si>
  <si>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</si>
  <si>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</si>
  <si>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</si>
  <si>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</si>
  <si>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</si>
  <si>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</si>
  <si>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</si>
  <si>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</si>
  <si>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</si>
  <si>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</si>
  <si>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</si>
  <si>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</si>
  <si>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</si>
  <si>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</si>
  <si>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</si>
  <si>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</si>
  <si>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</si>
  <si>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</si>
  <si>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</si>
  <si>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</si>
  <si>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</si>
  <si>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</si>
  <si>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</si>
  <si>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</si>
  <si>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</si>
  <si>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</si>
  <si>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</si>
  <si>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</si>
  <si>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</si>
  <si>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</si>
  <si>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</si>
  <si>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</si>
  <si>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</si>
  <si>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</si>
  <si>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</si>
  <si>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</si>
  <si>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</si>
  <si>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</si>
  <si>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</si>
  <si>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</si>
  <si>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</si>
  <si>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</si>
  <si>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</si>
  <si>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</si>
  <si>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</si>
  <si>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</si>
  <si>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</si>
  <si>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</si>
  <si>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</si>
  <si>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</si>
  <si>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</si>
  <si>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</si>
  <si>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</si>
  <si>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</si>
  <si>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</si>
  <si>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</si>
  <si>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</si>
  <si>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</si>
  <si>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</si>
  <si>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</si>
  <si>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</si>
  <si>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</si>
  <si>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</si>
  <si>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</si>
  <si>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</si>
  <si>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</si>
  <si>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</si>
  <si>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</si>
  <si>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</si>
  <si>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</si>
  <si>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</si>
  <si>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</si>
  <si>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</si>
  <si>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</si>
  <si>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</si>
  <si>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</si>
  <si>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</si>
  <si>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</si>
  <si>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</si>
  <si>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</si>
  <si>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</si>
  <si>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</si>
  <si>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</si>
  <si>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</si>
  <si>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</si>
  <si>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</si>
  <si>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</si>
  <si>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</si>
  <si>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</si>
  <si>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</si>
  <si>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</si>
  <si>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</si>
  <si>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</si>
  <si>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</si>
  <si>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</si>
  <si>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</si>
  <si>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</si>
  <si>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</si>
  <si>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</si>
  <si>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</si>
  <si>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</si>
  <si>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</si>
  <si>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</si>
  <si>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</si>
  <si>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</si>
  <si>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</si>
  <si>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</si>
  <si>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</si>
  <si>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</si>
  <si>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</si>
  <si>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</si>
  <si>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</si>
  <si>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</si>
  <si>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</si>
  <si>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</si>
  <si>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</si>
  <si>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</si>
  <si>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</si>
  <si>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</si>
  <si>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</si>
  <si>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</si>
  <si>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</si>
  <si>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</si>
  <si>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</si>
  <si>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</si>
  <si>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</si>
  <si>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</si>
  <si>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</si>
  <si>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</si>
  <si>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</si>
  <si>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</si>
  <si>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</si>
  <si>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</si>
  <si>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</si>
  <si>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</si>
  <si>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</si>
  <si>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</si>
  <si>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</si>
  <si>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</si>
  <si>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</si>
  <si>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</si>
  <si>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</si>
  <si>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</si>
  <si>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</si>
  <si>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</si>
  <si>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</si>
  <si>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</si>
  <si>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</si>
  <si>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</si>
  <si>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</si>
  <si>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</si>
  <si>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</si>
  <si>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</si>
  <si>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</si>
  <si>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</si>
  <si>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</si>
  <si>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</si>
  <si>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</si>
  <si>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</si>
  <si>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</si>
  <si>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</si>
  <si>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</si>
  <si>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</si>
  <si>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</si>
  <si>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</si>
  <si>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</si>
  <si>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</si>
  <si>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</si>
  <si>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</si>
  <si>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</si>
  <si>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</si>
  <si>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</si>
  <si>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</si>
  <si>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</si>
  <si>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</si>
  <si>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</si>
  <si>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</si>
  <si>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</si>
  <si>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</si>
  <si>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</si>
  <si>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</si>
  <si>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</si>
  <si>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</si>
  <si>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</si>
  <si>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</si>
  <si>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</si>
  <si>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</si>
  <si>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</si>
  <si>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</si>
  <si>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</si>
  <si>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</si>
  <si>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</si>
  <si>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</si>
  <si>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</si>
  <si>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</si>
  <si>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</si>
  <si>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</si>
  <si>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</si>
  <si>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</si>
  <si>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</si>
  <si>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</si>
  <si>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</si>
  <si>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</si>
  <si>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</si>
  <si>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</si>
  <si>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</si>
  <si>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</si>
  <si>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</si>
  <si>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</si>
  <si>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</si>
  <si>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</si>
  <si>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</si>
  <si>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</si>
  <si>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</si>
  <si>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</si>
  <si>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</si>
  <si>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</si>
  <si>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</si>
  <si>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</si>
  <si>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</si>
  <si>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</si>
  <si>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</si>
  <si>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</si>
  <si>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</si>
  <si>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</si>
  <si>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</si>
  <si>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</si>
  <si>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</si>
  <si>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</si>
  <si>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</si>
  <si>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</si>
  <si>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</si>
  <si>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</si>
  <si>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</si>
  <si>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</si>
  <si>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</si>
  <si>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</si>
  <si>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</si>
  <si>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</si>
  <si>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</si>
  <si>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</si>
  <si>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</si>
  <si>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</si>
  <si>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</si>
  <si>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</si>
  <si>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</si>
  <si>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</si>
  <si>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</si>
  <si>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</si>
  <si>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</si>
  <si>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</si>
  <si>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</si>
  <si>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</si>
  <si>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</si>
  <si>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</si>
  <si>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</si>
  <si>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</si>
  <si>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</si>
  <si>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</si>
  <si>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</si>
  <si>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</si>
  <si>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</si>
  <si>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</si>
  <si>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</si>
  <si>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</si>
  <si>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</si>
  <si>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</si>
  <si>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</si>
  <si>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</si>
  <si>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</si>
  <si>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</si>
  <si>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</si>
  <si>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</si>
  <si>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</si>
  <si>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</si>
  <si>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</si>
  <si>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</si>
  <si>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</si>
  <si>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</si>
  <si>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</si>
  <si>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</si>
  <si>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</si>
  <si>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</si>
  <si>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</si>
  <si>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</si>
  <si>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</si>
  <si>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</si>
  <si>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</si>
  <si>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</si>
  <si>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</si>
  <si>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</si>
  <si>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</si>
  <si>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</si>
  <si>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</si>
  <si>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</si>
  <si>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</si>
  <si>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</si>
  <si>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</si>
  <si>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</si>
  <si>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</si>
  <si>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</si>
  <si>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</si>
  <si>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</si>
  <si>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</si>
  <si>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</si>
  <si>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</si>
  <si>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</si>
  <si>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</si>
  <si>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</si>
  <si>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</si>
  <si>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</si>
  <si>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</si>
  <si>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</si>
  <si>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</si>
  <si>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</si>
  <si>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</si>
  <si>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</si>
  <si>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</si>
  <si>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</si>
  <si>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</si>
  <si>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</si>
  <si>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</si>
  <si>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</si>
  <si>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</si>
  <si>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</si>
  <si>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</si>
  <si>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</si>
  <si>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</si>
  <si>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</si>
  <si>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</si>
  <si>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</si>
  <si>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</si>
  <si>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</si>
  <si>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</si>
  <si>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</si>
  <si>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</si>
  <si>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</si>
  <si>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</si>
  <si>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</si>
  <si>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</si>
  <si>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</si>
  <si>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</si>
  <si>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</si>
  <si>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</si>
  <si>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</si>
  <si>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</si>
  <si>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</si>
  <si>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</si>
  <si>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</si>
  <si>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</si>
  <si>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</si>
  <si>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</si>
  <si>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</si>
  <si>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</si>
  <si>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</si>
  <si>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</si>
  <si>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</si>
  <si>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</si>
  <si>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</si>
  <si>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</si>
  <si>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</si>
  <si>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</si>
  <si>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</si>
  <si>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</si>
  <si>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</si>
  <si>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</si>
  <si>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</si>
  <si>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</si>
  <si>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</si>
  <si>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</si>
  <si>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</si>
  <si>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</si>
  <si>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</si>
  <si>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</si>
  <si>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</si>
  <si>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</si>
  <si>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</si>
  <si>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</si>
  <si>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</si>
  <si>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</si>
  <si>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</si>
  <si>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</si>
  <si>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</si>
  <si>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</si>
  <si>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</si>
  <si>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</si>
  <si>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</si>
  <si>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</si>
  <si>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</si>
  <si>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</si>
  <si>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</si>
  <si>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</si>
  <si>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</si>
  <si>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</si>
  <si>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</si>
  <si>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</si>
  <si>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</si>
  <si>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</si>
  <si>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</si>
  <si>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</si>
  <si>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</si>
  <si>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</si>
  <si>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</si>
  <si>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</si>
  <si>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</si>
  <si>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</si>
  <si>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</si>
  <si>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</si>
  <si>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</si>
  <si>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</si>
  <si>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</si>
  <si>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</si>
  <si>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</si>
  <si>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</si>
  <si>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</si>
  <si>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</si>
  <si>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</si>
  <si>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</si>
  <si>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</si>
  <si>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</si>
  <si>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</si>
  <si>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</si>
  <si>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</si>
  <si>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</si>
  <si>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</si>
  <si>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</si>
  <si>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</si>
  <si>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</si>
  <si>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</si>
  <si>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</si>
  <si>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</si>
  <si>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</si>
  <si>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</si>
  <si>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</si>
  <si>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</si>
  <si>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</si>
  <si>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</si>
  <si>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</si>
  <si>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</si>
  <si>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</si>
  <si>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</si>
  <si>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</si>
  <si>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</si>
  <si>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</si>
  <si>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</si>
  <si>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</si>
  <si>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</si>
  <si>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</si>
  <si>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</si>
  <si>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</si>
  <si>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</si>
  <si>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</si>
  <si>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</si>
  <si>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</si>
  <si>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</si>
  <si>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</si>
  <si>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</si>
  <si>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</si>
  <si>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</si>
  <si>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</si>
  <si>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</si>
  <si>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</si>
  <si>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</si>
  <si>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</si>
  <si>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</si>
  <si>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</si>
  <si>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</si>
  <si>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</si>
  <si>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</si>
  <si>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</si>
  <si>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</si>
  <si>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</si>
  <si>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</si>
  <si>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</si>
  <si>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</si>
  <si>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</si>
  <si>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</si>
  <si>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</si>
  <si>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</si>
  <si>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</si>
  <si>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</si>
  <si>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</si>
  <si>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</si>
  <si>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</si>
  <si>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</si>
  <si>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</si>
  <si>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</si>
  <si>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</si>
  <si>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</si>
  <si>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</si>
  <si>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</si>
  <si>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</si>
  <si>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</si>
  <si>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</si>
  <si>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</si>
  <si>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</si>
  <si>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</si>
  <si>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</si>
  <si>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</si>
  <si>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</si>
  <si>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</si>
  <si>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</si>
  <si>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</si>
  <si>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</si>
  <si>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</si>
  <si>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</si>
  <si>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</si>
  <si>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</si>
  <si>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</si>
  <si>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</si>
  <si>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</si>
  <si>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</si>
  <si>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</si>
  <si>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</si>
  <si>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</si>
  <si>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</si>
  <si>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</si>
  <si>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</si>
  <si>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</si>
  <si>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</si>
  <si>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</si>
  <si>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</si>
  <si>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</si>
  <si>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</si>
  <si>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</si>
  <si>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</si>
  <si>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</si>
  <si>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</si>
  <si>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</si>
  <si>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</si>
  <si>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</si>
  <si>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</si>
  <si>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</si>
  <si>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</si>
  <si>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</si>
  <si>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</si>
  <si>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</si>
  <si>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</si>
  <si>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</si>
  <si>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</si>
  <si>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</si>
  <si>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</si>
  <si>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</si>
  <si>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</si>
  <si>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</si>
  <si>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</si>
  <si>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</si>
  <si>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</si>
  <si>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</si>
  <si>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</si>
  <si>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</si>
  <si>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</si>
  <si>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</si>
  <si>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</si>
  <si>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</si>
  <si>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</si>
  <si>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</si>
  <si>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</si>
  <si>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</si>
  <si>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</si>
  <si>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</si>
  <si>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</si>
  <si>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</si>
  <si>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</si>
  <si>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</si>
  <si>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</si>
  <si>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</si>
  <si>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</si>
  <si>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</si>
  <si>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</si>
  <si>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</si>
  <si>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</si>
  <si>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</si>
  <si>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</si>
  <si>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</si>
  <si>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</si>
  <si>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</si>
  <si>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</si>
  <si>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</si>
  <si>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</si>
  <si>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</si>
  <si>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</si>
  <si>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</si>
  <si>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</si>
  <si>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</si>
  <si>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</si>
  <si>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</si>
  <si>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</si>
  <si>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</si>
  <si>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</si>
  <si>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</si>
  <si>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</si>
  <si>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</si>
  <si>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</si>
  <si>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</si>
  <si>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</si>
  <si>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</si>
  <si>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</si>
  <si>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</si>
  <si>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</si>
  <si>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</si>
  <si>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</si>
  <si>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</si>
  <si>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</si>
  <si>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</si>
  <si>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</si>
  <si>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</si>
  <si>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</si>
  <si>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</si>
  <si>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</si>
  <si>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</si>
  <si>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</si>
  <si>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</si>
  <si>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</si>
  <si>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</si>
  <si>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</si>
  <si>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</si>
  <si>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</si>
  <si>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</si>
  <si>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</si>
  <si>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</si>
  <si>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</si>
  <si>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</si>
  <si>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</si>
  <si>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</si>
  <si>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</si>
  <si>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</si>
  <si>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</si>
  <si>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</si>
  <si>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</si>
  <si>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</si>
  <si>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</si>
  <si>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</si>
  <si>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</si>
  <si>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</si>
  <si>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</si>
  <si>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</si>
  <si>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</si>
  <si>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</si>
  <si>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</si>
  <si>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</si>
  <si>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</si>
  <si>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</si>
  <si>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</si>
  <si>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</si>
  <si>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</si>
  <si>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</si>
  <si>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</si>
  <si>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</si>
  <si>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</si>
  <si>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</si>
  <si>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</si>
  <si>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</si>
  <si>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</si>
  <si>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</si>
  <si>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</si>
  <si>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</si>
  <si>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</si>
  <si>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</si>
  <si>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</si>
  <si>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</si>
  <si>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</si>
  <si>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</si>
  <si>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</si>
  <si>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</si>
  <si>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</si>
  <si>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</si>
  <si>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</si>
  <si>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</si>
  <si>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</si>
  <si>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</si>
  <si>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</si>
  <si>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</si>
  <si>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</si>
  <si>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</si>
  <si>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</si>
  <si>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</si>
  <si>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</si>
  <si>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</si>
  <si>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</si>
  <si>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</si>
  <si>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</si>
  <si>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</si>
  <si>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</si>
  <si>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</si>
  <si>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</si>
  <si>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</si>
  <si>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</si>
  <si>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</si>
  <si>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</si>
  <si>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</si>
  <si>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</si>
  <si>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</si>
  <si>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</si>
  <si>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</si>
  <si>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</si>
  <si>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</si>
  <si>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</si>
  <si>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</si>
  <si>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</si>
  <si>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</si>
  <si>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</si>
  <si>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</si>
  <si>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</si>
  <si>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</si>
  <si>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</si>
  <si>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</si>
  <si>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</si>
  <si>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</si>
  <si>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</si>
  <si>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</si>
  <si>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</si>
  <si>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</si>
  <si>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</si>
  <si>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</si>
  <si>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</si>
  <si>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</si>
  <si>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</si>
  <si>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</si>
  <si>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</si>
  <si>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</si>
  <si>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</si>
  <si>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</si>
  <si>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</si>
  <si>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</si>
  <si>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</si>
  <si>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</si>
  <si>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</si>
  <si>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</si>
  <si>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</si>
  <si>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</si>
  <si>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</si>
  <si>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</si>
  <si>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</si>
  <si>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</si>
  <si>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</si>
  <si>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</si>
  <si>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</si>
  <si>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</si>
  <si>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</si>
  <si>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</si>
  <si>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</si>
  <si>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</si>
  <si>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</si>
  <si>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</si>
  <si>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</si>
  <si>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</si>
  <si>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</si>
  <si>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</si>
  <si>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</si>
  <si>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</si>
  <si>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</si>
  <si>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</si>
  <si>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</si>
  <si>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</si>
  <si>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</si>
  <si>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</si>
  <si>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</si>
  <si>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</si>
  <si>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</si>
  <si>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</si>
  <si>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</si>
  <si>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</si>
  <si>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</si>
  <si>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</si>
  <si>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</si>
  <si>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</si>
  <si>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</si>
  <si>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</si>
  <si>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</si>
  <si>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</si>
  <si>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</si>
  <si>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</si>
  <si>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</si>
  <si>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</si>
  <si>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</si>
  <si>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</si>
  <si>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</si>
  <si>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</si>
  <si>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</si>
  <si>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</si>
  <si>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</si>
  <si>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</si>
  <si>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</si>
  <si>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</si>
  <si>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</si>
  <si>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</si>
  <si>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</si>
  <si>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</si>
  <si>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</si>
  <si>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</si>
  <si>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</si>
  <si>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</si>
  <si>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</si>
  <si>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</si>
  <si>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</si>
  <si>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</si>
  <si>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</si>
  <si>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</si>
  <si>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</si>
  <si>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</si>
  <si>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</si>
  <si>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</si>
  <si>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</si>
  <si>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</si>
  <si>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</si>
  <si>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</si>
  <si>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</si>
  <si>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</si>
  <si>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</si>
  <si>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</si>
  <si>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</si>
  <si>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</si>
  <si>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</si>
  <si>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</si>
  <si>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</si>
  <si>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</si>
  <si>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</si>
  <si>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</si>
  <si>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</si>
  <si>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</si>
  <si>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</si>
  <si>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</si>
  <si>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</si>
  <si>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</si>
  <si>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</si>
  <si>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</si>
  <si>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</si>
  <si>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</si>
  <si>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</si>
  <si>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</si>
  <si>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</si>
  <si>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</si>
  <si>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</si>
  <si>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</si>
  <si>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</si>
  <si>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</si>
  <si>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</si>
  <si>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</si>
  <si>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</si>
  <si>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</si>
  <si>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</si>
  <si>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</si>
  <si>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</si>
  <si>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</si>
  <si>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</si>
  <si>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</si>
  <si>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</si>
  <si>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</si>
  <si>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</si>
  <si>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</si>
  <si>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</si>
  <si>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</si>
  <si>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</si>
  <si>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</si>
  <si>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</si>
  <si>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</si>
  <si>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</si>
  <si>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</si>
  <si>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</si>
  <si>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</si>
  <si>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</si>
  <si>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</si>
  <si>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</si>
  <si>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</si>
  <si>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</si>
  <si>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</si>
  <si>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</si>
  <si>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</si>
  <si>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郑燚</t>
  </si>
  <si>
    <t>崔锴</t>
  </si>
  <si>
    <t>抵押价格</t>
  </si>
  <si>
    <t>企业</t>
  </si>
  <si>
    <t>地上</t>
  </si>
  <si>
    <t>地下</t>
  </si>
  <si>
    <t>是</t>
  </si>
  <si>
    <t>平层住宅</t>
  </si>
  <si>
    <t>地块名称</t>
  </si>
  <si>
    <t>地块编号</t>
  </si>
  <si>
    <t>板块</t>
  </si>
  <si>
    <t>土地位置</t>
  </si>
  <si>
    <t>建设用地面积(㎡)</t>
  </si>
  <si>
    <t>规划建筑面积(㎡)</t>
  </si>
  <si>
    <t>详细规划</t>
  </si>
  <si>
    <t>集中供地</t>
  </si>
  <si>
    <t>特殊住房类型</t>
  </si>
  <si>
    <t>成交自住房面积(㎡)</t>
  </si>
  <si>
    <t>成交日期</t>
  </si>
  <si>
    <t>受让单位</t>
  </si>
  <si>
    <t>拿地企业</t>
  </si>
  <si>
    <t>企业性质</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</si>
  <si>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</si>
  <si>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</si>
  <si>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</si>
  <si>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</si>
  <si>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</si>
  <si>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</si>
  <si>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</si>
  <si>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</si>
  <si>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</si>
  <si>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</si>
  <si>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</si>
  <si>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拿地市政</t>
    <phoneticPr fontId="224" type="noConversion"/>
  </si>
  <si>
    <t>形状</t>
    <phoneticPr fontId="224" type="noConversion"/>
  </si>
  <si>
    <t>幼儿园面积</t>
    <phoneticPr fontId="224" type="noConversion"/>
  </si>
  <si>
    <t>公共租赁住房</t>
    <phoneticPr fontId="224" type="noConversion"/>
  </si>
  <si>
    <t>回购价</t>
    <phoneticPr fontId="224" type="noConversion"/>
  </si>
  <si>
    <t>居住自持</t>
    <phoneticPr fontId="224" type="noConversion"/>
  </si>
  <si>
    <t>北京市房山区良乡大学城主园区FS00-0120-0023地块R2二类居住用地</t>
  </si>
  <si>
    <t>京土储挂(房)[2022]077号</t>
  </si>
  <si>
    <t xml:space="preserve"> 长阳</t>
  </si>
  <si>
    <t xml:space="preserve"> 良乡高教园区</t>
  </si>
  <si>
    <t xml:space="preserve"> R2二类居住用地</t>
  </si>
  <si>
    <t xml:space="preserve">2022年第5批次 </t>
  </si>
  <si>
    <t xml:space="preserve"> --</t>
  </si>
  <si>
    <t xml:space="preserve"> 中建智地置业有限公司  </t>
  </si>
  <si>
    <t xml:space="preserve"> 中建一局</t>
  </si>
  <si>
    <t xml:space="preserve"> 中央国有企业</t>
  </si>
  <si>
    <t xml:space="preserve"> 住宅70年</t>
  </si>
  <si>
    <t xml:space="preserve"> 未触达</t>
  </si>
  <si>
    <t>六通一平</t>
    <phoneticPr fontId="224" type="noConversion"/>
  </si>
  <si>
    <t>规则</t>
    <phoneticPr fontId="224" type="noConversion"/>
  </si>
  <si>
    <t>无</t>
    <phoneticPr fontId="224" type="noConversion"/>
  </si>
  <si>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</si>
  <si>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</si>
  <si>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</si>
  <si>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</si>
  <si>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</si>
  <si>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2022年第3批次 </t>
  </si>
  <si>
    <t xml:space="preserve"> 北京安顺园房地产开发有限公司  </t>
  </si>
  <si>
    <t xml:space="preserve"> 北京东方亚联投资有限公司,首创置业</t>
  </si>
  <si>
    <t xml:space="preserve"> 地方国有企业</t>
  </si>
  <si>
    <t xml:space="preserve"> 住宅70年教育50年</t>
  </si>
  <si>
    <t>临时三通一平</t>
    <phoneticPr fontId="224" type="noConversion"/>
  </si>
  <si>
    <t>不规则</t>
    <phoneticPr fontId="224" type="noConversion"/>
  </si>
  <si>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</si>
  <si>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</si>
  <si>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</si>
  <si>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</si>
  <si>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</si>
  <si>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北京建工地产有限责任公司  </t>
  </si>
  <si>
    <t xml:space="preserve"> 北京建工</t>
  </si>
  <si>
    <t xml:space="preserve"> -- </t>
  </si>
  <si>
    <t>北京市房山区拱辰街道办事处FS00-LX05-0045地块R2二类居住用地</t>
  </si>
  <si>
    <t>京土储挂(房)[2022]014号</t>
  </si>
  <si>
    <t xml:space="preserve"> 房山区拱辰街道办事处</t>
  </si>
  <si>
    <t xml:space="preserve">2022年第1批次 </t>
  </si>
  <si>
    <t xml:space="preserve"> 70年</t>
  </si>
  <si>
    <t>北京市房山区拱辰街道FS00-0111-0017,0019地块R2二类居住用地(配建“保障性租赁住房”)</t>
  </si>
  <si>
    <t>京土整储挂(房)[2021]084号</t>
  </si>
  <si>
    <t xml:space="preserve"> 房山区拱辰街道东羊庄村</t>
  </si>
  <si>
    <t xml:space="preserve">2021年第3批次 </t>
  </si>
  <si>
    <t xml:space="preserve"> 保障性租赁住房</t>
  </si>
  <si>
    <t xml:space="preserve"> 居住70年,商业40年,办公54年</t>
  </si>
  <si>
    <t xml:space="preserve"> 触达</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</si>
  <si>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</si>
  <si>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</si>
  <si>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</si>
  <si>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</si>
  <si>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2021年第2批次 </t>
  </si>
  <si>
    <t xml:space="preserve"> 居住70年,教育50年</t>
  </si>
  <si>
    <t>四通一平</t>
    <phoneticPr fontId="224" type="noConversion"/>
  </si>
  <si>
    <t>规则</t>
    <phoneticPr fontId="224" type="noConversion"/>
  </si>
  <si>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</si>
  <si>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</si>
  <si>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</si>
  <si>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</si>
  <si>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北京城建房地产开发有限公司  </t>
  </si>
  <si>
    <t xml:space="preserve"> 城建发展</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</si>
  <si>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</si>
  <si>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</si>
  <si>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</si>
  <si>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</si>
  <si>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</si>
  <si>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</si>
  <si>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2021年第1批次 </t>
  </si>
  <si>
    <t xml:space="preserve"> 公共租赁房</t>
  </si>
  <si>
    <t xml:space="preserve"> 北京首都开发股份有限公司  </t>
  </si>
  <si>
    <t xml:space="preserve"> 首开股份</t>
  </si>
  <si>
    <t xml:space="preserve"> 居住70年、商业40年、办公50年</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</si>
  <si>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</si>
  <si>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</si>
  <si>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</si>
  <si>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</si>
  <si>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t>
  </si>
  <si>
    <t xml:space="preserve"> 北京鑫汇房地产开发有限公司  </t>
  </si>
  <si>
    <t xml:space="preserve"> 金地集团</t>
  </si>
  <si>
    <t xml:space="preserve"> 混合所有制</t>
  </si>
  <si>
    <t>七通一平</t>
    <phoneticPr fontId="224" type="noConversion"/>
  </si>
  <si>
    <t>较规则</t>
    <phoneticPr fontId="224" type="noConversion"/>
  </si>
  <si>
    <t>北京市房山区轨道交通房山线稻田站02-5-09地块R2二类居住用地</t>
  </si>
  <si>
    <t>京土整储挂(房)[2020]025号</t>
  </si>
  <si>
    <t xml:space="preserve"> ≤2.4</t>
  </si>
  <si>
    <t xml:space="preserve"> 北京中海地产有限公司  </t>
  </si>
  <si>
    <t xml:space="preserve"> 中海地产</t>
  </si>
  <si>
    <t xml:space="preserve"> 居住70年</t>
  </si>
  <si>
    <t>北京市房山区拱辰街道办事处FS00-LX05-0046、0056地块R2二类居住用地</t>
  </si>
  <si>
    <t>京土整储挂(房)[2020]018号</t>
  </si>
  <si>
    <t xml:space="preserve"> ≤1.6</t>
  </si>
  <si>
    <t xml:space="preserve"> 中建一局集团房地产开发有限公司 、北京市城投嘉业房地产开发有限责任公司联合体  </t>
  </si>
  <si>
    <t>北京市房山区良乡镇FS04-0100-6056等地块R2二类居住用地、B11零售商业用地</t>
  </si>
  <si>
    <t>京土整储挂(房)[2020]008号</t>
  </si>
  <si>
    <t xml:space="preserve"> 房山区良乡镇</t>
  </si>
  <si>
    <t xml:space="preserve"> 6056地块≤2,6058、6053地块≤2.5</t>
  </si>
  <si>
    <t xml:space="preserve"> R2二类居住用地、B11零售商业用地</t>
  </si>
  <si>
    <t xml:space="preserve"> 北京恒世投资有限公司  </t>
  </si>
  <si>
    <t xml:space="preserve"> 中国恒大</t>
  </si>
  <si>
    <t xml:space="preserve"> 民营企业</t>
  </si>
  <si>
    <t>北京市房山区良乡镇FS04-0100-6076等地块R2二类居住用地、A33基础教育用地、F3其他类多功能用地</t>
  </si>
  <si>
    <t>京土整储挂(房)[2019]036号</t>
  </si>
  <si>
    <t xml:space="preserve"> fs04-0100-6076、6077、6078≤2.3,6084、6085≤2.2,a33≤0.8,f3≤3</t>
  </si>
  <si>
    <t xml:space="preserve"> R2二类居住用地、A33基础教育用地、F3其他类多功能用地</t>
  </si>
  <si>
    <t xml:space="preserve"> 北京骏祥企业管理咨询有限公司  </t>
  </si>
  <si>
    <t xml:space="preserve"> 中骏集团控股</t>
  </si>
  <si>
    <t>北京市房山区拱辰街道FS00-LX09-6001地块R2二类居住用地、FS00-LX09-6003地块A33基础教育用地</t>
  </si>
  <si>
    <t>京土整储挂(房)[2019]032号</t>
  </si>
  <si>
    <t xml:space="preserve"> r2≤2.15,a33≤0.8</t>
  </si>
  <si>
    <t xml:space="preserve"> 北京茂越企业管理有限公司  </t>
  </si>
  <si>
    <t xml:space="preserve"> 世茂集团</t>
  </si>
  <si>
    <t>北京市房山区拱辰街道17-02-10地块F1住宅混合公建用地、17-02-09地块A33基础教育用地</t>
  </si>
  <si>
    <t>京土整储挂(房)[2018]030号</t>
  </si>
  <si>
    <t xml:space="preserve"> F1住宅混合公建用地、A33基础教育用地</t>
  </si>
  <si>
    <t xml:space="preserve"> 北京华发创盛置业有限公司  </t>
  </si>
  <si>
    <t xml:space="preserve"> 华发股份</t>
  </si>
  <si>
    <t>售价</t>
  </si>
  <si>
    <t>禧悦首府</t>
    <phoneticPr fontId="3" type="noConversion"/>
  </si>
  <si>
    <t>房山区长阳</t>
    <phoneticPr fontId="3" type="noConversion"/>
  </si>
  <si>
    <t>车库</t>
    <phoneticPr fontId="27" type="noConversion"/>
  </si>
  <si>
    <t>正常</t>
  </si>
  <si>
    <t>40-50</t>
    <phoneticPr fontId="27" type="noConversion"/>
  </si>
  <si>
    <t>一般</t>
  </si>
  <si>
    <t>较好</t>
  </si>
  <si>
    <t>七通</t>
  </si>
  <si>
    <t>地下</t>
    <phoneticPr fontId="27" type="noConversion"/>
  </si>
  <si>
    <t>精装</t>
  </si>
  <si>
    <t>精装</t>
    <phoneticPr fontId="27" type="noConversion"/>
  </si>
  <si>
    <t>普装</t>
    <phoneticPr fontId="27" type="noConversion"/>
  </si>
  <si>
    <t>简装</t>
    <phoneticPr fontId="27" type="noConversion"/>
  </si>
  <si>
    <t>毛坯</t>
    <phoneticPr fontId="27" type="noConversion"/>
  </si>
  <si>
    <t>专业</t>
  </si>
  <si>
    <t>专业</t>
    <phoneticPr fontId="27" type="noConversion"/>
  </si>
  <si>
    <t>平面</t>
  </si>
  <si>
    <t>平面</t>
    <phoneticPr fontId="27" type="noConversion"/>
  </si>
  <si>
    <t>否</t>
  </si>
  <si>
    <t>否</t>
    <phoneticPr fontId="27" type="noConversion"/>
  </si>
  <si>
    <t>住宅</t>
    <phoneticPr fontId="26" type="noConversion"/>
  </si>
  <si>
    <t>六通</t>
  </si>
  <si>
    <t>五通</t>
  </si>
  <si>
    <t>四通</t>
  </si>
  <si>
    <t>三通</t>
  </si>
  <si>
    <t>好</t>
  </si>
  <si>
    <t>较差</t>
  </si>
  <si>
    <t>差</t>
  </si>
  <si>
    <t>规则</t>
  </si>
  <si>
    <t>规则</t>
    <phoneticPr fontId="26" type="noConversion"/>
  </si>
  <si>
    <t>较不规则</t>
    <phoneticPr fontId="26" type="noConversion"/>
  </si>
  <si>
    <t>较规则</t>
  </si>
  <si>
    <t>较规则</t>
    <phoneticPr fontId="26" type="noConversion"/>
  </si>
  <si>
    <t>不规则</t>
    <phoneticPr fontId="26" type="noConversion"/>
  </si>
  <si>
    <t>楼面地价</t>
  </si>
  <si>
    <t>住宅</t>
    <phoneticPr fontId="7" type="noConversion"/>
  </si>
  <si>
    <t>利息：取LPR加浮动点数</t>
  </si>
  <si>
    <t>无</t>
    <phoneticPr fontId="26" type="noConversion"/>
  </si>
  <si>
    <t>无</t>
    <phoneticPr fontId="26" type="noConversion"/>
  </si>
  <si>
    <t>公租房</t>
    <phoneticPr fontId="26" type="noConversion"/>
  </si>
  <si>
    <t>是否有自持</t>
    <phoneticPr fontId="26" type="noConversion"/>
  </si>
  <si>
    <t>有</t>
  </si>
  <si>
    <t>有</t>
    <phoneticPr fontId="26" type="noConversion"/>
  </si>
  <si>
    <t>70</t>
    <phoneticPr fontId="26" type="noConversion"/>
  </si>
  <si>
    <t>较适宜</t>
  </si>
  <si>
    <t>较适宜</t>
    <phoneticPr fontId="26" type="noConversion"/>
  </si>
  <si>
    <t>适宜</t>
    <phoneticPr fontId="26" type="noConversion"/>
  </si>
  <si>
    <t>较不适宜</t>
    <phoneticPr fontId="26" type="noConversion"/>
  </si>
  <si>
    <t>不适宜</t>
    <phoneticPr fontId="26" type="noConversion"/>
  </si>
  <si>
    <t>仓储</t>
    <phoneticPr fontId="27" type="noConversion"/>
  </si>
  <si>
    <t>60-70（含）</t>
  </si>
  <si>
    <t>50-60（含）</t>
  </si>
  <si>
    <t>40-50（含）</t>
  </si>
  <si>
    <t>30-40（含）</t>
  </si>
  <si>
    <t>20-30（含）</t>
  </si>
  <si>
    <t>10-20（含）</t>
  </si>
  <si>
    <t>0-10（含）</t>
  </si>
  <si>
    <t>-</t>
  </si>
  <si>
    <t>普装</t>
    <phoneticPr fontId="27" type="noConversion"/>
  </si>
  <si>
    <t>有</t>
    <phoneticPr fontId="27" type="noConversion"/>
  </si>
  <si>
    <t>是</t>
    <phoneticPr fontId="27" type="noConversion"/>
  </si>
  <si>
    <r>
      <t>40-50</t>
    </r>
    <r>
      <rPr>
        <sz val="11"/>
        <color indexed="8"/>
        <rFont val="宋体"/>
        <family val="3"/>
        <charset val="134"/>
      </rPr>
      <t>（含）</t>
    </r>
    <phoneticPr fontId="27" type="noConversion"/>
  </si>
  <si>
    <t>地下</t>
    <phoneticPr fontId="27" type="noConversion"/>
  </si>
  <si>
    <t>精装</t>
    <phoneticPr fontId="27" type="noConversion"/>
  </si>
  <si>
    <t>北京华发·中央公园</t>
    <phoneticPr fontId="3" type="noConversion"/>
  </si>
  <si>
    <t>首开·熙悦山</t>
    <phoneticPr fontId="3" type="noConversion"/>
  </si>
  <si>
    <t>中海金樾和著</t>
    <phoneticPr fontId="3" type="noConversion"/>
  </si>
  <si>
    <t>住宅</t>
    <phoneticPr fontId="21" type="noConversion"/>
  </si>
  <si>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</si>
  <si>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</si>
  <si>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</si>
  <si>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</si>
  <si>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</si>
  <si>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</si>
  <si>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</si>
  <si>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简装</t>
  </si>
  <si>
    <t>毛坯</t>
  </si>
  <si>
    <t>平层</t>
  </si>
  <si>
    <t>平层</t>
    <phoneticPr fontId="21" type="noConversion"/>
  </si>
  <si>
    <t>小高层</t>
  </si>
  <si>
    <t>钢混</t>
  </si>
  <si>
    <t>钢混</t>
    <phoneticPr fontId="21" type="noConversion"/>
  </si>
  <si>
    <t>较好</t>
    <phoneticPr fontId="21" type="noConversion"/>
  </si>
  <si>
    <t>精装</t>
    <phoneticPr fontId="21" type="noConversion"/>
  </si>
  <si>
    <t>专业</t>
    <phoneticPr fontId="21" type="noConversion"/>
  </si>
  <si>
    <r>
      <t>60-70</t>
    </r>
    <r>
      <rPr>
        <sz val="11"/>
        <color indexed="8"/>
        <rFont val="宋体"/>
        <family val="3"/>
        <charset val="134"/>
      </rPr>
      <t>（含）</t>
    </r>
    <phoneticPr fontId="21" type="noConversion"/>
  </si>
  <si>
    <t>已部分缴纳</t>
  </si>
  <si>
    <t>比较法-住宅、综合</t>
  </si>
  <si>
    <t>剩余法-待开发</t>
  </si>
  <si>
    <t>洋房</t>
    <phoneticPr fontId="21" type="noConversion"/>
  </si>
  <si>
    <t>洋房、小高层</t>
    <phoneticPr fontId="21" type="noConversion"/>
  </si>
  <si>
    <t>地下车库</t>
  </si>
  <si>
    <t>住宅、教育</t>
  </si>
  <si>
    <t>住宅、教育</t>
    <phoneticPr fontId="26" type="noConversion"/>
  </si>
  <si>
    <t>商办建筑占比</t>
    <phoneticPr fontId="224" type="noConversion"/>
  </si>
  <si>
    <t>不动产权证</t>
    <phoneticPr fontId="224" type="noConversion"/>
  </si>
  <si>
    <t>房山区良乡镇FS04-0100-6084地块R2二类居住用地</t>
    <phoneticPr fontId="224" type="noConversion"/>
  </si>
  <si>
    <t>坐落</t>
    <phoneticPr fontId="224" type="noConversion"/>
  </si>
  <si>
    <t>京（2020）房不动产权第0003324号</t>
    <phoneticPr fontId="224" type="noConversion"/>
  </si>
  <si>
    <t>土地面积</t>
    <phoneticPr fontId="224" type="noConversion"/>
  </si>
  <si>
    <t>终止日期</t>
    <phoneticPr fontId="224" type="noConversion"/>
  </si>
  <si>
    <t>产权人</t>
    <phoneticPr fontId="224" type="noConversion"/>
  </si>
  <si>
    <t>北京骏峰房地产开发有限公司</t>
    <phoneticPr fontId="224" type="noConversion"/>
  </si>
  <si>
    <t>房山区良乡镇FS04-0100-6085地块R2二类居住用地</t>
    <phoneticPr fontId="224" type="noConversion"/>
  </si>
  <si>
    <t>京（2020）房不动产权第0003333号</t>
    <phoneticPr fontId="224" type="noConversion"/>
  </si>
  <si>
    <t>出让合同：</t>
    <phoneticPr fontId="224" type="noConversion"/>
  </si>
  <si>
    <t>房山区良乡镇FS04-0100-6076等地块R2二类居住用地</t>
    <phoneticPr fontId="224" type="noConversion"/>
  </si>
  <si>
    <t>房山区良乡镇FS04-0100-6084地块R2二类居住用地</t>
    <phoneticPr fontId="6" type="noConversion"/>
  </si>
  <si>
    <t>住宅</t>
    <phoneticPr fontId="224" type="noConversion"/>
  </si>
  <si>
    <t>地上</t>
    <phoneticPr fontId="224" type="noConversion"/>
  </si>
  <si>
    <t>11#门卫及物业服务用房</t>
    <phoneticPr fontId="224" type="noConversion"/>
  </si>
  <si>
    <t>12#低基配电室</t>
    <phoneticPr fontId="224" type="noConversion"/>
  </si>
  <si>
    <t>13#再生资源回收站</t>
    <phoneticPr fontId="224" type="noConversion"/>
  </si>
  <si>
    <t>人防出入口a</t>
    <phoneticPr fontId="224" type="noConversion"/>
  </si>
  <si>
    <t>人防出入口b及非机动车出入口</t>
    <phoneticPr fontId="224" type="noConversion"/>
  </si>
  <si>
    <t>地下车库</t>
    <phoneticPr fontId="224" type="noConversion"/>
  </si>
  <si>
    <t>合计</t>
    <phoneticPr fontId="224" type="noConversion"/>
  </si>
  <si>
    <t>地下</t>
    <phoneticPr fontId="224" type="noConversion"/>
  </si>
  <si>
    <t>储藏室</t>
    <phoneticPr fontId="224" type="noConversion"/>
  </si>
  <si>
    <t>配套</t>
    <phoneticPr fontId="224" type="noConversion"/>
  </si>
  <si>
    <t>物业</t>
    <phoneticPr fontId="224" type="noConversion"/>
  </si>
  <si>
    <t>设备</t>
    <phoneticPr fontId="224" type="noConversion"/>
  </si>
  <si>
    <t>小计</t>
    <phoneticPr fontId="224" type="noConversion"/>
  </si>
  <si>
    <t>人防</t>
    <phoneticPr fontId="224" type="noConversion"/>
  </si>
  <si>
    <t>6084工程规证：</t>
    <phoneticPr fontId="224" type="noConversion"/>
  </si>
  <si>
    <t>1#住宅楼（9层）</t>
    <phoneticPr fontId="224" type="noConversion"/>
  </si>
  <si>
    <t>2#住宅楼（9层）</t>
    <phoneticPr fontId="224" type="noConversion"/>
  </si>
  <si>
    <t>4#住宅楼（9层）</t>
    <phoneticPr fontId="224" type="noConversion"/>
  </si>
  <si>
    <t>8#住宅楼（9层）</t>
    <phoneticPr fontId="224" type="noConversion"/>
  </si>
  <si>
    <t>9#住宅楼（9层）</t>
    <phoneticPr fontId="224" type="noConversion"/>
  </si>
  <si>
    <t>10#住宅楼（11层）</t>
    <phoneticPr fontId="224" type="noConversion"/>
  </si>
  <si>
    <t>3#住宅楼（11层）</t>
    <phoneticPr fontId="224" type="noConversion"/>
  </si>
  <si>
    <t>5#住宅楼（8层）</t>
    <phoneticPr fontId="224" type="noConversion"/>
  </si>
  <si>
    <t>6#住宅楼（8层）</t>
    <phoneticPr fontId="224" type="noConversion"/>
  </si>
  <si>
    <t>7#住宅楼（10层）</t>
    <phoneticPr fontId="224" type="noConversion"/>
  </si>
  <si>
    <t>6085工程规证：</t>
    <phoneticPr fontId="224" type="noConversion"/>
  </si>
  <si>
    <t>2021规自（房）建字0034号</t>
    <phoneticPr fontId="224" type="noConversion"/>
  </si>
  <si>
    <t>5#住宅楼（9层）</t>
    <phoneticPr fontId="224" type="noConversion"/>
  </si>
  <si>
    <t>6#住宅楼（11层）</t>
    <phoneticPr fontId="224" type="noConversion"/>
  </si>
  <si>
    <t>7#住宅楼（11层）</t>
    <phoneticPr fontId="224" type="noConversion"/>
  </si>
  <si>
    <t>8#住宅楼（11层）</t>
    <phoneticPr fontId="224" type="noConversion"/>
  </si>
  <si>
    <t>9#门卫及物业服务用房</t>
    <phoneticPr fontId="224" type="noConversion"/>
  </si>
  <si>
    <t>10#低基配电室</t>
    <phoneticPr fontId="224" type="noConversion"/>
  </si>
  <si>
    <t>人防出入口a及非机动车出入口</t>
    <phoneticPr fontId="224" type="noConversion"/>
  </si>
  <si>
    <t>车库个数</t>
    <phoneticPr fontId="224" type="noConversion"/>
  </si>
  <si>
    <t>规则</t>
    <phoneticPr fontId="224" type="noConversion"/>
  </si>
  <si>
    <t>六通一平</t>
    <phoneticPr fontId="224" type="noConversion"/>
  </si>
  <si>
    <t>住宅、商业</t>
  </si>
  <si>
    <t>住宅、商业</t>
    <phoneticPr fontId="26" type="noConversion"/>
  </si>
  <si>
    <t>戊类库房</t>
  </si>
  <si>
    <t>6084地块</t>
    <phoneticPr fontId="3" type="noConversion"/>
  </si>
  <si>
    <t>地下仓储</t>
  </si>
  <si>
    <t>地下仓储</t>
    <phoneticPr fontId="7" type="noConversion"/>
  </si>
  <si>
    <t>地下车库</t>
    <phoneticPr fontId="7" type="noConversion"/>
  </si>
  <si>
    <t>2021规自（房）建字0037号</t>
    <phoneticPr fontId="224" type="noConversion"/>
  </si>
  <si>
    <t>不动产收益法</t>
  </si>
  <si>
    <t>土地（套用方法）</t>
  </si>
  <si>
    <t>押一</t>
  </si>
  <si>
    <t>单位面积</t>
    <phoneticPr fontId="224" type="noConversion"/>
  </si>
  <si>
    <t>情况3</t>
  </si>
  <si>
    <t>自行开发建设</t>
  </si>
  <si>
    <t>非个人房产</t>
  </si>
  <si>
    <t>土地成交楼面</t>
    <phoneticPr fontId="3" type="noConversion"/>
  </si>
  <si>
    <t>地下仓储</t>
    <phoneticPr fontId="3" type="noConversion"/>
  </si>
  <si>
    <t>地下车库</t>
    <phoneticPr fontId="3" type="noConversion"/>
  </si>
  <si>
    <t>出让金+开发费</t>
  </si>
  <si>
    <t>中骏·云景台</t>
    <phoneticPr fontId="224" type="noConversion"/>
  </si>
  <si>
    <t>成交时间</t>
  </si>
  <si>
    <t>价格</t>
  </si>
  <si>
    <t>单位面积</t>
  </si>
  <si>
    <t>精装、小高层</t>
    <phoneticPr fontId="224" type="noConversion"/>
  </si>
  <si>
    <t>建筑526546.33</t>
    <phoneticPr fontId="224" type="noConversion"/>
  </si>
  <si>
    <t>其他</t>
    <phoneticPr fontId="224" type="noConversion"/>
  </si>
  <si>
    <t>容积率2.2</t>
    <phoneticPr fontId="224" type="noConversion"/>
  </si>
  <si>
    <t>中海金樾和著</t>
    <phoneticPr fontId="224" type="noConversion"/>
  </si>
  <si>
    <t>拿地时间</t>
  </si>
  <si>
    <t>拿地楼面</t>
  </si>
  <si>
    <t>毛坯，小高层</t>
    <phoneticPr fontId="224" type="noConversion"/>
  </si>
  <si>
    <t>建筑133361</t>
    <phoneticPr fontId="224" type="noConversion"/>
  </si>
  <si>
    <t>容积率1.76</t>
    <phoneticPr fontId="224" type="noConversion"/>
  </si>
  <si>
    <t>10.78万</t>
    <phoneticPr fontId="224" type="noConversion"/>
  </si>
  <si>
    <t>新御峰</t>
    <phoneticPr fontId="224" type="noConversion"/>
  </si>
  <si>
    <t>精装，小高层</t>
    <phoneticPr fontId="224" type="noConversion"/>
  </si>
  <si>
    <t>建筑133882</t>
    <phoneticPr fontId="224" type="noConversion"/>
  </si>
  <si>
    <t>容积率2.36</t>
    <phoneticPr fontId="224" type="noConversion"/>
  </si>
  <si>
    <t>旭辉城</t>
    <phoneticPr fontId="224" type="noConversion"/>
  </si>
  <si>
    <t>毛坯小高层</t>
    <phoneticPr fontId="224" type="noConversion"/>
  </si>
  <si>
    <t>建筑101509</t>
    <phoneticPr fontId="224" type="noConversion"/>
  </si>
  <si>
    <t>13万</t>
    <phoneticPr fontId="224" type="noConversion"/>
  </si>
  <si>
    <t>容积率2</t>
    <phoneticPr fontId="224" type="noConversion"/>
  </si>
  <si>
    <t>北京建工揽星宸</t>
    <phoneticPr fontId="224" type="noConversion"/>
  </si>
  <si>
    <t>中海京西里</t>
    <phoneticPr fontId="224" type="noConversion"/>
  </si>
  <si>
    <t>成交时间</t>
    <phoneticPr fontId="224" type="noConversion"/>
  </si>
  <si>
    <t>用途</t>
    <phoneticPr fontId="224" type="noConversion"/>
  </si>
  <si>
    <t>价格</t>
    <phoneticPr fontId="224" type="noConversion"/>
  </si>
  <si>
    <t>单位面积</t>
    <phoneticPr fontId="224" type="noConversion"/>
  </si>
  <si>
    <t>拿地时间</t>
    <phoneticPr fontId="224" type="noConversion"/>
  </si>
  <si>
    <t>拿地楼面</t>
    <phoneticPr fontId="224" type="noConversion"/>
  </si>
  <si>
    <t>车库</t>
    <phoneticPr fontId="224" type="noConversion"/>
  </si>
  <si>
    <t>15万</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</si>
</sst>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
      <sz val="10"/>
      <name val="黑体"/>
      <family val="3"/>
      <charset val="134"/>
    </font>
    <font>
      <b/>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1499069185460982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horizontal="left" vertical="center"/>
    </xf>
    <xf numFmtId="0" fontId="11" fillId="0" borderId="2" xfId="0" applyFont="1" applyBorder="1" applyAlignment="1" applyProtection="1">
      <alignment horizontal="left" vertical="center" wrapText="1"/>
      <protection locked="0"/>
    </xf>
    <xf numFmtId="0" fontId="298" fillId="0" borderId="0" xfId="0" applyNumberFormat="1" applyFont="1" applyAlignment="1"/>
    <xf numFmtId="0" fontId="160" fillId="0" borderId="0" xfId="0" applyNumberFormat="1" applyFont="1" applyAlignment="1"/>
    <xf numFmtId="0" fontId="298" fillId="6" borderId="0" xfId="0" applyNumberFormat="1" applyFont="1" applyFill="1" applyAlignment="1"/>
    <xf numFmtId="14" fontId="160" fillId="6" borderId="0" xfId="0" applyNumberFormat="1" applyFont="1" applyFill="1" applyAlignment="1"/>
    <xf numFmtId="0" fontId="160" fillId="6" borderId="0" xfId="0" applyNumberFormat="1" applyFont="1" applyFill="1" applyAlignment="1"/>
    <xf numFmtId="0" fontId="299"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0" fontId="298" fillId="0" borderId="0" xfId="0" applyNumberFormat="1" applyFont="1" applyFill="1" applyAlignment="1"/>
    <xf numFmtId="14" fontId="160" fillId="0" borderId="0" xfId="0" applyNumberFormat="1" applyFont="1" applyFill="1" applyAlignment="1"/>
    <xf numFmtId="0" fontId="160" fillId="0" borderId="0" xfId="0" applyNumberFormat="1" applyFont="1" applyFill="1" applyAlignment="1"/>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protection locked="0"/>
    </xf>
    <xf numFmtId="0" fontId="80" fillId="5" borderId="71"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302" fillId="24" borderId="2" xfId="0" applyFont="1" applyFill="1" applyBorder="1" applyAlignment="1" applyProtection="1">
      <alignment horizontal="center" vertical="center" wrapText="1"/>
      <protection locked="0"/>
    </xf>
    <xf numFmtId="180" fontId="302" fillId="0" borderId="2" xfId="0" applyNumberFormat="1" applyFont="1" applyFill="1" applyBorder="1" applyAlignment="1" applyProtection="1">
      <alignment horizontal="center" vertical="center"/>
      <protection locked="0"/>
    </xf>
    <xf numFmtId="0" fontId="301" fillId="0" borderId="0" xfId="0" applyFont="1" applyFill="1" applyAlignment="1">
      <alignment horizontal="left" vertical="center"/>
    </xf>
    <xf numFmtId="0" fontId="300" fillId="0" borderId="0" xfId="0" applyNumberFormat="1" applyFont="1" applyFill="1" applyAlignment="1">
      <alignment horizontal="left"/>
    </xf>
    <xf numFmtId="0" fontId="301" fillId="0" borderId="0" xfId="0" applyNumberFormat="1" applyFont="1" applyFill="1" applyAlignment="1">
      <alignment horizontal="left"/>
    </xf>
    <xf numFmtId="0" fontId="217" fillId="0" borderId="0" xfId="0" applyNumberFormat="1" applyFont="1" applyFill="1" applyAlignment="1">
      <alignment horizontal="left"/>
    </xf>
    <xf numFmtId="0" fontId="303" fillId="0" borderId="0" xfId="0" applyNumberFormat="1" applyFont="1" applyFill="1" applyAlignment="1">
      <alignment horizontal="left"/>
    </xf>
    <xf numFmtId="0" fontId="303" fillId="0" borderId="0" xfId="0" applyFont="1" applyFill="1" applyAlignment="1">
      <alignment horizontal="left" vertical="center"/>
    </xf>
    <xf numFmtId="14" fontId="160" fillId="0" borderId="0" xfId="0" applyNumberFormat="1" applyFont="1" applyProtection="1">
      <alignment vertical="center"/>
      <protection locked="0"/>
    </xf>
    <xf numFmtId="184" fontId="74" fillId="0" borderId="2" xfId="0" applyNumberFormat="1" applyFont="1" applyFill="1" applyBorder="1" applyAlignment="1" applyProtection="1">
      <alignment horizontal="center" vertical="center" shrinkToFit="1"/>
      <protection locked="0"/>
    </xf>
    <xf numFmtId="0" fontId="160" fillId="0" borderId="0" xfId="0" applyFont="1" applyAlignment="1">
      <alignment horizontal="left" vertical="center" wrapText="1"/>
    </xf>
    <xf numFmtId="14" fontId="160" fillId="0" borderId="0" xfId="0" applyNumberFormat="1" applyFont="1" applyAlignment="1">
      <alignment horizontal="left" vertical="center" wrapText="1"/>
    </xf>
    <xf numFmtId="0" fontId="166" fillId="0" borderId="0" xfId="0" applyFont="1" applyAlignment="1">
      <alignment horizontal="left" vertical="center" wrapText="1"/>
    </xf>
    <xf numFmtId="0" fontId="165" fillId="0" borderId="0" xfId="0" applyFont="1" applyAlignment="1">
      <alignment horizontal="left" vertical="center" wrapText="1"/>
    </xf>
    <xf numFmtId="0" fontId="300" fillId="6" borderId="0" xfId="0" applyNumberFormat="1" applyFont="1" applyFill="1" applyAlignment="1">
      <alignment horizontal="left"/>
    </xf>
    <xf numFmtId="0" fontId="298" fillId="8" borderId="0" xfId="0" applyNumberFormat="1" applyFont="1" applyFill="1" applyAlignment="1"/>
    <xf numFmtId="14" fontId="160" fillId="8" borderId="0" xfId="0" applyNumberFormat="1" applyFont="1" applyFill="1" applyAlignment="1"/>
    <xf numFmtId="0" fontId="160" fillId="8" borderId="0" xfId="0" applyNumberFormat="1" applyFont="1" applyFill="1" applyAlignment="1"/>
    <xf numFmtId="0" fontId="299" fillId="8" borderId="0" xfId="0" applyNumberFormat="1" applyFont="1" applyFill="1" applyAlignment="1"/>
    <xf numFmtId="0" fontId="166" fillId="8" borderId="0" xfId="0" applyNumberFormat="1" applyFont="1" applyFill="1" applyAlignment="1"/>
    <xf numFmtId="14" fontId="166" fillId="8" borderId="0" xfId="0" applyNumberFormat="1" applyFont="1" applyFill="1" applyAlignment="1"/>
    <xf numFmtId="9" fontId="160" fillId="8" borderId="0" xfId="0" applyNumberFormat="1" applyFont="1" applyFill="1" applyAlignment="1"/>
    <xf numFmtId="0" fontId="300" fillId="8" borderId="0" xfId="0" applyNumberFormat="1" applyFont="1" applyFill="1" applyAlignment="1"/>
    <xf numFmtId="0" fontId="301" fillId="8" borderId="0" xfId="0" applyNumberFormat="1" applyFont="1" applyFill="1" applyAlignment="1"/>
    <xf numFmtId="14" fontId="301" fillId="8" borderId="0" xfId="0" applyNumberFormat="1" applyFont="1" applyFill="1" applyAlignment="1"/>
    <xf numFmtId="9" fontId="166" fillId="0" borderId="0" xfId="0" applyNumberFormat="1" applyFont="1" applyAlignment="1"/>
    <xf numFmtId="0" fontId="302" fillId="8" borderId="2" xfId="0" applyFont="1" applyFill="1" applyBorder="1" applyAlignment="1" applyProtection="1">
      <alignment horizontal="center" vertical="center" wrapText="1"/>
      <protection locked="0"/>
    </xf>
    <xf numFmtId="0" fontId="67" fillId="8" borderId="21" xfId="0" applyFont="1" applyFill="1" applyBorder="1" applyAlignment="1" applyProtection="1">
      <alignment horizontal="center" vertical="center" wrapText="1"/>
      <protection locked="0"/>
    </xf>
    <xf numFmtId="17" fontId="67" fillId="5" borderId="42" xfId="0" applyNumberFormat="1" applyFont="1" applyFill="1" applyBorder="1" applyAlignment="1" applyProtection="1">
      <alignment horizontal="center" vertical="center" wrapText="1"/>
      <protection locked="0"/>
    </xf>
    <xf numFmtId="0" fontId="301" fillId="6" borderId="0" xfId="0" applyFont="1" applyFill="1" applyAlignment="1">
      <alignment horizontal="left" vertical="center"/>
    </xf>
    <xf numFmtId="0" fontId="163" fillId="5" borderId="0" xfId="0" applyFont="1" applyFill="1" applyProtection="1">
      <alignment vertical="center"/>
      <protection locked="0"/>
    </xf>
    <xf numFmtId="0" fontId="82" fillId="9" borderId="7" xfId="2" applyNumberFormat="1" applyFont="1" applyFill="1" applyBorder="1" applyAlignment="1" applyProtection="1">
      <alignment horizontal="center" vertical="center"/>
      <protection locked="0"/>
    </xf>
    <xf numFmtId="0" fontId="82" fillId="9" borderId="12"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60"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655647</xdr:colOff>
      <xdr:row>47</xdr:row>
      <xdr:rowOff>41409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0118"/>
          <a:ext cx="8152382"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10</xdr:col>
      <xdr:colOff>237256</xdr:colOff>
      <xdr:row>19</xdr:row>
      <xdr:rowOff>18653</xdr:rowOff>
    </xdr:to>
    <xdr:pic>
      <xdr:nvPicPr>
        <xdr:cNvPr id="3" name="图片 2"/>
        <xdr:cNvPicPr>
          <a:picLocks noChangeAspect="1"/>
        </xdr:cNvPicPr>
      </xdr:nvPicPr>
      <xdr:blipFill>
        <a:blip xmlns:r="http://schemas.openxmlformats.org/officeDocument/2006/relationships" r:embed="rId1"/>
        <a:stretch>
          <a:fillRect/>
        </a:stretch>
      </xdr:blipFill>
      <xdr:spPr>
        <a:xfrm>
          <a:off x="142875" y="95250"/>
          <a:ext cx="6952381" cy="3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63-P02&#25151;&#23665;&#33391;&#20065;6085&#22303;&#22320;-&#25442;&#38134;&#34892;&#25442;&#26102;&#28857;&#21152;&#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经济技术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销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57471.760000000009</v>
          </cell>
          <cell r="C14">
            <v>19389.439999999999</v>
          </cell>
          <cell r="D14">
            <v>55498</v>
          </cell>
          <cell r="G14">
            <v>54895</v>
          </cell>
          <cell r="I14">
            <v>50479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北京市房山区良乡镇FS04-0100-6084地块R2二类居住用地出让国有建设用地使用权抵押价格预评估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郑燚、崔锴</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受贵公司委托，我公司对北京市房山区良乡镇FS04-0100-6084地块R2二类居住用地出让国有建设用地使用权抵押价格进行了预评估。</v>
      </c>
      <c r="AM6" s="2379"/>
    </row>
    <row r="7" spans="1:55" s="2353" customFormat="1">
      <c r="A7" s="2354" t="s">
        <v>1939</v>
      </c>
      <c r="B7" s="2355" t="str">
        <f>'预评函-1'!A6</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2023年7月31日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根据《国有土地使用证》[]，估价对象（分摊）出让国有建设用地使用权面积为23364.85平方米。根据《建设工程规划许可证》[]、《出让合同》[]，估价对象规划建筑面积为68710.41平方米。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估价期日：2023年7月31日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红线外七通、宗地红线内场地平整</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23364.85</v>
      </c>
    </row>
    <row r="44" spans="1:2">
      <c r="A44" s="2354" t="s">
        <v>2022</v>
      </c>
      <c r="B44" s="2355" t="str">
        <f>'预评函-2'!O3</f>
        <v>规划建筑面积/㎡</v>
      </c>
    </row>
    <row r="45" spans="1:2">
      <c r="A45" s="2354" t="s">
        <v>2004</v>
      </c>
      <c r="B45" s="2355">
        <f>'预评函-2'!O5</f>
        <v>68710.41</v>
      </c>
    </row>
    <row r="46" spans="1:2">
      <c r="A46" s="2354" t="s">
        <v>2005</v>
      </c>
      <c r="B46" s="2355">
        <f ca="1">'预评函-2'!P5</f>
        <v>29105</v>
      </c>
    </row>
    <row r="47" spans="1:2">
      <c r="A47" s="2354" t="s">
        <v>2006</v>
      </c>
      <c r="B47" s="2355">
        <f ca="1">'预评函-2'!Q5</f>
        <v>9897</v>
      </c>
    </row>
    <row r="48" spans="1:2">
      <c r="A48" s="2354" t="s">
        <v>2007</v>
      </c>
      <c r="B48" s="2355">
        <f ca="1">'预评函-2'!R5</f>
        <v>68004</v>
      </c>
    </row>
    <row r="49" spans="1:2">
      <c r="A49" s="2354" t="s">
        <v>2023</v>
      </c>
      <c r="B49" s="2355" t="str">
        <f>'预评函-2'!A6</f>
        <v>抵押价格</v>
      </c>
    </row>
    <row r="50" spans="1:2">
      <c r="A50" s="2354" t="s">
        <v>2008</v>
      </c>
      <c r="B50" s="2355">
        <f ca="1">'预评函-2'!R6</f>
        <v>67267</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5" thickBot="1">
      <c r="A54" s="2376" t="s">
        <v>2010</v>
      </c>
      <c r="B54" s="2377">
        <f ca="1">'预评函-2'!R8</f>
        <v>61715</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2.基础设施条件：估价对象实际开发程度为红线外七通、宗地红线内；本次评估设定开发程度为红线外七通、宗地红线内场地平整。</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综上，本次评估估价师知悉的法定优先受偿款为人民币737万元整。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郑燚</v>
      </c>
    </row>
    <row r="70" spans="1:2">
      <c r="A70" s="2354" t="s">
        <v>1972</v>
      </c>
      <c r="B70" s="2361">
        <f ca="1">'预评函-3'!B20</f>
        <v>2014110011</v>
      </c>
    </row>
    <row r="71" spans="1:2">
      <c r="A71" s="2354" t="s">
        <v>1973</v>
      </c>
      <c r="B71" s="2355" t="str">
        <f>'预评函-3'!A21</f>
        <v>崔锴</v>
      </c>
    </row>
    <row r="72" spans="1:2" s="2369" customFormat="1" ht="15" thickBot="1">
      <c r="A72" s="2376" t="s">
        <v>1973</v>
      </c>
      <c r="B72" s="2382">
        <f ca="1">'预评函-3'!B21</f>
        <v>2010110070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D36" sqref="D36"/>
    </sheetView>
  </sheetViews>
  <sheetFormatPr defaultColWidth="15.25" defaultRowHeight="13.5"/>
  <cols>
    <col min="1" max="16384" width="15.25" style="3283"/>
  </cols>
  <sheetData>
    <row r="1" spans="1:6">
      <c r="A1" s="3280" t="s">
        <v>2666</v>
      </c>
      <c r="B1" s="3281"/>
      <c r="C1" s="3281"/>
      <c r="D1" s="3281"/>
      <c r="E1" s="3281"/>
      <c r="F1" s="3282"/>
    </row>
    <row r="2" spans="1:6">
      <c r="A2" s="3284"/>
      <c r="B2" s="3285"/>
      <c r="C2" s="3285"/>
      <c r="D2" s="3285"/>
      <c r="E2" s="3285"/>
      <c r="F2" s="3286"/>
    </row>
    <row r="3" spans="1:6">
      <c r="A3" s="3287" t="s">
        <v>2667</v>
      </c>
      <c r="B3" s="3288">
        <f>项目基本情况!D3</f>
        <v>45138</v>
      </c>
      <c r="C3" s="3289"/>
      <c r="D3" s="3289"/>
      <c r="E3" s="3289"/>
      <c r="F3" s="3286"/>
    </row>
    <row r="4" spans="1:6">
      <c r="A4" s="3287" t="s">
        <v>2668</v>
      </c>
      <c r="B4" s="3290" t="s">
        <v>2669</v>
      </c>
      <c r="C4" s="3290" t="s">
        <v>2670</v>
      </c>
      <c r="D4" s="3290" t="s">
        <v>2671</v>
      </c>
      <c r="E4" s="3290" t="s">
        <v>2672</v>
      </c>
      <c r="F4" s="3286"/>
    </row>
    <row r="5" spans="1:6">
      <c r="A5" s="3291"/>
      <c r="B5" s="3288"/>
      <c r="C5" s="3290">
        <f>ROUNDDOWN(MIN((B5-B3)/365,A5),2)</f>
        <v>-123.66</v>
      </c>
      <c r="D5" s="3292">
        <f>IF(ISERROR(ROUND(POWER(1+E5,A5-C5)*(POWER(1+E5,C5)-1)/(POWER(1+E5,A5)-1),3)),0,ROUND(POWER(1+E5,A5-C5)*(POWER(1+E5,C5)-1)/(POWER(1+E5,A5)-1),4))</f>
        <v>0</v>
      </c>
      <c r="E5" s="3293"/>
      <c r="F5" s="3286"/>
    </row>
    <row r="6" spans="1:6">
      <c r="A6" s="3291"/>
      <c r="B6" s="3288"/>
      <c r="C6" s="3290">
        <f>ROUNDDOWN(MIN((B6-B3)/365,A6),2)</f>
        <v>-123.66</v>
      </c>
      <c r="D6" s="3292">
        <f>IF(ISERROR(ROUND(POWER(1+E6,A6-C6)*(POWER(1+E6,C6)-1)/(POWER(1+E6,A6)-1),3)),0,ROUND(POWER(1+E6,A6-C6)*(POWER(1+E6,C6)-1)/(POWER(1+E6,A6)-1),4))</f>
        <v>0</v>
      </c>
      <c r="E6" s="3293"/>
      <c r="F6" s="3286"/>
    </row>
    <row r="7" spans="1:6">
      <c r="A7" s="3291"/>
      <c r="B7" s="3288"/>
      <c r="C7" s="3290">
        <f>ROUNDDOWN(MIN((B7-B3)/365,A7),2)</f>
        <v>-123.66</v>
      </c>
      <c r="D7" s="3292">
        <f>IF(ISERROR(ROUND(POWER(1+E7,A7-C7)*(POWER(1+E7,C7)-1)/(POWER(1+E7,A7)-1),3)),0,ROUND(POWER(1+E7,A7-C7)*(POWER(1+E7,C7)-1)/(POWER(1+E7,A7)-1),4))</f>
        <v>0</v>
      </c>
      <c r="E7" s="3293"/>
      <c r="F7" s="3286"/>
    </row>
    <row r="8" spans="1:6">
      <c r="A8" s="3284"/>
      <c r="B8" s="3285"/>
      <c r="C8" s="3285"/>
      <c r="D8" s="3285"/>
      <c r="E8" s="3285"/>
      <c r="F8" s="3286"/>
    </row>
    <row r="9" spans="1:6">
      <c r="A9" s="3287" t="s">
        <v>2673</v>
      </c>
      <c r="B9" s="3290"/>
      <c r="C9" s="3290"/>
      <c r="D9" s="3290"/>
      <c r="E9" s="3290"/>
      <c r="F9" s="3294"/>
    </row>
    <row r="10" spans="1:6">
      <c r="A10" s="3287" t="s">
        <v>2674</v>
      </c>
      <c r="B10" s="3290"/>
      <c r="C10" s="3290"/>
      <c r="D10" s="3290" t="s">
        <v>2672</v>
      </c>
      <c r="E10" s="3290"/>
      <c r="F10" s="3294" t="s">
        <v>2671</v>
      </c>
    </row>
    <row r="11" spans="1:6">
      <c r="A11" s="3287" t="s">
        <v>2675</v>
      </c>
      <c r="B11" s="3295"/>
      <c r="C11" s="3290" t="s">
        <v>2676</v>
      </c>
      <c r="D11" s="3296"/>
      <c r="E11" s="3290" t="s">
        <v>2677</v>
      </c>
      <c r="F11" s="3297">
        <f>ROUND(1-(1/(POWER(1+D11,B11))),4)</f>
        <v>0</v>
      </c>
    </row>
    <row r="12" spans="1:6">
      <c r="A12" s="3287" t="s">
        <v>2678</v>
      </c>
      <c r="B12" s="3295"/>
      <c r="C12" s="3290" t="s">
        <v>2679</v>
      </c>
      <c r="D12" s="3296"/>
      <c r="E12" s="3290" t="s">
        <v>2680</v>
      </c>
      <c r="F12" s="3297">
        <f>ROUND(1-(1/(POWER(1+D12,B12))),4)</f>
        <v>0</v>
      </c>
    </row>
    <row r="13" spans="1:6">
      <c r="A13" s="3287" t="s">
        <v>2681</v>
      </c>
      <c r="B13" s="3290"/>
      <c r="C13" s="3289"/>
      <c r="D13" s="3285"/>
      <c r="E13" s="3285"/>
      <c r="F13" s="3286"/>
    </row>
    <row r="14" spans="1:6">
      <c r="A14" s="3287" t="s">
        <v>2682</v>
      </c>
      <c r="B14" s="3295"/>
      <c r="C14" s="3289"/>
      <c r="D14" s="3285"/>
      <c r="E14" s="3285"/>
      <c r="F14" s="3286"/>
    </row>
    <row r="15" spans="1:6">
      <c r="A15" s="3287" t="s">
        <v>2683</v>
      </c>
      <c r="B15" s="3290" t="e">
        <f>ROUND(B14*F12/F11,2)</f>
        <v>#DIV/0!</v>
      </c>
      <c r="C15" s="3290" t="e">
        <f>ROUND(F12/F11,4)</f>
        <v>#DIV/0!</v>
      </c>
      <c r="D15" s="3285"/>
      <c r="E15" s="3285"/>
      <c r="F15" s="3286"/>
    </row>
    <row r="16" spans="1:6">
      <c r="A16" s="3287" t="s">
        <v>2684</v>
      </c>
      <c r="B16" s="3290"/>
      <c r="C16" s="3289"/>
      <c r="D16" s="3285"/>
      <c r="E16" s="3285"/>
      <c r="F16" s="3286"/>
    </row>
    <row r="17" spans="1:7">
      <c r="A17" s="3287" t="s">
        <v>2683</v>
      </c>
      <c r="B17" s="3296"/>
      <c r="C17" s="3289"/>
      <c r="D17" s="3285"/>
      <c r="E17" s="3285"/>
      <c r="F17" s="3286"/>
    </row>
    <row r="18" spans="1:7" ht="14.25" thickBot="1">
      <c r="A18" s="3298" t="s">
        <v>2682</v>
      </c>
      <c r="B18" s="3299" t="e">
        <f>ROUND(B17*F11/F12,2)</f>
        <v>#DIV/0!</v>
      </c>
      <c r="C18" s="3299" t="e">
        <f>ROUND(F11/F12,4)</f>
        <v>#DIV/0!</v>
      </c>
      <c r="D18" s="3300"/>
      <c r="E18" s="3300"/>
      <c r="F18" s="3301"/>
    </row>
    <row r="19" spans="1:7" ht="14.25" thickBot="1"/>
    <row r="20" spans="1:7">
      <c r="A20" s="3302" t="s">
        <v>2685</v>
      </c>
      <c r="B20" s="3303"/>
      <c r="C20" s="3303"/>
      <c r="D20" s="3303"/>
      <c r="E20" s="3303"/>
      <c r="F20" s="3303"/>
      <c r="G20" s="3304"/>
    </row>
    <row r="21" spans="1:7">
      <c r="A21" s="3305"/>
      <c r="B21" s="3306" t="s">
        <v>2686</v>
      </c>
      <c r="C21" s="3306" t="s">
        <v>2687</v>
      </c>
      <c r="D21" s="3306" t="s">
        <v>2688</v>
      </c>
      <c r="E21" s="3306" t="s">
        <v>2689</v>
      </c>
      <c r="F21" s="3306" t="s">
        <v>2690</v>
      </c>
      <c r="G21" s="3307" t="s">
        <v>2691</v>
      </c>
    </row>
    <row r="22" spans="1:7">
      <c r="A22" s="3305" t="s">
        <v>2692</v>
      </c>
      <c r="B22" s="3308">
        <v>50</v>
      </c>
      <c r="C22" s="3308">
        <v>32</v>
      </c>
      <c r="D22" s="3309">
        <v>0.05</v>
      </c>
      <c r="E22" s="3306">
        <f>ROUND(POWER(1+D22,B22-C22)*(POWER(1+D22,C22)-1)/(POWER(1+D22,B22)-1),3)</f>
        <v>0.86599999999999999</v>
      </c>
      <c r="F22" s="3309">
        <v>0.6</v>
      </c>
      <c r="G22" s="3307">
        <f>ROUND(100*(1-(1-E22)*F22),1)</f>
        <v>92</v>
      </c>
    </row>
    <row r="23" spans="1:7">
      <c r="A23" s="3310" t="s">
        <v>2693</v>
      </c>
      <c r="B23" s="3308">
        <v>50</v>
      </c>
      <c r="C23" s="3308">
        <v>35</v>
      </c>
      <c r="D23" s="3309">
        <v>0.05</v>
      </c>
      <c r="E23" s="3306">
        <f>ROUND(POWER(1+D23,B23-C23)*(POWER(1+D23,C23)-1)/(POWER(1+D23,B23)-1),3)</f>
        <v>0.89700000000000002</v>
      </c>
      <c r="F23" s="3309">
        <f>F22</f>
        <v>0.6</v>
      </c>
      <c r="G23" s="3307">
        <f>ROUND(100*(1-(1-E23)*F23),1)</f>
        <v>93.8</v>
      </c>
    </row>
    <row r="24" spans="1:7">
      <c r="A24" s="3310" t="s">
        <v>2694</v>
      </c>
      <c r="B24" s="3308">
        <v>50</v>
      </c>
      <c r="C24" s="3308">
        <v>25</v>
      </c>
      <c r="D24" s="3309">
        <v>0.05</v>
      </c>
      <c r="E24" s="3306">
        <f>ROUND(POWER(1+D24,B24-C24)*(POWER(1+D24,C24)-1)/(POWER(1+D24,B24)-1),3)</f>
        <v>0.77200000000000002</v>
      </c>
      <c r="F24" s="3309">
        <f>F23</f>
        <v>0.6</v>
      </c>
      <c r="G24" s="3307">
        <f>ROUND(100*(1-(1-E24)*F24),1)</f>
        <v>86.3</v>
      </c>
    </row>
    <row r="25" spans="1:7">
      <c r="A25" s="3310" t="s">
        <v>2695</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2696</v>
      </c>
      <c r="B27" s="3315"/>
      <c r="C27" s="3315"/>
      <c r="D27" s="3315"/>
      <c r="E27" s="3315"/>
      <c r="F27" s="3315"/>
      <c r="G27" s="3316"/>
    </row>
    <row r="28" spans="1:7">
      <c r="A28" s="3314" t="s">
        <v>2697</v>
      </c>
      <c r="B28" s="3315"/>
      <c r="C28" s="3315"/>
      <c r="D28" s="3315"/>
      <c r="E28" s="3315"/>
      <c r="F28" s="3315"/>
      <c r="G28" s="3316"/>
    </row>
    <row r="29" spans="1:7">
      <c r="A29" s="3314" t="s">
        <v>2698</v>
      </c>
      <c r="B29" s="3315"/>
      <c r="C29" s="3315"/>
      <c r="D29" s="3315"/>
      <c r="E29" s="3315"/>
      <c r="F29" s="3315"/>
      <c r="G29" s="3316"/>
    </row>
    <row r="30" spans="1:7">
      <c r="A30" s="3314" t="s">
        <v>2699</v>
      </c>
      <c r="B30" s="3315"/>
      <c r="C30" s="3315"/>
      <c r="D30" s="3315"/>
      <c r="E30" s="3315"/>
      <c r="F30" s="3315"/>
      <c r="G30" s="3316"/>
    </row>
    <row r="31" spans="1:7">
      <c r="A31" s="3314" t="s">
        <v>2700</v>
      </c>
      <c r="B31" s="3315"/>
      <c r="C31" s="3315"/>
      <c r="D31" s="3315"/>
      <c r="E31" s="3315"/>
      <c r="F31" s="3315"/>
      <c r="G31" s="3316"/>
    </row>
    <row r="32" spans="1:7">
      <c r="A32" s="3314" t="s">
        <v>2701</v>
      </c>
      <c r="B32" s="3315"/>
      <c r="C32" s="3315"/>
      <c r="D32" s="3315"/>
      <c r="E32" s="3315"/>
      <c r="F32" s="3315"/>
      <c r="G32" s="3316"/>
    </row>
    <row r="33" spans="1:7">
      <c r="A33" s="3314" t="s">
        <v>2702</v>
      </c>
      <c r="B33" s="3315"/>
      <c r="C33" s="3315"/>
      <c r="D33" s="3315"/>
      <c r="E33" s="3315"/>
      <c r="F33" s="3315"/>
      <c r="G33" s="3316"/>
    </row>
    <row r="34" spans="1:7">
      <c r="A34" s="3314" t="s">
        <v>2703</v>
      </c>
      <c r="B34" s="3315"/>
      <c r="C34" s="3315"/>
      <c r="D34" s="3315"/>
      <c r="E34" s="3315"/>
      <c r="F34" s="3315"/>
      <c r="G34" s="3316"/>
    </row>
    <row r="35" spans="1:7">
      <c r="A35" s="3314" t="s">
        <v>2704</v>
      </c>
      <c r="B35" s="3315"/>
      <c r="C35" s="3315"/>
      <c r="D35" s="3315"/>
      <c r="E35" s="3315"/>
      <c r="F35" s="3315"/>
      <c r="G35" s="3316"/>
    </row>
    <row r="36" spans="1:7">
      <c r="A36" s="3314" t="s">
        <v>2705</v>
      </c>
      <c r="B36" s="3315"/>
      <c r="C36" s="3315"/>
      <c r="D36" s="3315"/>
      <c r="E36" s="3315"/>
      <c r="F36" s="3315"/>
      <c r="G36" s="3316"/>
    </row>
    <row r="37" spans="1:7">
      <c r="A37" s="3314" t="s">
        <v>2706</v>
      </c>
      <c r="B37" s="3315"/>
      <c r="C37" s="3315"/>
      <c r="D37" s="3315"/>
      <c r="E37" s="3315"/>
      <c r="F37" s="3315"/>
      <c r="G37" s="3316"/>
    </row>
    <row r="38" spans="1:7">
      <c r="A38" s="3314" t="s">
        <v>2707</v>
      </c>
      <c r="B38" s="3315"/>
      <c r="C38" s="3315"/>
      <c r="D38" s="3315"/>
      <c r="E38" s="3315"/>
      <c r="F38" s="3315"/>
      <c r="G38" s="3316"/>
    </row>
    <row r="39" spans="1:7">
      <c r="A39" s="3314"/>
      <c r="B39" s="3315"/>
      <c r="C39" s="3315"/>
      <c r="D39" s="3315"/>
      <c r="E39" s="3315"/>
      <c r="F39" s="3315"/>
      <c r="G39" s="3316"/>
    </row>
    <row r="40" spans="1:7">
      <c r="A40" s="3317" t="s">
        <v>2708</v>
      </c>
      <c r="B40" s="3318"/>
      <c r="C40" s="3318"/>
      <c r="D40" s="3318"/>
      <c r="E40" s="3318"/>
      <c r="F40" s="3318"/>
      <c r="G40" s="3319"/>
    </row>
    <row r="41" spans="1:7">
      <c r="A41" s="3320" t="s">
        <v>2709</v>
      </c>
      <c r="B41" s="3321" t="s">
        <v>2710</v>
      </c>
      <c r="C41" s="3322" t="s">
        <v>2711</v>
      </c>
      <c r="D41" s="3322" t="s">
        <v>2712</v>
      </c>
      <c r="E41" s="3323"/>
      <c r="F41" s="3324"/>
      <c r="G41" s="3325"/>
    </row>
    <row r="42" spans="1:7">
      <c r="A42" s="3320" t="s">
        <v>2713</v>
      </c>
      <c r="B42" s="3321" t="s">
        <v>2714</v>
      </c>
      <c r="C42" s="3322" t="s">
        <v>2714</v>
      </c>
      <c r="D42" s="3326" t="s">
        <v>2715</v>
      </c>
      <c r="E42" s="3318" t="s">
        <v>2716</v>
      </c>
      <c r="F42" s="3318"/>
      <c r="G42" s="3319"/>
    </row>
    <row r="43" spans="1:7">
      <c r="A43" s="3320" t="s">
        <v>2717</v>
      </c>
      <c r="B43" s="3321" t="s">
        <v>2718</v>
      </c>
      <c r="C43" s="3322" t="s">
        <v>2719</v>
      </c>
      <c r="D43" s="3322" t="s">
        <v>2720</v>
      </c>
      <c r="E43" s="3323" t="s">
        <v>2721</v>
      </c>
      <c r="F43" s="3324"/>
      <c r="G43" s="3325"/>
    </row>
    <row r="44" spans="1:7">
      <c r="A44" s="3320" t="s">
        <v>2722</v>
      </c>
      <c r="B44" s="3321" t="s">
        <v>2723</v>
      </c>
      <c r="C44" s="3322" t="s">
        <v>2724</v>
      </c>
      <c r="D44" s="3326">
        <v>0.5</v>
      </c>
      <c r="E44" s="3323" t="s">
        <v>2725</v>
      </c>
      <c r="F44" s="3324"/>
      <c r="G44" s="3325"/>
    </row>
    <row r="45" spans="1:7" ht="14.25" thickBot="1">
      <c r="A45" s="3327" t="s">
        <v>2726</v>
      </c>
      <c r="B45" s="3328" t="s">
        <v>2714</v>
      </c>
      <c r="C45" s="3329" t="s">
        <v>2714</v>
      </c>
      <c r="D45" s="3329" t="s">
        <v>2727</v>
      </c>
      <c r="E45" s="3330" t="s">
        <v>2728</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7" sqref="H7"/>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5" thickBot="1">
      <c r="A1" s="1459" t="s">
        <v>1457</v>
      </c>
      <c r="B1" s="3767" t="str">
        <f>IF(B10="北京市","北京市",C10)&amp;F10&amp;A17&amp;"国有建设用地使用权"&amp;B9&amp;"预评估"</f>
        <v>北京市房山区良乡镇FS04-0100-6084地块R2二类居住用地出让国有建设用地使用权抵押价格预评估</v>
      </c>
      <c r="C1" s="3768"/>
      <c r="D1" s="3768"/>
      <c r="E1" s="3768"/>
      <c r="F1" s="3768"/>
      <c r="G1" s="3768"/>
      <c r="H1" s="3768"/>
      <c r="I1" s="3769"/>
      <c r="J1" s="2813"/>
      <c r="K1" s="2104" t="str">
        <f>IF(B10="北京市","北京市",C10)&amp;F10&amp;A17&amp;"国有建设用地使用权"&amp;B9</f>
        <v>北京市房山区良乡镇FS04-0100-6084地块R2二类居住用地出让国有建设用地使用权抵押价格</v>
      </c>
      <c r="L1" s="2792"/>
      <c r="M1" s="2792"/>
      <c r="N1" s="2793"/>
      <c r="O1" s="2794"/>
      <c r="P1" s="2793"/>
      <c r="Q1" s="2793"/>
      <c r="R1" s="2793"/>
      <c r="S1" s="2793"/>
      <c r="T1" s="2793"/>
      <c r="U1" s="2793"/>
    </row>
    <row r="2" spans="1:21">
      <c r="A2" s="1460" t="s">
        <v>1458</v>
      </c>
      <c r="B2" s="1623"/>
      <c r="D2" s="2813"/>
      <c r="E2" s="2813"/>
      <c r="F2" s="2813"/>
      <c r="G2" s="2813"/>
      <c r="H2" s="2814"/>
      <c r="I2" s="2815"/>
      <c r="J2" s="2813"/>
      <c r="K2" s="2104" t="str">
        <f>IF(B10="北京市","北京市",C10)&amp;F10&amp;A17&amp;"国有建设用地使用权"</f>
        <v>北京市房山区良乡镇FS04-0100-6084地块R2二类居住用地出让国有建设用地使用权</v>
      </c>
      <c r="L2" s="2792"/>
      <c r="M2" s="2792"/>
      <c r="N2" s="2793"/>
      <c r="O2" s="2794"/>
      <c r="P2" s="2793"/>
      <c r="Q2" s="2793"/>
      <c r="R2" s="2793"/>
      <c r="S2" s="2793"/>
      <c r="T2" s="2793"/>
      <c r="U2" s="2793"/>
    </row>
    <row r="3" spans="1:21">
      <c r="A3" s="1461" t="s">
        <v>1459</v>
      </c>
      <c r="B3" s="1462">
        <v>45022</v>
      </c>
      <c r="C3" s="2736" t="s">
        <v>1513</v>
      </c>
      <c r="D3" s="1462">
        <v>45138</v>
      </c>
      <c r="E3" s="2813"/>
      <c r="F3" s="2813"/>
      <c r="G3" s="2813"/>
      <c r="H3" s="2814"/>
      <c r="I3" s="2815"/>
      <c r="J3" s="2813"/>
      <c r="K3" s="2796"/>
      <c r="L3" s="2792"/>
      <c r="M3" s="2792"/>
      <c r="N3" s="2793"/>
      <c r="O3" s="2794"/>
      <c r="P3" s="2793"/>
      <c r="Q3" s="2793"/>
      <c r="R3" s="2793"/>
      <c r="S3" s="2793"/>
      <c r="T3" s="2793"/>
      <c r="U3" s="2793"/>
    </row>
    <row r="4" spans="1:21" ht="15" thickBot="1">
      <c r="A4" s="1464" t="s">
        <v>1460</v>
      </c>
      <c r="B4" s="1624" t="s">
        <v>3250</v>
      </c>
      <c r="C4" s="1627">
        <f ca="1">SUMIF(土地估价师,B4,估价师及机构信息!E3:E17)</f>
        <v>2014110011</v>
      </c>
      <c r="D4" s="1624" t="s">
        <v>3251</v>
      </c>
      <c r="E4" s="1627">
        <f ca="1">SUMIF(土地估价师,D4,估价师及机构信息!E3:E17)</f>
        <v>2010110070</v>
      </c>
      <c r="F4" s="1624" t="s">
        <v>877</v>
      </c>
      <c r="G4" s="1627">
        <f>SUMIF(土地估价师,F4,估价师及机构信息!E3:E17)</f>
        <v>0</v>
      </c>
      <c r="H4" s="1624" t="s">
        <v>877</v>
      </c>
      <c r="I4" s="1627">
        <f>SUMIF(土地估价师,H4,估价师及机构信息!E3:E17)</f>
        <v>0</v>
      </c>
      <c r="J4" s="2813"/>
      <c r="K4" s="2104" t="str">
        <f>IF(AND(F4="——",H4="——"),B4&amp;"、"&amp;D4,IF(AND(F4&lt;&gt;"——",H4="——"),B4&amp;"、"&amp;D4&amp;"、"&amp;F4,B4&amp;"、"&amp;D4&amp;"、"&amp;F4&amp;"、"&amp;H4))</f>
        <v>郑燚、崔锴</v>
      </c>
      <c r="L4" s="2792"/>
      <c r="M4" s="2792"/>
      <c r="N4" s="2793"/>
      <c r="O4" s="2794"/>
      <c r="P4" s="2793"/>
      <c r="Q4" s="2793"/>
      <c r="R4" s="2793"/>
      <c r="S4" s="2793"/>
      <c r="T4" s="2793"/>
      <c r="U4" s="2793"/>
    </row>
    <row r="5" spans="1:21" ht="15" thickTop="1">
      <c r="A5" s="1465" t="s">
        <v>1461</v>
      </c>
      <c r="B5" s="1572"/>
      <c r="C5" s="1466"/>
      <c r="D5" s="1467"/>
      <c r="E5" s="2813"/>
      <c r="F5" s="2813"/>
      <c r="G5" s="2813"/>
      <c r="H5" s="2814"/>
      <c r="I5" s="2815"/>
      <c r="J5" s="2813"/>
      <c r="K5" s="2796"/>
      <c r="L5" s="2792"/>
      <c r="M5" s="2792"/>
      <c r="N5" s="2793"/>
      <c r="O5" s="2794"/>
      <c r="P5" s="2793"/>
      <c r="Q5" s="2793"/>
      <c r="R5" s="2793"/>
      <c r="S5" s="2793"/>
      <c r="T5" s="2793"/>
      <c r="U5" s="2793"/>
    </row>
    <row r="6" spans="1:21" ht="26.25">
      <c r="A6" s="1463" t="s">
        <v>1988</v>
      </c>
      <c r="B6" s="1572"/>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1989</v>
      </c>
      <c r="B7" s="1572"/>
      <c r="C7" s="1547"/>
      <c r="D7" s="1468"/>
      <c r="E7" s="2813"/>
      <c r="F7" s="2813"/>
      <c r="G7" s="2813"/>
      <c r="H7" s="2814"/>
      <c r="I7" s="2815"/>
      <c r="J7" s="2813"/>
      <c r="K7" s="2796"/>
      <c r="L7" s="2792"/>
      <c r="M7" s="2792"/>
      <c r="N7" s="2793"/>
      <c r="O7" s="2794"/>
      <c r="P7" s="2793"/>
      <c r="Q7" s="2793"/>
      <c r="R7" s="2793"/>
      <c r="S7" s="2793"/>
      <c r="T7" s="2793"/>
      <c r="U7" s="2793"/>
    </row>
    <row r="8" spans="1:21">
      <c r="A8" s="2737" t="s">
        <v>1462</v>
      </c>
      <c r="B8" s="1470" t="s">
        <v>3207</v>
      </c>
      <c r="C8" s="1471"/>
      <c r="D8" s="3773" t="s">
        <v>1464</v>
      </c>
      <c r="E8" s="1625" t="s">
        <v>3252</v>
      </c>
      <c r="F8" s="1472"/>
      <c r="G8" s="2814"/>
      <c r="H8" s="2814"/>
      <c r="I8" s="2817"/>
      <c r="J8" s="2813"/>
      <c r="K8" s="2796"/>
      <c r="L8" s="2792"/>
      <c r="M8" s="2792"/>
      <c r="N8" s="2793"/>
      <c r="O8" s="2794"/>
      <c r="P8" s="2793"/>
      <c r="Q8" s="2793"/>
      <c r="R8" s="2793"/>
      <c r="S8" s="2793"/>
      <c r="T8" s="2793"/>
      <c r="U8" s="2793"/>
    </row>
    <row r="9" spans="1:21" ht="15" thickBot="1">
      <c r="A9" s="2738" t="s">
        <v>1463</v>
      </c>
      <c r="B9" s="1473" t="s">
        <v>3252</v>
      </c>
      <c r="C9" s="1474"/>
      <c r="D9" s="3774"/>
      <c r="E9" s="1473" t="s">
        <v>2128</v>
      </c>
      <c r="F9" s="1533"/>
      <c r="G9" s="2818"/>
      <c r="H9" s="2818"/>
      <c r="I9" s="2819"/>
      <c r="J9" s="2813"/>
      <c r="K9" s="2796"/>
      <c r="L9" s="2792"/>
      <c r="M9" s="2792"/>
      <c r="N9" s="2793"/>
      <c r="O9" s="2794"/>
      <c r="P9" s="2793"/>
      <c r="Q9" s="2793"/>
      <c r="R9" s="2793"/>
      <c r="S9" s="2793"/>
      <c r="T9" s="2793"/>
      <c r="U9" s="2793"/>
    </row>
    <row r="10" spans="1:21" ht="15" thickTop="1">
      <c r="A10" s="2739" t="s">
        <v>1517</v>
      </c>
      <c r="B10" s="1510" t="s">
        <v>1465</v>
      </c>
      <c r="C10" s="1475"/>
      <c r="D10" s="1467"/>
      <c r="E10" s="1476" t="s">
        <v>1466</v>
      </c>
      <c r="F10" s="1477" t="s">
        <v>3513</v>
      </c>
      <c r="G10" s="1531"/>
      <c r="H10" s="1532"/>
      <c r="I10" s="1467"/>
      <c r="J10" s="2813"/>
      <c r="K10" s="2796"/>
      <c r="L10" s="2792"/>
      <c r="M10" s="2792"/>
      <c r="N10" s="2793"/>
      <c r="O10" s="2794"/>
      <c r="P10" s="2793"/>
      <c r="Q10" s="2793"/>
      <c r="R10" s="2793"/>
      <c r="S10" s="2793"/>
      <c r="T10" s="2793"/>
      <c r="U10" s="2793"/>
    </row>
    <row r="11" spans="1:21">
      <c r="A11" s="2740" t="s">
        <v>1518</v>
      </c>
      <c r="B11" s="1490" t="s">
        <v>3253</v>
      </c>
      <c r="C11" s="1478"/>
      <c r="D11" s="1548"/>
      <c r="E11" s="2812"/>
      <c r="F11" s="2812"/>
      <c r="G11" s="2812"/>
      <c r="H11" s="2812"/>
      <c r="I11" s="2812"/>
      <c r="J11" s="2813"/>
      <c r="K11" s="2796"/>
      <c r="L11" s="2792"/>
      <c r="M11" s="2792"/>
      <c r="N11" s="2793"/>
      <c r="O11" s="2794"/>
      <c r="P11" s="2793"/>
      <c r="Q11" s="2793"/>
      <c r="R11" s="2793"/>
      <c r="S11" s="2793"/>
      <c r="T11" s="2793"/>
      <c r="U11" s="2793"/>
    </row>
    <row r="12" spans="1:21">
      <c r="A12" s="1568" t="s">
        <v>1576</v>
      </c>
      <c r="B12" s="3770"/>
      <c r="C12" s="3771"/>
      <c r="D12" s="3772"/>
      <c r="E12" s="1491" t="s">
        <v>1579</v>
      </c>
      <c r="F12" s="3788" t="s">
        <v>2162</v>
      </c>
      <c r="G12" s="3789"/>
      <c r="H12" s="3789"/>
      <c r="I12" s="3790"/>
      <c r="J12" s="2813"/>
      <c r="K12" s="2796"/>
      <c r="L12" s="2792"/>
      <c r="M12" s="2792"/>
      <c r="N12" s="2793"/>
      <c r="O12" s="2794"/>
      <c r="P12" s="2793"/>
      <c r="Q12" s="2793"/>
      <c r="R12" s="2793"/>
      <c r="S12" s="2793"/>
      <c r="T12" s="2793"/>
      <c r="U12" s="2793"/>
    </row>
    <row r="13" spans="1:21">
      <c r="A13" s="1482" t="s">
        <v>1577</v>
      </c>
      <c r="B13" s="3770"/>
      <c r="C13" s="3771"/>
      <c r="D13" s="3772"/>
      <c r="E13" s="1491" t="s">
        <v>1579</v>
      </c>
      <c r="F13" s="3788" t="s">
        <v>2163</v>
      </c>
      <c r="G13" s="3789"/>
      <c r="H13" s="3789"/>
      <c r="I13" s="3790"/>
      <c r="J13" s="2813"/>
      <c r="K13" s="2796"/>
      <c r="L13" s="2792"/>
      <c r="M13" s="2792"/>
      <c r="N13" s="2793"/>
      <c r="O13" s="2794"/>
      <c r="P13" s="2793"/>
      <c r="Q13" s="2793"/>
      <c r="R13" s="2793"/>
      <c r="S13" s="2793"/>
      <c r="T13" s="2793"/>
      <c r="U13" s="2793"/>
    </row>
    <row r="14" spans="1:21">
      <c r="A14" s="1461" t="s">
        <v>1580</v>
      </c>
      <c r="B14" s="1491"/>
      <c r="C14" s="1626"/>
      <c r="D14" s="1524" t="str">
        <f>IF(C14="不一致","是否符合证载地类范围","")</f>
        <v/>
      </c>
      <c r="E14" s="1491"/>
      <c r="F14" s="1573"/>
      <c r="G14" s="1519"/>
      <c r="H14" s="1519"/>
      <c r="I14" s="1619"/>
      <c r="J14" s="2813"/>
      <c r="K14" s="2796"/>
      <c r="L14" s="2792"/>
      <c r="M14" s="2792"/>
      <c r="N14" s="2793"/>
      <c r="O14" s="2794"/>
      <c r="P14" s="2793"/>
      <c r="Q14" s="2793"/>
      <c r="R14" s="2793"/>
      <c r="S14" s="2793"/>
      <c r="T14" s="2793"/>
      <c r="U14" s="2793"/>
    </row>
    <row r="15" spans="1:21">
      <c r="A15" s="2247"/>
      <c r="B15" s="1463"/>
      <c r="C15" s="3279" t="s">
        <v>1469</v>
      </c>
      <c r="D15" s="3279" t="s">
        <v>1470</v>
      </c>
      <c r="E15" s="3279" t="s">
        <v>1179</v>
      </c>
      <c r="F15" s="1481" t="s">
        <v>1471</v>
      </c>
      <c r="G15" s="1481" t="s">
        <v>1472</v>
      </c>
      <c r="H15" s="1481" t="s">
        <v>776</v>
      </c>
      <c r="I15" s="1481" t="s">
        <v>2730</v>
      </c>
      <c r="J15" s="2813"/>
      <c r="K15" s="2796"/>
      <c r="L15" s="2792"/>
      <c r="M15" s="2792"/>
      <c r="N15" s="2793"/>
      <c r="O15" s="2794"/>
      <c r="P15" s="2793"/>
      <c r="Q15" s="2793"/>
      <c r="R15" s="2793"/>
      <c r="S15" s="2793"/>
      <c r="T15" s="2793"/>
      <c r="U15" s="2793"/>
    </row>
    <row r="16" spans="1:21" ht="42.75">
      <c r="A16" s="2741" t="s">
        <v>1467</v>
      </c>
      <c r="B16" s="1491" t="s">
        <v>1468</v>
      </c>
      <c r="C16" s="3279" t="s">
        <v>1469</v>
      </c>
      <c r="D16" s="1513" t="s">
        <v>2731</v>
      </c>
      <c r="E16" s="1513" t="s">
        <v>1212</v>
      </c>
      <c r="F16" s="1513" t="s">
        <v>2732</v>
      </c>
      <c r="G16" s="1513" t="s">
        <v>2733</v>
      </c>
      <c r="H16" s="1481" t="s">
        <v>776</v>
      </c>
      <c r="I16" s="1481" t="s">
        <v>2730</v>
      </c>
      <c r="J16" s="2813"/>
      <c r="K16" s="2105" t="str">
        <f>IF(D17="","",D16&amp;TEXT(D17,"yyyy年m月d日;;"))</f>
        <v>商业2059年12月29日</v>
      </c>
      <c r="L16" s="1491" t="str">
        <f>IF(OR(K16="",M16=""),"","、")</f>
        <v>、</v>
      </c>
      <c r="M16" s="2105" t="str">
        <f>IF(E17="","",E16&amp;TEXT(E17,"yyyy年m月d日;;"))</f>
        <v>办公2069年12月29日</v>
      </c>
      <c r="N16" s="1491" t="str">
        <f>IF(OR(M16="",O16=""),"","、")</f>
        <v>、</v>
      </c>
      <c r="O16" s="2105" t="str">
        <f>IF(F17="","",F16&amp;TEXT(F17,"yyyy年m月d日;;"))</f>
        <v>车库2069年12月29日</v>
      </c>
      <c r="P16" s="1491" t="str">
        <f>IF(OR(O16="",Q16=""),"","、")</f>
        <v>、</v>
      </c>
      <c r="Q16" s="2105" t="str">
        <f>IF(G17="","",G16&amp;TEXT(G17,"yyyy年m月d日;;"))</f>
        <v>仓储2069年12月29日</v>
      </c>
      <c r="R16" s="1491" t="str">
        <f>IF(OR(Q16="",S16=""),"","、")</f>
        <v/>
      </c>
      <c r="S16" s="2105" t="str">
        <f>IF(H17="","",H16&amp;TEXT(H17,"yyyy年m月d日;;"))</f>
        <v/>
      </c>
      <c r="T16" s="1491" t="str">
        <f>IF(OR(S16="",U16=""),"","、")</f>
        <v/>
      </c>
      <c r="U16" s="2105" t="str">
        <f>IF(I17="","",I16&amp;TEXT(I17,"yyyy年m月d日;;"))</f>
        <v/>
      </c>
    </row>
    <row r="17" spans="1:21">
      <c r="A17" s="3333" t="s">
        <v>2734</v>
      </c>
      <c r="B17" s="2742" t="s">
        <v>1473</v>
      </c>
      <c r="C17" s="3696">
        <v>69396</v>
      </c>
      <c r="D17" s="3697">
        <v>58438</v>
      </c>
      <c r="E17" s="3697">
        <v>62091</v>
      </c>
      <c r="F17" s="3697">
        <f>E17</f>
        <v>62091</v>
      </c>
      <c r="G17" s="3697">
        <f>F17</f>
        <v>62091</v>
      </c>
      <c r="H17" s="3697"/>
      <c r="I17" s="3332"/>
      <c r="J17" s="2813"/>
      <c r="K17" s="2791" t="str">
        <f>CONCATENATE(K16,L16,M16,N16,O16,P16,Q16,R16,S16,T16,,U16)</f>
        <v>商业2059年12月29日、办公2069年12月29日、车库2069年12月29日、仓储2069年12月29日</v>
      </c>
      <c r="L17" s="2792"/>
      <c r="M17" s="2792"/>
      <c r="N17" s="2793"/>
      <c r="O17" s="2794"/>
      <c r="P17" s="2793"/>
      <c r="Q17" s="2793"/>
      <c r="R17" s="2793"/>
      <c r="S17" s="2793"/>
      <c r="T17" s="2793"/>
      <c r="U17" s="2793"/>
    </row>
    <row r="18" spans="1:21">
      <c r="A18" s="1549"/>
      <c r="B18" s="2742" t="s">
        <v>1474</v>
      </c>
      <c r="C18" s="1479">
        <v>70</v>
      </c>
      <c r="D18" s="1479">
        <v>40</v>
      </c>
      <c r="E18" s="1479">
        <v>50</v>
      </c>
      <c r="F18" s="1479">
        <v>50</v>
      </c>
      <c r="G18" s="1479">
        <v>50</v>
      </c>
      <c r="H18" s="1479"/>
      <c r="I18" s="1479"/>
      <c r="J18" s="2813"/>
      <c r="K18" s="2796"/>
      <c r="L18" s="2792"/>
      <c r="M18" s="2792"/>
      <c r="N18" s="2793"/>
      <c r="O18" s="2794"/>
      <c r="P18" s="2793"/>
      <c r="Q18" s="2793"/>
      <c r="R18" s="2793"/>
      <c r="S18" s="2793"/>
      <c r="T18" s="2793"/>
      <c r="U18" s="2793"/>
    </row>
    <row r="19" spans="1:21">
      <c r="A19" s="1549"/>
      <c r="B19" s="1460" t="s">
        <v>1475</v>
      </c>
      <c r="C19" s="1544">
        <f>IF(A17="出让",IF(C17="","",ROUNDDOWN(MIN((C17-$D$3)/365,C18),2)),C18)</f>
        <v>66.459999999999994</v>
      </c>
      <c r="D19" s="1544">
        <f>IF(A17="出让",IF(D17="","",ROUNDDOWN(MIN((D17-$D$3)/365,D18),2)),D18)</f>
        <v>36.43</v>
      </c>
      <c r="E19" s="1480">
        <f>IF(A17="出让",IF(E17="","",ROUNDDOWN(MIN((E17-$D$3)/365,E18),2)),E18)</f>
        <v>46.44</v>
      </c>
      <c r="F19" s="1480">
        <f>IF(A17="出让",IF(F17="","",ROUNDDOWN(MIN((F17-$D$3)/365,F18),2)),F18)</f>
        <v>46.44</v>
      </c>
      <c r="G19" s="1480">
        <f>IF(A17="出让",IF(G17="","",ROUNDDOWN(MIN((G17-$D$3)/365,G18),2)),G18)</f>
        <v>46.44</v>
      </c>
      <c r="H19" s="1480" t="str">
        <f>IF(A17="出让",IF(H17="","",ROUNDDOWN(MIN((H17-$D$3)/365,H18),2)),H18)</f>
        <v/>
      </c>
      <c r="I19" s="1480" t="str">
        <f>IF(A17="出让",IF(I17="","",ROUNDDOWN(MIN((I17-$D$3)/365,I18),2)),I18)</f>
        <v/>
      </c>
      <c r="J19" s="2813"/>
      <c r="K19" s="2796"/>
      <c r="L19" s="2792"/>
      <c r="M19" s="2792"/>
      <c r="N19" s="2793"/>
      <c r="O19" s="2794"/>
      <c r="P19" s="2793"/>
      <c r="Q19" s="2793"/>
      <c r="R19" s="2793"/>
      <c r="S19" s="2793"/>
      <c r="T19" s="2793"/>
      <c r="U19" s="2793"/>
    </row>
    <row r="20" spans="1:21">
      <c r="A20" s="1569"/>
      <c r="B20" s="1570"/>
      <c r="C20" s="1571" t="s">
        <v>1578</v>
      </c>
      <c r="D20" s="3785"/>
      <c r="E20" s="3786"/>
      <c r="F20" s="3786"/>
      <c r="G20" s="3786"/>
      <c r="H20" s="3786"/>
      <c r="I20" s="3787"/>
      <c r="J20" s="2813"/>
      <c r="K20" s="2796"/>
      <c r="L20" s="2792"/>
      <c r="M20" s="2792"/>
      <c r="N20" s="2793"/>
      <c r="O20" s="2794"/>
      <c r="P20" s="2793"/>
      <c r="Q20" s="2793"/>
      <c r="R20" s="2793"/>
      <c r="S20" s="2793"/>
      <c r="T20" s="2793"/>
      <c r="U20" s="2793"/>
    </row>
    <row r="21" spans="1:21">
      <c r="A21" s="1549" t="s">
        <v>1476</v>
      </c>
      <c r="B21" s="1550" t="s">
        <v>1477</v>
      </c>
      <c r="C21" s="1545">
        <f>'数据-汇总表'!E3</f>
        <v>68710.41</v>
      </c>
      <c r="D21" s="1546" t="s">
        <v>1478</v>
      </c>
      <c r="E21" s="3775" t="s">
        <v>1516</v>
      </c>
      <c r="F21" s="3776"/>
      <c r="G21" s="3776"/>
      <c r="H21" s="3776"/>
      <c r="I21" s="3777"/>
      <c r="J21" s="2813"/>
      <c r="K21" s="2796"/>
      <c r="L21" s="2792"/>
      <c r="M21" s="2792"/>
      <c r="N21" s="2793"/>
      <c r="O21" s="2794"/>
      <c r="P21" s="2793"/>
      <c r="Q21" s="2793"/>
      <c r="R21" s="2793"/>
      <c r="S21" s="2793"/>
      <c r="T21" s="2793"/>
      <c r="U21" s="2793"/>
    </row>
    <row r="22" spans="1:21">
      <c r="A22" s="2553" t="s">
        <v>877</v>
      </c>
      <c r="B22" s="1461" t="s">
        <v>1479</v>
      </c>
      <c r="C22" s="1481">
        <f>'数据-汇总表'!D3</f>
        <v>23364.85</v>
      </c>
      <c r="D22" s="1482" t="s">
        <v>1478</v>
      </c>
      <c r="E22" s="3775" t="s">
        <v>2164</v>
      </c>
      <c r="F22" s="3776"/>
      <c r="G22" s="3776"/>
      <c r="H22" s="3776"/>
      <c r="I22" s="3777"/>
      <c r="J22" s="2813"/>
      <c r="K22" s="2796"/>
      <c r="L22" s="2792"/>
      <c r="M22" s="2792"/>
      <c r="N22" s="2793"/>
      <c r="O22" s="2794"/>
      <c r="P22" s="2793"/>
      <c r="Q22" s="2793"/>
      <c r="R22" s="2793"/>
      <c r="S22" s="2793"/>
      <c r="T22" s="2793"/>
      <c r="U22" s="2793"/>
    </row>
    <row r="23" spans="1:21" ht="29.25" thickBot="1">
      <c r="A23" s="1551" t="s">
        <v>1480</v>
      </c>
      <c r="B23" s="1492" t="s">
        <v>1481</v>
      </c>
      <c r="C23" s="1493"/>
      <c r="D23" s="1494" t="s">
        <v>1482</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1483</v>
      </c>
      <c r="B24" s="3778" t="s">
        <v>1484</v>
      </c>
      <c r="C24" s="3779"/>
      <c r="D24" s="3780" t="s">
        <v>1485</v>
      </c>
      <c r="E24" s="3781"/>
      <c r="F24" s="1499" t="s">
        <v>1486</v>
      </c>
      <c r="G24" s="2813"/>
      <c r="H24" s="2813"/>
      <c r="I24" s="2817"/>
      <c r="J24" s="2813"/>
      <c r="K24" s="3766"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3"/>
      <c r="O24" s="2794"/>
      <c r="P24" s="2793"/>
      <c r="Q24" s="2793"/>
      <c r="R24" s="2793"/>
      <c r="S24" s="2793"/>
      <c r="T24" s="2793"/>
      <c r="U24" s="2793"/>
    </row>
    <row r="25" spans="1:21" ht="28.5">
      <c r="A25" s="1537"/>
      <c r="B25" s="1534" t="s">
        <v>1682</v>
      </c>
      <c r="C25" s="1500" t="s">
        <v>1488</v>
      </c>
      <c r="D25" s="1501"/>
      <c r="E25" s="1502" t="s">
        <v>877</v>
      </c>
      <c r="F25" s="1503"/>
      <c r="G25" s="2813"/>
      <c r="H25" s="2813"/>
      <c r="I25" s="2817"/>
      <c r="J25" s="2813"/>
      <c r="K25" s="3766"/>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3"/>
      <c r="O25" s="2794"/>
      <c r="P25" s="2793"/>
      <c r="Q25" s="2793"/>
      <c r="R25" s="2793"/>
      <c r="S25" s="2793"/>
      <c r="T25" s="2793"/>
      <c r="U25" s="2793"/>
    </row>
    <row r="26" spans="1:21" ht="29.25" thickBot="1">
      <c r="A26" s="1538"/>
      <c r="B26" s="1535" t="s">
        <v>1489</v>
      </c>
      <c r="C26" s="1500" t="s">
        <v>1683</v>
      </c>
      <c r="D26" s="2814"/>
      <c r="E26" s="2814"/>
      <c r="F26" s="2820"/>
      <c r="G26" s="2813"/>
      <c r="H26" s="2813"/>
      <c r="I26" s="2817"/>
      <c r="J26" s="2813"/>
      <c r="K26" s="3766"/>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1490</v>
      </c>
      <c r="B27" s="1539" t="s">
        <v>1491</v>
      </c>
      <c r="C27" s="1504"/>
      <c r="D27" s="2252" t="s">
        <v>1491</v>
      </c>
      <c r="E27" s="1505"/>
      <c r="F27" s="2820"/>
      <c r="G27" s="2813"/>
      <c r="H27" s="2813"/>
      <c r="I27" s="2817"/>
      <c r="J27" s="2813"/>
      <c r="K27" s="2796"/>
      <c r="L27" s="2792"/>
      <c r="M27" s="2792"/>
      <c r="N27" s="2793"/>
      <c r="O27" s="2794"/>
      <c r="P27" s="2793"/>
      <c r="Q27" s="2793"/>
      <c r="R27" s="2793"/>
      <c r="S27" s="2793"/>
      <c r="T27" s="2793"/>
      <c r="U27" s="2793"/>
    </row>
    <row r="28" spans="1:21">
      <c r="A28" s="1542"/>
      <c r="B28" s="1539" t="s">
        <v>1492</v>
      </c>
      <c r="C28" s="1506"/>
      <c r="D28" s="2253" t="s">
        <v>1492</v>
      </c>
      <c r="E28" s="1507"/>
      <c r="F28" s="2820"/>
      <c r="G28" s="2813"/>
      <c r="H28" s="2813"/>
      <c r="I28" s="2817"/>
      <c r="J28" s="2813"/>
      <c r="K28" s="2796"/>
      <c r="L28" s="2792"/>
      <c r="M28" s="2792"/>
      <c r="N28" s="2793"/>
      <c r="O28" s="2794"/>
      <c r="P28" s="2793"/>
      <c r="Q28" s="2793"/>
      <c r="R28" s="2793"/>
      <c r="S28" s="2793"/>
      <c r="T28" s="2793"/>
      <c r="U28" s="2793"/>
    </row>
    <row r="29" spans="1:21">
      <c r="A29" s="1542"/>
      <c r="B29" s="1539" t="s">
        <v>1493</v>
      </c>
      <c r="C29" s="1506"/>
      <c r="D29" s="2253" t="s">
        <v>1493</v>
      </c>
      <c r="E29" s="1507"/>
      <c r="F29" s="2820"/>
      <c r="G29" s="2813"/>
      <c r="H29" s="2813"/>
      <c r="I29" s="2817"/>
      <c r="J29" s="2813"/>
      <c r="K29" s="2796"/>
      <c r="L29" s="2792"/>
      <c r="M29" s="2792"/>
      <c r="N29" s="2793"/>
      <c r="O29" s="2794"/>
      <c r="P29" s="2793"/>
      <c r="Q29" s="2793"/>
      <c r="R29" s="2793"/>
      <c r="S29" s="2793"/>
      <c r="T29" s="2793"/>
      <c r="U29" s="2793"/>
    </row>
    <row r="30" spans="1:21" ht="15" thickBot="1">
      <c r="A30" s="1543"/>
      <c r="B30" s="1540" t="s">
        <v>1494</v>
      </c>
      <c r="C30" s="1508"/>
      <c r="D30" s="2254" t="s">
        <v>1494</v>
      </c>
      <c r="E30" s="1509"/>
      <c r="F30" s="2821"/>
      <c r="G30" s="2818"/>
      <c r="H30" s="2818"/>
      <c r="I30" s="2819"/>
      <c r="J30" s="2813"/>
      <c r="K30" s="2796"/>
      <c r="L30" s="2792"/>
      <c r="M30" s="2792"/>
      <c r="N30" s="2793"/>
      <c r="O30" s="2794"/>
      <c r="P30" s="2793"/>
      <c r="Q30" s="2793"/>
      <c r="R30" s="2793"/>
      <c r="S30" s="2793"/>
      <c r="T30" s="2793"/>
      <c r="U30" s="2793"/>
    </row>
    <row r="31" spans="1:21" ht="15" thickTop="1">
      <c r="A31" s="3752" t="s">
        <v>1519</v>
      </c>
      <c r="B31" s="1550" t="s">
        <v>1520</v>
      </c>
      <c r="C31" s="3791"/>
      <c r="D31" s="3792"/>
      <c r="E31" s="2813"/>
      <c r="F31" s="2813"/>
      <c r="G31" s="2813"/>
      <c r="H31" s="2813"/>
      <c r="I31" s="2817"/>
      <c r="J31" s="2813"/>
      <c r="K31" s="2799"/>
      <c r="L31" s="2793"/>
      <c r="M31" s="2793"/>
      <c r="N31" s="2793"/>
      <c r="O31" s="2793"/>
      <c r="P31" s="2793"/>
      <c r="Q31" s="2793"/>
      <c r="R31" s="2793"/>
      <c r="S31" s="2793"/>
      <c r="T31" s="2793"/>
      <c r="U31" s="2793"/>
    </row>
    <row r="32" spans="1:21">
      <c r="A32" s="3752"/>
      <c r="B32" s="1461" t="s">
        <v>1521</v>
      </c>
      <c r="C32" s="1510"/>
      <c r="D32" s="1511"/>
      <c r="E32" s="2813"/>
      <c r="F32" s="2813"/>
      <c r="G32" s="2813"/>
      <c r="H32" s="2813"/>
      <c r="I32" s="2817"/>
      <c r="J32" s="2813"/>
      <c r="K32" s="2799"/>
      <c r="L32" s="2793"/>
      <c r="M32" s="2793"/>
      <c r="N32" s="2793"/>
      <c r="O32" s="2793"/>
      <c r="P32" s="2793"/>
      <c r="Q32" s="2793"/>
      <c r="R32" s="2793"/>
      <c r="S32" s="2793"/>
      <c r="T32" s="2793"/>
      <c r="U32" s="2793"/>
    </row>
    <row r="33" spans="1:28">
      <c r="A33" s="3752"/>
      <c r="B33" s="1461" t="s">
        <v>1522</v>
      </c>
      <c r="C33" s="1512"/>
      <c r="D33" s="1620"/>
      <c r="E33" s="2813"/>
      <c r="F33" s="2813"/>
      <c r="G33" s="2813"/>
      <c r="H33" s="2813"/>
      <c r="I33" s="2817"/>
      <c r="J33" s="2813"/>
      <c r="K33" s="2799"/>
      <c r="L33" s="2793"/>
      <c r="M33" s="2793"/>
      <c r="N33" s="2793"/>
      <c r="O33" s="2793"/>
      <c r="P33" s="2793"/>
      <c r="Q33" s="2793"/>
      <c r="R33" s="2793"/>
      <c r="S33" s="2793"/>
      <c r="T33" s="2793"/>
      <c r="U33" s="2793"/>
    </row>
    <row r="34" spans="1:28">
      <c r="A34" s="3753"/>
      <c r="B34" s="1461" t="s">
        <v>1523</v>
      </c>
      <c r="C34" s="3754"/>
      <c r="D34" s="3755"/>
      <c r="E34" s="2813"/>
      <c r="F34" s="2813"/>
      <c r="G34" s="2813"/>
      <c r="H34" s="2813"/>
      <c r="I34" s="2817"/>
      <c r="J34" s="2813"/>
      <c r="K34" s="2799"/>
      <c r="L34" s="2793"/>
      <c r="M34" s="2793"/>
      <c r="N34" s="2793"/>
      <c r="O34" s="2793"/>
      <c r="P34" s="2793"/>
      <c r="Q34" s="2793"/>
      <c r="R34" s="2793"/>
      <c r="S34" s="2793"/>
      <c r="T34" s="2793"/>
      <c r="U34" s="2793"/>
    </row>
    <row r="35" spans="1:28">
      <c r="A35" s="3756" t="s">
        <v>785</v>
      </c>
      <c r="B35" s="1513"/>
      <c r="C35" s="1559" t="str">
        <f>IF(B35="场地平整","——","具体情况：")</f>
        <v>具体情况：</v>
      </c>
      <c r="D35" s="3758"/>
      <c r="E35" s="3759"/>
      <c r="F35" s="3759"/>
      <c r="G35" s="3759"/>
      <c r="H35" s="3759"/>
      <c r="I35" s="3760"/>
      <c r="J35" s="2813"/>
      <c r="K35" s="2800"/>
      <c r="L35" s="2792"/>
      <c r="M35" s="2792"/>
      <c r="N35" s="2793"/>
      <c r="O35" s="2794"/>
      <c r="P35" s="2793"/>
      <c r="Q35" s="2793"/>
      <c r="R35" s="2793"/>
      <c r="S35" s="2793"/>
      <c r="T35" s="2793"/>
      <c r="U35" s="2793"/>
    </row>
    <row r="36" spans="1:28">
      <c r="A36" s="3752"/>
      <c r="B36" s="3761" t="s">
        <v>1572</v>
      </c>
      <c r="C36" s="3762"/>
      <c r="D36" s="1575" t="s">
        <v>2765</v>
      </c>
      <c r="E36" s="3763"/>
      <c r="F36" s="3763"/>
      <c r="G36" s="1482" t="str">
        <f>IF(B35="场地未平整","估价结果处理","")</f>
        <v/>
      </c>
      <c r="H36" s="3764"/>
      <c r="I36" s="3764"/>
      <c r="J36" s="2813"/>
      <c r="K36" s="2800"/>
      <c r="L36" s="2792"/>
      <c r="M36" s="2792"/>
      <c r="N36" s="2793"/>
      <c r="O36" s="2794"/>
      <c r="P36" s="2793"/>
      <c r="Q36" s="2793"/>
      <c r="R36" s="2793"/>
      <c r="S36" s="2793"/>
      <c r="T36" s="2793"/>
      <c r="U36" s="2793"/>
    </row>
    <row r="37" spans="1:28" ht="28.5">
      <c r="A37" s="3752"/>
      <c r="B37" s="3782" t="s">
        <v>786</v>
      </c>
      <c r="C37" s="1515" t="s">
        <v>787</v>
      </c>
      <c r="D37" s="1516"/>
      <c r="E37" s="1517"/>
      <c r="F37" s="2813"/>
      <c r="G37" s="2813"/>
      <c r="H37" s="2813"/>
      <c r="I37" s="2817"/>
      <c r="J37" s="2813"/>
      <c r="K37" s="2800"/>
      <c r="L37" s="2793"/>
      <c r="M37" s="2793"/>
      <c r="N37" s="2793"/>
      <c r="O37" s="2793"/>
      <c r="P37" s="2793"/>
      <c r="Q37" s="2793"/>
      <c r="R37" s="2793"/>
      <c r="S37" s="2793"/>
      <c r="T37" s="2793"/>
      <c r="U37" s="2793"/>
    </row>
    <row r="38" spans="1:28">
      <c r="A38" s="3752"/>
      <c r="B38" s="3783"/>
      <c r="C38" s="1469" t="s">
        <v>788</v>
      </c>
      <c r="D38" s="1574">
        <f>ROUNDDOWN(MIN(('数据-取费表'!$B$2-D37)/365,D34),1)</f>
        <v>123.6</v>
      </c>
      <c r="E38" s="1518" t="s">
        <v>789</v>
      </c>
      <c r="F38" s="2813"/>
      <c r="G38" s="2813"/>
      <c r="H38" s="2813"/>
      <c r="I38" s="2817"/>
      <c r="J38" s="2813"/>
      <c r="K38" s="2800"/>
      <c r="L38" s="2793"/>
      <c r="M38" s="2793"/>
      <c r="N38" s="2793"/>
      <c r="O38" s="2793"/>
      <c r="P38" s="2793"/>
      <c r="Q38" s="2793"/>
      <c r="R38" s="2793"/>
      <c r="S38" s="2793"/>
      <c r="T38" s="2793"/>
      <c r="U38" s="2793"/>
    </row>
    <row r="39" spans="1:28">
      <c r="A39" s="3753"/>
      <c r="B39" s="3784"/>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1495</v>
      </c>
      <c r="B40" s="1483"/>
      <c r="C40" s="1483"/>
      <c r="D40" s="1483"/>
      <c r="E40" s="1483"/>
      <c r="F40" s="1483"/>
      <c r="G40" s="1483"/>
      <c r="H40" s="1483"/>
      <c r="I40" s="2817"/>
      <c r="J40" s="2813"/>
      <c r="K40" s="2761">
        <f>COUNTIF(B40:H40,"——")</f>
        <v>0</v>
      </c>
      <c r="L40" s="1491" t="s">
        <v>1496</v>
      </c>
      <c r="M40" s="1488" t="s">
        <v>1497</v>
      </c>
      <c r="N40" s="1488" t="s">
        <v>1498</v>
      </c>
      <c r="O40" s="1488" t="s">
        <v>1499</v>
      </c>
      <c r="P40" s="1488" t="s">
        <v>1500</v>
      </c>
      <c r="Q40" s="1488" t="s">
        <v>1501</v>
      </c>
      <c r="R40" s="1488" t="s">
        <v>1502</v>
      </c>
      <c r="S40" s="3765" t="s">
        <v>1503</v>
      </c>
      <c r="T40" s="1522" t="str">
        <f>NUMBERSTRING(7-K40,1)&amp;"通"</f>
        <v>七通</v>
      </c>
      <c r="U40" s="2793"/>
    </row>
    <row r="41" spans="1:28">
      <c r="A41" s="1463"/>
      <c r="B41" s="3757" t="s">
        <v>1250</v>
      </c>
      <c r="C41" s="3757"/>
      <c r="D41" s="3757"/>
      <c r="E41" s="3757"/>
      <c r="F41" s="1523">
        <f>C10</f>
        <v>0</v>
      </c>
      <c r="G41" s="2813"/>
      <c r="H41" s="2813"/>
      <c r="I41" s="2817"/>
      <c r="J41" s="2813"/>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65"/>
      <c r="T41" s="1524" t="str">
        <f>IF(T40="一通",L41,IF(T40="二通",M41,IF(T40="三通",N41,IF(T40="四通",O41,IF(T40="五通",P41,IF(T40="六通",Q41,R41))))))</f>
        <v>、、、、、、</v>
      </c>
      <c r="U41" s="2793"/>
    </row>
    <row r="42" spans="1:28">
      <c r="A42" s="1526"/>
      <c r="B42" s="1552" t="s">
        <v>1422</v>
      </c>
      <c r="C42" s="1552" t="s">
        <v>1423</v>
      </c>
      <c r="D42" s="1552" t="s">
        <v>1424</v>
      </c>
      <c r="E42" s="3279" t="s">
        <v>2735</v>
      </c>
      <c r="F42" s="3279" t="s">
        <v>2736</v>
      </c>
      <c r="G42" s="2813"/>
      <c r="H42" s="2813"/>
      <c r="I42" s="2817"/>
      <c r="J42" s="2813"/>
      <c r="K42" s="2796"/>
      <c r="L42" s="2792"/>
      <c r="M42" s="2792"/>
      <c r="N42" s="2793"/>
      <c r="O42" s="2794"/>
      <c r="P42" s="2793"/>
      <c r="Q42" s="2793"/>
      <c r="R42" s="2793"/>
      <c r="S42" s="2793"/>
      <c r="T42" s="2793"/>
      <c r="U42" s="2793"/>
    </row>
    <row r="43" spans="1:28">
      <c r="A43" s="2764" t="s">
        <v>1235</v>
      </c>
      <c r="B43" s="1528" t="s">
        <v>1156</v>
      </c>
      <c r="C43" s="1528" t="s">
        <v>1156</v>
      </c>
      <c r="D43" s="1528" t="s">
        <v>1156</v>
      </c>
      <c r="E43" s="1528" t="s">
        <v>1156</v>
      </c>
      <c r="F43" s="1528" t="s">
        <v>1156</v>
      </c>
      <c r="G43" s="2813"/>
      <c r="H43" s="2813"/>
      <c r="I43" s="2817"/>
      <c r="J43" s="2813"/>
      <c r="K43" s="2796"/>
      <c r="L43" s="2792"/>
      <c r="M43" s="2792"/>
      <c r="N43" s="2793"/>
      <c r="O43" s="2794"/>
      <c r="P43" s="2793"/>
      <c r="Q43" s="2793"/>
      <c r="R43" s="2793"/>
      <c r="S43" s="2793"/>
      <c r="T43" s="2793"/>
      <c r="U43" s="2793"/>
    </row>
    <row r="44" spans="1:28">
      <c r="A44" s="2764" t="s">
        <v>1236</v>
      </c>
      <c r="B44" s="1528" t="s">
        <v>1039</v>
      </c>
      <c r="C44" s="1528" t="s">
        <v>1039</v>
      </c>
      <c r="D44" s="1528" t="s">
        <v>1039</v>
      </c>
      <c r="E44" s="1528" t="s">
        <v>1039</v>
      </c>
      <c r="F44" s="1528" t="s">
        <v>1039</v>
      </c>
      <c r="G44" s="2813"/>
      <c r="H44" s="2813"/>
      <c r="I44" s="2817"/>
      <c r="J44" s="2813"/>
      <c r="K44" s="2796"/>
      <c r="L44" s="2792"/>
      <c r="M44" s="2792"/>
      <c r="N44" s="2793"/>
      <c r="O44" s="2794"/>
      <c r="P44" s="2793"/>
      <c r="Q44" s="2793"/>
      <c r="R44" s="2793"/>
      <c r="S44" s="2793"/>
      <c r="T44" s="2793"/>
      <c r="U44" s="2793"/>
    </row>
    <row r="45" spans="1:28" s="2526" customFormat="1" ht="21" thickBot="1">
      <c r="A45" s="2527" t="s">
        <v>2165</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1524</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51"/>
  <sheetViews>
    <sheetView topLeftCell="D16" zoomScaleNormal="100" workbookViewId="0">
      <selection activeCell="K55" sqref="K55"/>
    </sheetView>
  </sheetViews>
  <sheetFormatPr defaultRowHeight="12"/>
  <cols>
    <col min="1" max="1" width="15.125" style="3698" customWidth="1"/>
    <col min="2" max="2" width="10.625" style="3698" customWidth="1"/>
    <col min="3" max="3" width="13.125" style="3698" customWidth="1"/>
    <col min="4" max="4" width="9.125" style="3698" bestFit="1" customWidth="1"/>
    <col min="5" max="5" width="10.25" style="3698" bestFit="1" customWidth="1"/>
    <col min="6" max="6" width="10.25" style="3698" customWidth="1"/>
    <col min="7" max="7" width="9.125" style="3698" bestFit="1" customWidth="1"/>
    <col min="8" max="9" width="9.125" style="3698" customWidth="1"/>
    <col min="10" max="10" width="9.375" style="3698" bestFit="1" customWidth="1"/>
    <col min="11" max="11" width="9.125" style="3698" bestFit="1" customWidth="1"/>
    <col min="12" max="12" width="9.375" style="3698" bestFit="1" customWidth="1"/>
    <col min="13" max="15" width="9.125" style="3698" bestFit="1" customWidth="1"/>
    <col min="16" max="16" width="9" style="3698"/>
    <col min="17" max="17" width="9.375" style="3698" bestFit="1" customWidth="1"/>
    <col min="18" max="18" width="9.125" style="3698" bestFit="1" customWidth="1"/>
    <col min="19" max="19" width="9.375" style="3698" bestFit="1" customWidth="1"/>
    <col min="20" max="22" width="9.125" style="3698" bestFit="1" customWidth="1"/>
    <col min="23" max="23" width="64.125" style="3698" customWidth="1"/>
    <col min="24" max="16384" width="9" style="3698"/>
  </cols>
  <sheetData>
    <row r="2" spans="1:14">
      <c r="A2" s="3698" t="s">
        <v>3511</v>
      </c>
    </row>
    <row r="3" spans="1:14">
      <c r="C3" s="3698" t="s">
        <v>3503</v>
      </c>
      <c r="D3" s="3698" t="s">
        <v>3505</v>
      </c>
    </row>
    <row r="4" spans="1:14" ht="48">
      <c r="C4" s="3698" t="s">
        <v>3512</v>
      </c>
      <c r="D4" s="3698">
        <v>165793.17000000001</v>
      </c>
    </row>
    <row r="6" spans="1:14">
      <c r="A6" s="3698" t="s">
        <v>3501</v>
      </c>
      <c r="B6" s="3698" t="s">
        <v>3507</v>
      </c>
      <c r="C6" s="3698" t="s">
        <v>3503</v>
      </c>
      <c r="D6" s="3698" t="s">
        <v>3505</v>
      </c>
      <c r="E6" s="3698" t="s">
        <v>3506</v>
      </c>
    </row>
    <row r="7" spans="1:14" ht="48">
      <c r="A7" s="3698" t="s">
        <v>3504</v>
      </c>
      <c r="B7" s="3698" t="s">
        <v>3508</v>
      </c>
      <c r="C7" s="3698" t="s">
        <v>3502</v>
      </c>
      <c r="D7" s="3698">
        <v>23364.85</v>
      </c>
      <c r="E7" s="3699">
        <v>69396</v>
      </c>
      <c r="F7" s="3699"/>
    </row>
    <row r="8" spans="1:14" ht="48">
      <c r="A8" s="3698" t="s">
        <v>3510</v>
      </c>
      <c r="B8" s="3698" t="s">
        <v>3508</v>
      </c>
      <c r="C8" s="3698" t="s">
        <v>3509</v>
      </c>
      <c r="D8" s="3698">
        <v>19389.439999999999</v>
      </c>
      <c r="E8" s="3699">
        <v>69396</v>
      </c>
      <c r="F8" s="3699"/>
    </row>
    <row r="11" spans="1:14">
      <c r="A11" s="3701" t="s">
        <v>3530</v>
      </c>
      <c r="B11" s="3793" t="s">
        <v>3560</v>
      </c>
      <c r="C11" s="3793"/>
    </row>
    <row r="12" spans="1:14">
      <c r="B12" s="3698" t="s">
        <v>3515</v>
      </c>
      <c r="G12" s="3698" t="s">
        <v>3523</v>
      </c>
    </row>
    <row r="13" spans="1:14">
      <c r="B13" s="3698" t="s">
        <v>3514</v>
      </c>
      <c r="C13" s="3698" t="s">
        <v>3526</v>
      </c>
      <c r="D13" s="3698" t="s">
        <v>3525</v>
      </c>
      <c r="E13" s="3698" t="s">
        <v>3527</v>
      </c>
      <c r="F13" s="3698" t="s">
        <v>3528</v>
      </c>
      <c r="G13" s="3698" t="s">
        <v>3524</v>
      </c>
      <c r="H13" s="3698" t="s">
        <v>3521</v>
      </c>
      <c r="I13" s="3698" t="s">
        <v>3526</v>
      </c>
      <c r="J13" s="3698" t="s">
        <v>3525</v>
      </c>
      <c r="K13" s="3698" t="s">
        <v>3527</v>
      </c>
      <c r="L13" s="3698" t="s">
        <v>3529</v>
      </c>
      <c r="M13" s="3698" t="s">
        <v>3528</v>
      </c>
      <c r="N13" s="3698" t="s">
        <v>3522</v>
      </c>
    </row>
    <row r="14" spans="1:14">
      <c r="A14" s="3698" t="s">
        <v>3531</v>
      </c>
      <c r="B14" s="3698">
        <v>4651.7</v>
      </c>
      <c r="E14" s="3698">
        <v>10.92</v>
      </c>
      <c r="F14" s="3698">
        <f>SUM(B14:E14)</f>
        <v>4662.62</v>
      </c>
      <c r="G14" s="3700">
        <v>631.62</v>
      </c>
      <c r="M14" s="3698">
        <f>SUM(G14:L14)</f>
        <v>631.62</v>
      </c>
      <c r="N14" s="3698">
        <f>M14+F14</f>
        <v>5294.24</v>
      </c>
    </row>
    <row r="15" spans="1:14">
      <c r="A15" s="3698" t="s">
        <v>3532</v>
      </c>
      <c r="B15" s="3698">
        <v>6205.97</v>
      </c>
      <c r="E15" s="3698">
        <v>12.75</v>
      </c>
      <c r="F15" s="3698">
        <f t="shared" ref="F15:F29" si="0">SUM(B15:E15)</f>
        <v>6218.72</v>
      </c>
      <c r="G15" s="3700">
        <v>848.89</v>
      </c>
      <c r="M15" s="3698">
        <f t="shared" ref="M15:M29" si="1">SUM(G15:L15)</f>
        <v>848.89</v>
      </c>
      <c r="N15" s="3698">
        <f t="shared" ref="N15:N28" si="2">M15+F15</f>
        <v>7067.6100000000006</v>
      </c>
    </row>
    <row r="16" spans="1:14">
      <c r="A16" s="3698" t="s">
        <v>3537</v>
      </c>
      <c r="B16" s="3698">
        <v>6684.84</v>
      </c>
      <c r="E16" s="3698">
        <v>12.92</v>
      </c>
      <c r="F16" s="3698">
        <f t="shared" si="0"/>
        <v>6697.76</v>
      </c>
      <c r="G16" s="3700">
        <v>997.12</v>
      </c>
      <c r="M16" s="3698">
        <f t="shared" si="1"/>
        <v>997.12</v>
      </c>
      <c r="N16" s="3698">
        <f t="shared" si="2"/>
        <v>7694.88</v>
      </c>
    </row>
    <row r="17" spans="1:14">
      <c r="A17" s="3698" t="s">
        <v>3533</v>
      </c>
      <c r="B17" s="3698">
        <v>3796.59</v>
      </c>
      <c r="D17" s="3698">
        <f>100</f>
        <v>100</v>
      </c>
      <c r="E17" s="3698">
        <v>10.08</v>
      </c>
      <c r="F17" s="3698">
        <f t="shared" si="0"/>
        <v>3906.67</v>
      </c>
      <c r="G17" s="3700">
        <v>917.04</v>
      </c>
      <c r="M17" s="3698">
        <f t="shared" si="1"/>
        <v>917.04</v>
      </c>
      <c r="N17" s="3698">
        <f t="shared" si="2"/>
        <v>4823.71</v>
      </c>
    </row>
    <row r="18" spans="1:14">
      <c r="A18" s="3698" t="s">
        <v>3538</v>
      </c>
      <c r="B18" s="3698">
        <v>5114.0200000000004</v>
      </c>
      <c r="E18" s="3698">
        <v>10.02</v>
      </c>
      <c r="F18" s="3698">
        <f t="shared" si="0"/>
        <v>5124.0400000000009</v>
      </c>
      <c r="G18" s="3700">
        <v>1062.3</v>
      </c>
      <c r="M18" s="3698">
        <f t="shared" si="1"/>
        <v>1062.3</v>
      </c>
      <c r="N18" s="3698">
        <f t="shared" si="2"/>
        <v>6186.3400000000011</v>
      </c>
    </row>
    <row r="19" spans="1:14">
      <c r="A19" s="3698" t="s">
        <v>3539</v>
      </c>
      <c r="B19" s="3698">
        <v>5114.0200000000004</v>
      </c>
      <c r="E19" s="3698">
        <v>10.02</v>
      </c>
      <c r="F19" s="3698">
        <f t="shared" si="0"/>
        <v>5124.0400000000009</v>
      </c>
      <c r="G19" s="3700">
        <v>1109.6600000000001</v>
      </c>
      <c r="M19" s="3698">
        <f t="shared" si="1"/>
        <v>1109.6600000000001</v>
      </c>
      <c r="N19" s="3698">
        <f t="shared" si="2"/>
        <v>6233.7000000000007</v>
      </c>
    </row>
    <row r="20" spans="1:14">
      <c r="A20" s="3698" t="s">
        <v>3540</v>
      </c>
      <c r="B20" s="3698">
        <v>3039.44</v>
      </c>
      <c r="E20" s="3698">
        <v>8.6199999999999992</v>
      </c>
      <c r="F20" s="3698">
        <f t="shared" si="0"/>
        <v>3048.06</v>
      </c>
      <c r="G20" s="3700">
        <v>379.69</v>
      </c>
      <c r="M20" s="3698">
        <f t="shared" si="1"/>
        <v>379.69</v>
      </c>
      <c r="N20" s="3698">
        <f t="shared" si="2"/>
        <v>3427.75</v>
      </c>
    </row>
    <row r="21" spans="1:14">
      <c r="A21" s="3698" t="s">
        <v>3534</v>
      </c>
      <c r="B21" s="3698">
        <v>4294.8500000000004</v>
      </c>
      <c r="E21" s="3698">
        <v>0</v>
      </c>
      <c r="F21" s="3698">
        <f t="shared" si="0"/>
        <v>4294.8500000000004</v>
      </c>
      <c r="G21" s="3700">
        <v>781.73</v>
      </c>
      <c r="M21" s="3698">
        <f t="shared" si="1"/>
        <v>781.73</v>
      </c>
      <c r="N21" s="3698">
        <f t="shared" si="2"/>
        <v>5076.58</v>
      </c>
    </row>
    <row r="22" spans="1:14">
      <c r="A22" s="3698" t="s">
        <v>3535</v>
      </c>
      <c r="B22" s="3698">
        <v>6184.78</v>
      </c>
      <c r="E22" s="3698">
        <v>0</v>
      </c>
      <c r="F22" s="3698">
        <f t="shared" si="0"/>
        <v>6184.78</v>
      </c>
      <c r="G22" s="3700">
        <v>1007.82</v>
      </c>
      <c r="M22" s="3698">
        <f t="shared" si="1"/>
        <v>1007.82</v>
      </c>
      <c r="N22" s="3698">
        <f t="shared" si="2"/>
        <v>7192.5999999999995</v>
      </c>
    </row>
    <row r="23" spans="1:14">
      <c r="A23" s="3698" t="s">
        <v>3536</v>
      </c>
      <c r="B23" s="3698">
        <v>5772.62</v>
      </c>
      <c r="E23" s="3698">
        <v>0</v>
      </c>
      <c r="F23" s="3698">
        <f t="shared" si="0"/>
        <v>5772.62</v>
      </c>
      <c r="G23" s="3700">
        <v>760.57</v>
      </c>
      <c r="M23" s="3698">
        <f t="shared" si="1"/>
        <v>760.57</v>
      </c>
      <c r="N23" s="3698">
        <f t="shared" si="2"/>
        <v>6533.19</v>
      </c>
    </row>
    <row r="24" spans="1:14" ht="24">
      <c r="A24" s="3698" t="s">
        <v>3516</v>
      </c>
      <c r="C24" s="3698">
        <v>104.51</v>
      </c>
      <c r="E24" s="3698">
        <v>15.36</v>
      </c>
      <c r="F24" s="3698">
        <f t="shared" si="0"/>
        <v>119.87</v>
      </c>
      <c r="I24" s="3698">
        <v>409</v>
      </c>
      <c r="M24" s="3698">
        <f t="shared" si="1"/>
        <v>409</v>
      </c>
      <c r="N24" s="3698">
        <f t="shared" si="2"/>
        <v>528.87</v>
      </c>
    </row>
    <row r="25" spans="1:14">
      <c r="A25" s="3698" t="s">
        <v>3517</v>
      </c>
      <c r="D25" s="3698">
        <v>180</v>
      </c>
      <c r="F25" s="3698">
        <f t="shared" si="0"/>
        <v>180</v>
      </c>
      <c r="J25" s="3698">
        <v>91.5</v>
      </c>
      <c r="M25" s="3698">
        <f t="shared" si="1"/>
        <v>91.5</v>
      </c>
      <c r="N25" s="3698">
        <f t="shared" si="2"/>
        <v>271.5</v>
      </c>
    </row>
    <row r="26" spans="1:14">
      <c r="A26" s="3698" t="s">
        <v>3518</v>
      </c>
      <c r="D26" s="3698">
        <v>29</v>
      </c>
      <c r="F26" s="3698">
        <f t="shared" si="0"/>
        <v>29</v>
      </c>
      <c r="M26" s="3698">
        <f t="shared" si="1"/>
        <v>0</v>
      </c>
      <c r="N26" s="3698">
        <f t="shared" si="2"/>
        <v>29</v>
      </c>
    </row>
    <row r="27" spans="1:14">
      <c r="A27" s="3698" t="s">
        <v>3519</v>
      </c>
      <c r="F27" s="3698">
        <f t="shared" si="0"/>
        <v>0</v>
      </c>
      <c r="L27" s="3698">
        <v>22.15</v>
      </c>
      <c r="M27" s="3698">
        <f t="shared" si="1"/>
        <v>22.15</v>
      </c>
      <c r="N27" s="3698">
        <f t="shared" si="2"/>
        <v>22.15</v>
      </c>
    </row>
    <row r="28" spans="1:14" ht="24">
      <c r="A28" s="3698" t="s">
        <v>3520</v>
      </c>
      <c r="F28" s="3698">
        <f t="shared" si="0"/>
        <v>0</v>
      </c>
      <c r="L28" s="3698">
        <v>17.77</v>
      </c>
      <c r="M28" s="3698">
        <f t="shared" si="1"/>
        <v>17.77</v>
      </c>
      <c r="N28" s="3698">
        <f t="shared" si="2"/>
        <v>17.77</v>
      </c>
    </row>
    <row r="29" spans="1:14">
      <c r="A29" s="3698" t="s">
        <v>3521</v>
      </c>
      <c r="F29" s="3698">
        <f t="shared" si="0"/>
        <v>0</v>
      </c>
      <c r="H29" s="3698">
        <v>7480.41</v>
      </c>
      <c r="K29" s="3698">
        <f>1999.69</f>
        <v>1999.69</v>
      </c>
      <c r="L29" s="3698">
        <v>5596.54</v>
      </c>
      <c r="M29" s="3698">
        <f t="shared" si="1"/>
        <v>15076.64</v>
      </c>
      <c r="N29" s="3698">
        <f>M29+F29</f>
        <v>15076.64</v>
      </c>
    </row>
    <row r="30" spans="1:14">
      <c r="A30" s="3698" t="s">
        <v>3522</v>
      </c>
      <c r="B30" s="3698">
        <f>SUM(B14:B29)</f>
        <v>50858.83</v>
      </c>
      <c r="C30" s="3698">
        <f t="shared" ref="C30:K30" si="3">SUM(C14:C29)</f>
        <v>104.51</v>
      </c>
      <c r="D30" s="3698">
        <f t="shared" si="3"/>
        <v>309</v>
      </c>
      <c r="E30" s="3698">
        <f t="shared" si="3"/>
        <v>90.69</v>
      </c>
      <c r="F30" s="3698">
        <f t="shared" si="3"/>
        <v>51363.03</v>
      </c>
      <c r="G30" s="3698">
        <v>6934.37</v>
      </c>
      <c r="H30" s="3698">
        <f t="shared" si="3"/>
        <v>7480.41</v>
      </c>
      <c r="I30" s="3698">
        <f t="shared" si="3"/>
        <v>409</v>
      </c>
      <c r="J30" s="3698">
        <f>621.5-409+311.41</f>
        <v>523.91000000000008</v>
      </c>
      <c r="K30" s="3698">
        <f t="shared" si="3"/>
        <v>1999.69</v>
      </c>
      <c r="L30" s="3698">
        <f>SUM(L14:L29)</f>
        <v>5636.46</v>
      </c>
      <c r="M30" s="3698">
        <f>SUM(G30:L30)</f>
        <v>22983.839999999997</v>
      </c>
      <c r="N30" s="3698">
        <f>M30+F30</f>
        <v>74346.87</v>
      </c>
    </row>
    <row r="31" spans="1:14">
      <c r="G31" s="3698" t="s">
        <v>3550</v>
      </c>
      <c r="H31" s="3698">
        <v>454</v>
      </c>
    </row>
    <row r="32" spans="1:14">
      <c r="G32" s="3698" t="s">
        <v>3564</v>
      </c>
      <c r="H32" s="3698">
        <f>ROUND(H30/H31,2)</f>
        <v>16.48</v>
      </c>
    </row>
    <row r="33" spans="1:14">
      <c r="A33" s="3701" t="s">
        <v>3541</v>
      </c>
      <c r="B33" s="3793" t="s">
        <v>3542</v>
      </c>
      <c r="C33" s="3793"/>
    </row>
    <row r="34" spans="1:14">
      <c r="B34" s="3698" t="s">
        <v>3515</v>
      </c>
      <c r="G34" s="3698" t="s">
        <v>3523</v>
      </c>
    </row>
    <row r="35" spans="1:14">
      <c r="B35" s="3698" t="s">
        <v>3514</v>
      </c>
      <c r="C35" s="3698" t="s">
        <v>3526</v>
      </c>
      <c r="D35" s="3698" t="s">
        <v>3525</v>
      </c>
      <c r="E35" s="3698" t="s">
        <v>3527</v>
      </c>
      <c r="F35" s="3698" t="s">
        <v>3528</v>
      </c>
      <c r="G35" s="3698" t="s">
        <v>3524</v>
      </c>
      <c r="H35" s="3698" t="s">
        <v>3521</v>
      </c>
      <c r="I35" s="3698" t="s">
        <v>3526</v>
      </c>
      <c r="J35" s="3698" t="s">
        <v>3525</v>
      </c>
      <c r="K35" s="3698" t="s">
        <v>3527</v>
      </c>
      <c r="L35" s="3698" t="s">
        <v>3529</v>
      </c>
      <c r="M35" s="3698" t="s">
        <v>3528</v>
      </c>
      <c r="N35" s="3698" t="s">
        <v>3522</v>
      </c>
    </row>
    <row r="36" spans="1:14">
      <c r="A36" s="3698" t="s">
        <v>3531</v>
      </c>
      <c r="B36" s="3698">
        <v>6206.14</v>
      </c>
      <c r="E36" s="3698">
        <v>14.94</v>
      </c>
      <c r="F36" s="3698">
        <f>SUM(B36:E36)</f>
        <v>6221.08</v>
      </c>
      <c r="G36" s="3700">
        <v>851.45</v>
      </c>
      <c r="M36" s="3698">
        <f>SUM(G36:L36)</f>
        <v>851.45</v>
      </c>
      <c r="N36" s="3698">
        <f>M36+F36</f>
        <v>7072.53</v>
      </c>
    </row>
    <row r="37" spans="1:14">
      <c r="A37" s="3698" t="s">
        <v>3532</v>
      </c>
      <c r="B37" s="3698">
        <v>6206.14</v>
      </c>
      <c r="E37" s="3698">
        <v>14.94</v>
      </c>
      <c r="F37" s="3698">
        <f t="shared" ref="F37:F48" si="4">SUM(B37:E37)</f>
        <v>6221.08</v>
      </c>
      <c r="G37" s="3700">
        <v>849.77</v>
      </c>
      <c r="M37" s="3698">
        <f t="shared" ref="M37:M48" si="5">SUM(G37:L37)</f>
        <v>849.77</v>
      </c>
      <c r="N37" s="3698">
        <f t="shared" ref="N37:N47" si="6">M37+F37</f>
        <v>7070.85</v>
      </c>
    </row>
    <row r="38" spans="1:14">
      <c r="A38" s="3698" t="s">
        <v>3537</v>
      </c>
      <c r="B38" s="3698">
        <v>3337.57</v>
      </c>
      <c r="E38" s="3698">
        <v>10.8</v>
      </c>
      <c r="F38" s="3698">
        <f t="shared" si="4"/>
        <v>3348.3700000000003</v>
      </c>
      <c r="G38" s="3700">
        <v>374.28</v>
      </c>
      <c r="M38" s="3698">
        <f t="shared" si="5"/>
        <v>374.28</v>
      </c>
      <c r="N38" s="3698">
        <f t="shared" si="6"/>
        <v>3722.6500000000005</v>
      </c>
    </row>
    <row r="39" spans="1:14">
      <c r="A39" s="3698" t="s">
        <v>3533</v>
      </c>
      <c r="B39" s="3698">
        <v>3832.6</v>
      </c>
      <c r="E39" s="3698">
        <v>10.68</v>
      </c>
      <c r="F39" s="3698">
        <f t="shared" si="4"/>
        <v>3843.2799999999997</v>
      </c>
      <c r="G39" s="3700">
        <v>639.57000000000005</v>
      </c>
      <c r="M39" s="3698">
        <f t="shared" si="5"/>
        <v>639.57000000000005</v>
      </c>
      <c r="N39" s="3698">
        <f t="shared" si="6"/>
        <v>4482.8499999999995</v>
      </c>
    </row>
    <row r="40" spans="1:14">
      <c r="A40" s="3698" t="s">
        <v>3543</v>
      </c>
      <c r="B40" s="3698">
        <v>5749.55</v>
      </c>
      <c r="E40" s="3698">
        <v>12.2</v>
      </c>
      <c r="F40" s="3698">
        <f t="shared" si="4"/>
        <v>5761.75</v>
      </c>
      <c r="G40" s="3700">
        <v>936.6</v>
      </c>
      <c r="M40" s="3698">
        <f t="shared" si="5"/>
        <v>936.6</v>
      </c>
      <c r="N40" s="3698">
        <f t="shared" si="6"/>
        <v>6698.35</v>
      </c>
    </row>
    <row r="41" spans="1:14">
      <c r="A41" s="3698" t="s">
        <v>3544</v>
      </c>
      <c r="B41" s="3698">
        <v>3089.58</v>
      </c>
      <c r="D41" s="3698">
        <f>63+200</f>
        <v>263</v>
      </c>
      <c r="E41" s="3698">
        <v>10.8</v>
      </c>
      <c r="F41" s="3698">
        <f t="shared" si="4"/>
        <v>3363.38</v>
      </c>
      <c r="G41" s="3700">
        <v>367.47</v>
      </c>
      <c r="M41" s="3698">
        <f t="shared" si="5"/>
        <v>367.47</v>
      </c>
      <c r="N41" s="3698">
        <f t="shared" si="6"/>
        <v>3730.8500000000004</v>
      </c>
    </row>
    <row r="42" spans="1:14">
      <c r="A42" s="3698" t="s">
        <v>3545</v>
      </c>
      <c r="B42" s="3698">
        <v>5720.62</v>
      </c>
      <c r="D42" s="3698">
        <v>52</v>
      </c>
      <c r="F42" s="3698">
        <f t="shared" si="4"/>
        <v>5772.62</v>
      </c>
      <c r="G42" s="3700">
        <v>807.34</v>
      </c>
      <c r="M42" s="3698">
        <f t="shared" si="5"/>
        <v>807.34</v>
      </c>
      <c r="N42" s="3698">
        <f t="shared" si="6"/>
        <v>6579.96</v>
      </c>
    </row>
    <row r="43" spans="1:14">
      <c r="A43" s="3698" t="s">
        <v>3546</v>
      </c>
      <c r="B43" s="3698">
        <v>7698.98</v>
      </c>
      <c r="E43" s="3698">
        <v>32.200000000000003</v>
      </c>
      <c r="F43" s="3698">
        <f t="shared" si="4"/>
        <v>7731.1799999999994</v>
      </c>
      <c r="G43" s="3700">
        <v>996.4</v>
      </c>
      <c r="M43" s="3698">
        <f t="shared" si="5"/>
        <v>996.4</v>
      </c>
      <c r="N43" s="3698">
        <f t="shared" si="6"/>
        <v>8727.58</v>
      </c>
    </row>
    <row r="44" spans="1:14" ht="24">
      <c r="A44" s="3698" t="s">
        <v>3547</v>
      </c>
      <c r="C44" s="3698">
        <v>100.46</v>
      </c>
      <c r="E44" s="3698">
        <f>42.38+15.36</f>
        <v>57.74</v>
      </c>
      <c r="F44" s="3698">
        <f t="shared" si="4"/>
        <v>158.19999999999999</v>
      </c>
      <c r="I44" s="3698">
        <v>402.75</v>
      </c>
      <c r="M44" s="3698">
        <f t="shared" si="5"/>
        <v>402.75</v>
      </c>
      <c r="N44" s="3698">
        <f t="shared" si="6"/>
        <v>560.95000000000005</v>
      </c>
    </row>
    <row r="45" spans="1:14">
      <c r="A45" s="3698" t="s">
        <v>3548</v>
      </c>
      <c r="D45" s="3698">
        <v>180</v>
      </c>
      <c r="F45" s="3698">
        <f t="shared" si="4"/>
        <v>180</v>
      </c>
      <c r="J45" s="3698">
        <v>91.5</v>
      </c>
      <c r="M45" s="3698">
        <f t="shared" si="5"/>
        <v>91.5</v>
      </c>
      <c r="N45" s="3698">
        <f t="shared" si="6"/>
        <v>271.5</v>
      </c>
    </row>
    <row r="46" spans="1:14" ht="24">
      <c r="A46" s="3698" t="s">
        <v>3549</v>
      </c>
      <c r="F46" s="3698">
        <f t="shared" si="4"/>
        <v>0</v>
      </c>
      <c r="L46" s="3698">
        <v>26.62</v>
      </c>
      <c r="M46" s="3698">
        <f t="shared" si="5"/>
        <v>26.62</v>
      </c>
      <c r="N46" s="3698">
        <f t="shared" si="6"/>
        <v>26.62</v>
      </c>
    </row>
    <row r="47" spans="1:14" ht="24">
      <c r="A47" s="3698" t="s">
        <v>3520</v>
      </c>
      <c r="F47" s="3698">
        <f t="shared" si="4"/>
        <v>0</v>
      </c>
      <c r="L47" s="3698">
        <v>29.43</v>
      </c>
      <c r="M47" s="3698">
        <f t="shared" si="5"/>
        <v>29.43</v>
      </c>
      <c r="N47" s="3698">
        <f t="shared" si="6"/>
        <v>29.43</v>
      </c>
    </row>
    <row r="48" spans="1:14">
      <c r="A48" s="3698" t="s">
        <v>3521</v>
      </c>
      <c r="F48" s="3698">
        <f t="shared" si="4"/>
        <v>0</v>
      </c>
      <c r="H48" s="3698">
        <v>7308.73</v>
      </c>
      <c r="L48" s="3698">
        <v>4716.49</v>
      </c>
      <c r="M48" s="3698">
        <f t="shared" si="5"/>
        <v>12025.22</v>
      </c>
      <c r="N48" s="3698">
        <f>M48+F48</f>
        <v>12025.22</v>
      </c>
    </row>
    <row r="49" spans="1:14">
      <c r="A49" s="3698" t="s">
        <v>3522</v>
      </c>
      <c r="B49" s="3698">
        <f>SUM(B36:B48)</f>
        <v>41841.180000000008</v>
      </c>
      <c r="C49" s="3698">
        <f>SUM(C36:C48)</f>
        <v>100.46</v>
      </c>
      <c r="D49" s="3698">
        <f>SUM(D36:D48)</f>
        <v>495</v>
      </c>
      <c r="E49" s="3698">
        <f>SUM(E36:E48)</f>
        <v>164.3</v>
      </c>
      <c r="F49" s="3698">
        <f>SUM(F36:F48)</f>
        <v>42600.94</v>
      </c>
      <c r="G49" s="3698">
        <v>4704.79</v>
      </c>
      <c r="H49" s="3698">
        <f>SUM(H36:H48)</f>
        <v>7308.73</v>
      </c>
      <c r="I49" s="3698">
        <f>SUM(I36:I48)</f>
        <v>402.75</v>
      </c>
      <c r="J49" s="3698">
        <f>910.25-402.75</f>
        <v>507.5</v>
      </c>
      <c r="K49" s="3698">
        <f>1947.05</f>
        <v>1947.05</v>
      </c>
      <c r="L49" s="3698">
        <f>SUM(L36:L48)</f>
        <v>4772.54</v>
      </c>
      <c r="M49" s="3698">
        <f>SUM(G49:L49)</f>
        <v>19643.36</v>
      </c>
      <c r="N49" s="3698">
        <f>M49+F49</f>
        <v>62244.3</v>
      </c>
    </row>
    <row r="50" spans="1:14">
      <c r="G50" s="3698" t="s">
        <v>3550</v>
      </c>
      <c r="H50" s="3698">
        <v>408</v>
      </c>
    </row>
    <row r="51" spans="1:14">
      <c r="G51" s="3698" t="s">
        <v>3564</v>
      </c>
      <c r="H51" s="3698">
        <f>ROUND(H49/H50,2)</f>
        <v>17.91</v>
      </c>
    </row>
  </sheetData>
  <mergeCells count="2">
    <mergeCell ref="B11:C11"/>
    <mergeCell ref="B33:C33"/>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H13" sqref="AH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4" t="s">
        <v>1690</v>
      </c>
      <c r="BA2" s="2055" t="s">
        <v>1689</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f>经济技术指标!D7</f>
        <v>23364.85</v>
      </c>
      <c r="B3" s="20">
        <f>IF(C3="否",G5-AT5,G5)</f>
        <v>68710.41</v>
      </c>
      <c r="C3" s="21" t="s">
        <v>3424</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c r="AZ3" s="10"/>
      <c r="BA3" s="2056"/>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74346.87000000001</v>
      </c>
      <c r="H5" s="25">
        <f t="shared" ref="H5:AT5" si="0">SUM(H13:H641)</f>
        <v>65273.61</v>
      </c>
      <c r="I5" s="25">
        <f t="shared" si="0"/>
        <v>50858.83</v>
      </c>
      <c r="J5" s="25">
        <f t="shared" si="0"/>
        <v>0</v>
      </c>
      <c r="K5" s="25">
        <f t="shared" si="0"/>
        <v>6934.37</v>
      </c>
      <c r="L5" s="25">
        <f t="shared" si="0"/>
        <v>0</v>
      </c>
      <c r="M5" s="25">
        <f t="shared" si="0"/>
        <v>7480.41</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3436.8</v>
      </c>
      <c r="AD5" s="25">
        <f t="shared" si="0"/>
        <v>309</v>
      </c>
      <c r="AE5" s="25">
        <f t="shared" si="0"/>
        <v>0</v>
      </c>
      <c r="AF5" s="25">
        <f t="shared" si="0"/>
        <v>523.91000000000008</v>
      </c>
      <c r="AG5" s="25">
        <f t="shared" si="0"/>
        <v>0</v>
      </c>
      <c r="AH5" s="25">
        <f t="shared" si="0"/>
        <v>104.51</v>
      </c>
      <c r="AI5" s="25">
        <f t="shared" si="0"/>
        <v>0</v>
      </c>
      <c r="AJ5" s="25">
        <f t="shared" si="0"/>
        <v>409</v>
      </c>
      <c r="AK5" s="25">
        <f t="shared" si="0"/>
        <v>0</v>
      </c>
      <c r="AL5" s="25">
        <f t="shared" si="0"/>
        <v>90.69</v>
      </c>
      <c r="AM5" s="25">
        <f t="shared" si="0"/>
        <v>0</v>
      </c>
      <c r="AN5" s="25">
        <f t="shared" si="0"/>
        <v>1999.69</v>
      </c>
      <c r="AO5" s="25">
        <f t="shared" si="0"/>
        <v>0</v>
      </c>
      <c r="AP5" s="25">
        <f t="shared" si="0"/>
        <v>0</v>
      </c>
      <c r="AQ5" s="25">
        <f t="shared" si="0"/>
        <v>0</v>
      </c>
      <c r="AR5" s="25">
        <f t="shared" si="0"/>
        <v>0</v>
      </c>
      <c r="AS5" s="25">
        <f t="shared" si="0"/>
        <v>0</v>
      </c>
      <c r="AT5" s="25">
        <f t="shared" si="0"/>
        <v>5636.46</v>
      </c>
      <c r="AU5" s="947"/>
      <c r="AV5" s="24" t="s">
        <v>134</v>
      </c>
      <c r="AW5" s="948"/>
      <c r="AX5" s="948"/>
      <c r="AY5" s="26" t="s">
        <v>2</v>
      </c>
      <c r="AZ5" s="27">
        <f t="shared" ref="AZ5:BT5" si="1">SUM(AZ13:AZ641)</f>
        <v>68710.41</v>
      </c>
      <c r="BA5" s="27">
        <f t="shared" si="1"/>
        <v>65273.61</v>
      </c>
      <c r="BB5" s="27">
        <f t="shared" si="1"/>
        <v>50858.83</v>
      </c>
      <c r="BC5" s="27">
        <f t="shared" si="1"/>
        <v>6934.37</v>
      </c>
      <c r="BD5" s="27">
        <f t="shared" si="1"/>
        <v>7480.41</v>
      </c>
      <c r="BE5" s="27">
        <f t="shared" si="1"/>
        <v>0</v>
      </c>
      <c r="BF5" s="27">
        <f t="shared" si="1"/>
        <v>0</v>
      </c>
      <c r="BG5" s="27">
        <f t="shared" si="1"/>
        <v>0</v>
      </c>
      <c r="BH5" s="27">
        <f t="shared" si="1"/>
        <v>0</v>
      </c>
      <c r="BI5" s="27">
        <f t="shared" si="1"/>
        <v>0</v>
      </c>
      <c r="BJ5" s="27">
        <f t="shared" si="1"/>
        <v>0</v>
      </c>
      <c r="BK5" s="27">
        <f t="shared" si="1"/>
        <v>0</v>
      </c>
      <c r="BL5" s="27">
        <f t="shared" si="1"/>
        <v>3436.8</v>
      </c>
      <c r="BM5" s="27">
        <f t="shared" si="1"/>
        <v>309</v>
      </c>
      <c r="BN5" s="27">
        <f t="shared" si="1"/>
        <v>523.91000000000008</v>
      </c>
      <c r="BO5" s="27">
        <f t="shared" si="1"/>
        <v>104.51</v>
      </c>
      <c r="BP5" s="27">
        <f t="shared" si="1"/>
        <v>409</v>
      </c>
      <c r="BQ5" s="27">
        <f t="shared" si="1"/>
        <v>90.69</v>
      </c>
      <c r="BR5" s="27">
        <f t="shared" si="1"/>
        <v>1999.69</v>
      </c>
      <c r="BS5" s="27">
        <f t="shared" si="1"/>
        <v>0</v>
      </c>
      <c r="BT5" s="28">
        <f t="shared" si="1"/>
        <v>0</v>
      </c>
    </row>
    <row r="6" spans="1:72" s="35" customFormat="1" ht="12.75">
      <c r="A6" s="24" t="s">
        <v>135</v>
      </c>
      <c r="B6" s="29"/>
      <c r="C6" s="29"/>
      <c r="D6" s="30"/>
      <c r="E6" s="25">
        <f>H6+AC6+AT6</f>
        <v>23364.840000000004</v>
      </c>
      <c r="F6" s="25" t="s">
        <v>0</v>
      </c>
      <c r="G6" s="25" t="s">
        <v>1</v>
      </c>
      <c r="H6" s="31">
        <f>SUMIF(I$12:AB$12,"总值",I6:AB6)</f>
        <v>22196.170000000002</v>
      </c>
      <c r="I6" s="25">
        <f t="shared" ref="I6:AB6" si="2">ROUND($A$3*I5/$B$3,2)</f>
        <v>17294.45</v>
      </c>
      <c r="J6" s="25">
        <f t="shared" si="2"/>
        <v>0</v>
      </c>
      <c r="K6" s="25">
        <f t="shared" si="2"/>
        <v>2358.02</v>
      </c>
      <c r="L6" s="25">
        <f t="shared" si="2"/>
        <v>0</v>
      </c>
      <c r="M6" s="25">
        <f t="shared" si="2"/>
        <v>2543.6999999999998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1168.67</v>
      </c>
      <c r="AD6" s="25">
        <f t="shared" ref="AD6:AS6" si="3">ROUND($A$3*AD5/$B$3,2)</f>
        <v>105.07</v>
      </c>
      <c r="AE6" s="25">
        <f t="shared" si="3"/>
        <v>0</v>
      </c>
      <c r="AF6" s="25">
        <f t="shared" si="3"/>
        <v>178.15</v>
      </c>
      <c r="AG6" s="25">
        <f t="shared" si="3"/>
        <v>0</v>
      </c>
      <c r="AH6" s="25">
        <f t="shared" si="3"/>
        <v>35.54</v>
      </c>
      <c r="AI6" s="25">
        <f t="shared" si="3"/>
        <v>0</v>
      </c>
      <c r="AJ6" s="25">
        <f t="shared" si="3"/>
        <v>139.08000000000001</v>
      </c>
      <c r="AK6" s="25">
        <f t="shared" si="3"/>
        <v>0</v>
      </c>
      <c r="AL6" s="25">
        <f t="shared" si="3"/>
        <v>30.84</v>
      </c>
      <c r="AM6" s="25">
        <f t="shared" si="3"/>
        <v>0</v>
      </c>
      <c r="AN6" s="25">
        <f t="shared" si="3"/>
        <v>679.99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23364.85</v>
      </c>
      <c r="AZ6" s="25" t="s">
        <v>2</v>
      </c>
      <c r="BA6" s="25">
        <f>ROUND($AY$6*BA5/$AZ$5,2)</f>
        <v>22196.17</v>
      </c>
      <c r="BB6" s="25">
        <f>ROUND($AY$6*BB5/$AZ$5,2)</f>
        <v>17294.45</v>
      </c>
      <c r="BC6" s="25">
        <f t="shared" ref="BC6:BH6" si="4">ROUND($AY$6*BC5/$AZ$5,2)</f>
        <v>2358.02</v>
      </c>
      <c r="BD6" s="25">
        <f t="shared" si="4"/>
        <v>2543.6999999999998</v>
      </c>
      <c r="BE6" s="25">
        <f t="shared" si="4"/>
        <v>0</v>
      </c>
      <c r="BF6" s="25">
        <f t="shared" si="4"/>
        <v>0</v>
      </c>
      <c r="BG6" s="25">
        <f t="shared" si="4"/>
        <v>0</v>
      </c>
      <c r="BH6" s="25">
        <f t="shared" si="4"/>
        <v>0</v>
      </c>
      <c r="BI6" s="25">
        <f t="shared" ref="BI6:BT6" si="5">ROUND($AY$6*BI5/$AZ$5,2)</f>
        <v>0</v>
      </c>
      <c r="BJ6" s="25">
        <f t="shared" si="5"/>
        <v>0</v>
      </c>
      <c r="BK6" s="25">
        <f t="shared" si="5"/>
        <v>0</v>
      </c>
      <c r="BL6" s="25">
        <f t="shared" si="5"/>
        <v>1168.68</v>
      </c>
      <c r="BM6" s="25">
        <f t="shared" si="5"/>
        <v>105.07</v>
      </c>
      <c r="BN6" s="25">
        <f t="shared" si="5"/>
        <v>178.15</v>
      </c>
      <c r="BO6" s="25">
        <f t="shared" si="5"/>
        <v>35.54</v>
      </c>
      <c r="BP6" s="25">
        <f t="shared" si="5"/>
        <v>139.08000000000001</v>
      </c>
      <c r="BQ6" s="25">
        <f t="shared" si="5"/>
        <v>30.84</v>
      </c>
      <c r="BR6" s="25">
        <f t="shared" si="5"/>
        <v>679.99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2"/>
      <c r="AT8" s="2043"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2488" t="s">
        <v>3254</v>
      </c>
      <c r="J9" s="49"/>
      <c r="K9" s="2488" t="s">
        <v>3255</v>
      </c>
      <c r="L9" s="49"/>
      <c r="M9" s="2488" t="s">
        <v>3255</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4"/>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2488" t="s">
        <v>851</v>
      </c>
      <c r="J10" s="49"/>
      <c r="K10" s="2490" t="s">
        <v>2733</v>
      </c>
      <c r="L10" s="49"/>
      <c r="M10" s="2490" t="s">
        <v>2732</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2" t="s">
        <v>165</v>
      </c>
      <c r="AQ10" s="1084"/>
      <c r="AR10" s="1082" t="s">
        <v>165</v>
      </c>
      <c r="AS10" s="1084"/>
      <c r="AT10" s="43"/>
      <c r="AU10" s="43"/>
      <c r="AV10" s="53"/>
      <c r="AW10" s="962"/>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9" t="s">
        <v>3257</v>
      </c>
      <c r="J11" s="69"/>
      <c r="K11" s="2489" t="s">
        <v>3555</v>
      </c>
      <c r="L11" s="69"/>
      <c r="M11" s="68" t="s">
        <v>2732</v>
      </c>
      <c r="N11" s="69"/>
      <c r="O11" s="68"/>
      <c r="P11" s="69"/>
      <c r="Q11" s="68"/>
      <c r="R11" s="69"/>
      <c r="S11" s="68"/>
      <c r="T11" s="69"/>
      <c r="U11" s="68"/>
      <c r="V11" s="69"/>
      <c r="W11" s="68"/>
      <c r="X11" s="69"/>
      <c r="Y11" s="68"/>
      <c r="Z11" s="69"/>
      <c r="AA11" s="68"/>
      <c r="AB11" s="69"/>
      <c r="AC11" s="53"/>
      <c r="AD11" s="2049" t="s">
        <v>1687</v>
      </c>
      <c r="AE11" s="961"/>
      <c r="AF11" s="2049" t="s">
        <v>1687</v>
      </c>
      <c r="AG11" s="961"/>
      <c r="AH11" s="2049" t="s">
        <v>1686</v>
      </c>
      <c r="AI11" s="2050"/>
      <c r="AJ11" s="2049" t="s">
        <v>1686</v>
      </c>
      <c r="AK11" s="2048"/>
      <c r="AL11" s="959"/>
      <c r="AM11" s="961"/>
      <c r="AN11" s="959"/>
      <c r="AO11" s="961"/>
      <c r="AP11" s="1083"/>
      <c r="AQ11" s="1085"/>
      <c r="AR11" s="1083"/>
      <c r="AS11" s="1085"/>
      <c r="AT11" s="962"/>
      <c r="AU11" s="43"/>
      <c r="AV11" s="53"/>
      <c r="AW11" s="962"/>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4"/>
      <c r="B13" s="3661"/>
      <c r="C13" s="3688" t="s">
        <v>3556</v>
      </c>
      <c r="D13" s="2485" t="s">
        <v>3256</v>
      </c>
      <c r="E13" s="25">
        <f t="shared" ref="E13:E20" si="6">IF($C$3="是",ROUND($A$3*G13/$B$3,2),ROUND($A$3*(G13-AT13)/$B$3,2))</f>
        <v>23364.85</v>
      </c>
      <c r="F13" s="78"/>
      <c r="G13" s="79">
        <f t="shared" ref="G13:G20" si="7">H13+AC13+AT13</f>
        <v>74346.87000000001</v>
      </c>
      <c r="H13" s="31">
        <f t="shared" ref="H13:H20" si="8">SUMIF(I$12:AB$12,"总值",I13:AB13)</f>
        <v>65273.61</v>
      </c>
      <c r="I13" s="2487">
        <f>经济技术指标!B30</f>
        <v>50858.83</v>
      </c>
      <c r="J13" s="2487"/>
      <c r="K13" s="2487">
        <f>经济技术指标!G30</f>
        <v>6934.37</v>
      </c>
      <c r="L13" s="2487"/>
      <c r="M13" s="2487">
        <f>经济技术指标!H30</f>
        <v>7480.41</v>
      </c>
      <c r="N13" s="80"/>
      <c r="O13" s="80"/>
      <c r="P13" s="80"/>
      <c r="Q13" s="80"/>
      <c r="R13" s="80"/>
      <c r="S13" s="80"/>
      <c r="T13" s="80"/>
      <c r="U13" s="80"/>
      <c r="V13" s="80"/>
      <c r="W13" s="80"/>
      <c r="X13" s="80"/>
      <c r="Y13" s="80"/>
      <c r="Z13" s="80"/>
      <c r="AA13" s="80"/>
      <c r="AB13" s="80"/>
      <c r="AC13" s="25">
        <f t="shared" ref="AC13:AC20" si="9">SUMIF(AD$12:AS$12,"总值",AD13:AS13)</f>
        <v>3436.8</v>
      </c>
      <c r="AD13" s="2491">
        <f>经济技术指标!D30</f>
        <v>309</v>
      </c>
      <c r="AE13" s="2491"/>
      <c r="AF13" s="2491">
        <f>经济技术指标!J30</f>
        <v>523.91000000000008</v>
      </c>
      <c r="AG13" s="2491"/>
      <c r="AH13" s="2491">
        <f>经济技术指标!C30</f>
        <v>104.51</v>
      </c>
      <c r="AI13" s="2491"/>
      <c r="AJ13" s="2491">
        <f>经济技术指标!I30</f>
        <v>409</v>
      </c>
      <c r="AK13" s="2491"/>
      <c r="AL13" s="2491">
        <f>经济技术指标!E30</f>
        <v>90.69</v>
      </c>
      <c r="AM13" s="2491"/>
      <c r="AN13" s="2491">
        <f>经济技术指标!K30</f>
        <v>1999.69</v>
      </c>
      <c r="AO13" s="2491"/>
      <c r="AP13" s="2491"/>
      <c r="AQ13" s="2491"/>
      <c r="AR13" s="2491"/>
      <c r="AS13" s="2491"/>
      <c r="AT13" s="2492">
        <f>经济技术指标!L30</f>
        <v>5636.46</v>
      </c>
      <c r="AU13" s="2493"/>
      <c r="AV13" s="15">
        <f t="shared" ref="AV13:AX20" si="10">A13</f>
        <v>0</v>
      </c>
      <c r="AW13" s="15">
        <f t="shared" si="10"/>
        <v>0</v>
      </c>
      <c r="AX13" s="15" t="str">
        <f t="shared" si="10"/>
        <v>6084地块</v>
      </c>
      <c r="AY13" s="955">
        <f t="shared" ref="AY13:AY20" si="11">ROUND($AY$6*AZ13/$AZ$5,2)</f>
        <v>23364.85</v>
      </c>
      <c r="AZ13" s="25">
        <f t="shared" ref="AZ13:AZ20" si="12">BA13+BL13</f>
        <v>68710.41</v>
      </c>
      <c r="BA13" s="25">
        <f t="shared" ref="BA13:BA20" si="13">SUM(BB13:BK13)</f>
        <v>65273.61</v>
      </c>
      <c r="BB13" s="25">
        <f t="shared" ref="BB13:BB20" si="14">IF($D13="是",I13-J13,0)</f>
        <v>50858.83</v>
      </c>
      <c r="BC13" s="25">
        <f t="shared" ref="BC13:BC20" si="15">IF($D13="是",K13-L13,0)</f>
        <v>6934.37</v>
      </c>
      <c r="BD13" s="25">
        <f t="shared" ref="BD13:BD20" si="16">IF($D13="是",M13-N13,0)</f>
        <v>7480.41</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3436.8</v>
      </c>
      <c r="BM13" s="25">
        <f t="shared" ref="BM13:BM20" si="25">IF($D13="是",AD13-AE13,0)</f>
        <v>309</v>
      </c>
      <c r="BN13" s="25">
        <f t="shared" ref="BN13:BN20" si="26">IF($D13="是",AF13-AG13,0)</f>
        <v>523.91000000000008</v>
      </c>
      <c r="BO13" s="25">
        <f t="shared" ref="BO13:BO20" si="27">IF($D13="是",AH13-AI13,0)</f>
        <v>104.51</v>
      </c>
      <c r="BP13" s="25">
        <f t="shared" ref="BP13:BP20" si="28">IF($D13="是",AJ13-AK13,0)</f>
        <v>409</v>
      </c>
      <c r="BQ13" s="25">
        <f t="shared" ref="BQ13:BQ20" si="29">IF($D13="是",AL13-AM13,0)</f>
        <v>90.69</v>
      </c>
      <c r="BR13" s="25">
        <f t="shared" ref="BR13:BR20" si="30">IF($D13="是",AN13-AO13,0)</f>
        <v>1999.69</v>
      </c>
      <c r="BS13" s="25">
        <f t="shared" ref="BS13:BS20" si="31">IF($D13="是",AP13-AQ13,0)</f>
        <v>0</v>
      </c>
      <c r="BT13" s="34">
        <f t="shared" ref="BT13:BT20" si="32">IF($D13="是",AR13-AS13,0)</f>
        <v>0</v>
      </c>
    </row>
    <row r="14" spans="1:72" s="16" customFormat="1" ht="12.75">
      <c r="A14" s="2484"/>
      <c r="B14" s="3661"/>
      <c r="C14" s="3714"/>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3661"/>
      <c r="C15" s="3714"/>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3689"/>
      <c r="AM15" s="2491"/>
      <c r="AN15" s="2491"/>
      <c r="AO15" s="2491"/>
      <c r="AP15" s="2491"/>
      <c r="AQ15" s="2491"/>
      <c r="AR15" s="2491"/>
      <c r="AS15" s="2491"/>
      <c r="AT15" s="2492"/>
      <c r="AU15" s="2493"/>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6"/>
      <c r="C16" s="3714"/>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3689"/>
      <c r="AM16" s="2491"/>
      <c r="AN16" s="2491"/>
      <c r="AO16" s="2491"/>
      <c r="AP16" s="2491"/>
      <c r="AQ16" s="2491"/>
      <c r="AR16" s="2491"/>
      <c r="AS16" s="2491"/>
      <c r="AT16" s="2492"/>
      <c r="AU16" s="2493"/>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714"/>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715"/>
      <c r="D18" s="2485"/>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1"/>
      <c r="AM18" s="88"/>
      <c r="AN18" s="1246"/>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5"/>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5"/>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5"/>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1"/>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5"/>
      <c r="E22" s="83">
        <f t="shared" si="33"/>
        <v>0</v>
      </c>
      <c r="F22" s="84"/>
      <c r="G22" s="85">
        <f t="shared" si="34"/>
        <v>0</v>
      </c>
      <c r="H22" s="86">
        <f t="shared" si="35"/>
        <v>0</v>
      </c>
      <c r="I22" s="1248"/>
      <c r="J22" s="87"/>
      <c r="K22" s="1248"/>
      <c r="L22" s="87"/>
      <c r="M22" s="1221"/>
      <c r="N22" s="87"/>
      <c r="O22" s="87"/>
      <c r="P22" s="87"/>
      <c r="Q22" s="87"/>
      <c r="R22" s="87"/>
      <c r="S22" s="87"/>
      <c r="T22" s="87"/>
      <c r="U22" s="87"/>
      <c r="V22" s="87"/>
      <c r="W22" s="87"/>
      <c r="X22" s="87"/>
      <c r="Y22" s="87"/>
      <c r="Z22" s="87"/>
      <c r="AA22" s="87"/>
      <c r="AB22" s="87"/>
      <c r="AC22" s="83">
        <f t="shared" si="36"/>
        <v>0</v>
      </c>
      <c r="AD22" s="1221"/>
      <c r="AE22" s="88"/>
      <c r="AF22" s="1249"/>
      <c r="AG22" s="88"/>
      <c r="AH22" s="88"/>
      <c r="AI22" s="88"/>
      <c r="AJ22" s="88"/>
      <c r="AK22" s="88"/>
      <c r="AL22" s="1221"/>
      <c r="AM22" s="88"/>
      <c r="AN22" s="1221"/>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5"/>
      <c r="C23" s="1246"/>
      <c r="D23" s="2485"/>
      <c r="E23" s="83">
        <f t="shared" si="33"/>
        <v>0</v>
      </c>
      <c r="F23" s="84"/>
      <c r="G23" s="85">
        <f t="shared" si="34"/>
        <v>0</v>
      </c>
      <c r="H23" s="86">
        <f t="shared" si="35"/>
        <v>0</v>
      </c>
      <c r="I23" s="1248"/>
      <c r="J23" s="87"/>
      <c r="K23" s="1248"/>
      <c r="L23" s="87"/>
      <c r="M23" s="1221"/>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1"/>
      <c r="AM23" s="88"/>
      <c r="AN23" s="1221"/>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5"/>
      <c r="E24" s="83">
        <f t="shared" si="33"/>
        <v>0</v>
      </c>
      <c r="F24" s="84"/>
      <c r="G24" s="85">
        <f t="shared" si="34"/>
        <v>0</v>
      </c>
      <c r="H24" s="86">
        <f t="shared" si="35"/>
        <v>0</v>
      </c>
      <c r="I24" s="1248"/>
      <c r="J24" s="87"/>
      <c r="K24" s="1248"/>
      <c r="L24" s="87"/>
      <c r="M24" s="87"/>
      <c r="N24" s="87"/>
      <c r="O24" s="1221"/>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1"/>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5"/>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5"/>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5"/>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5"/>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5"/>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5"/>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5"/>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5"/>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5"/>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5"/>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5"/>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5"/>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5"/>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5"/>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5"/>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5"/>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5"/>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5"/>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5"/>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5"/>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5"/>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5"/>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5"/>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5"/>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5"/>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5"/>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5"/>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5"/>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5"/>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5"/>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5"/>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5"/>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1"/>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5"/>
      <c r="E114" s="83">
        <f t="shared" si="87"/>
        <v>0</v>
      </c>
      <c r="F114" s="84"/>
      <c r="G114" s="85">
        <f t="shared" si="62"/>
        <v>0</v>
      </c>
      <c r="H114" s="86">
        <f t="shared" si="63"/>
        <v>0</v>
      </c>
      <c r="I114" s="1248"/>
      <c r="J114" s="87"/>
      <c r="K114" s="1248"/>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9"/>
      <c r="AG114" s="88"/>
      <c r="AH114" s="88"/>
      <c r="AI114" s="88"/>
      <c r="AJ114" s="88"/>
      <c r="AK114" s="88"/>
      <c r="AL114" s="1221"/>
      <c r="AM114" s="88"/>
      <c r="AN114" s="1221"/>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5"/>
      <c r="E115" s="83">
        <f t="shared" si="87"/>
        <v>0</v>
      </c>
      <c r="F115" s="84"/>
      <c r="G115" s="85">
        <f t="shared" si="62"/>
        <v>0</v>
      </c>
      <c r="H115" s="86">
        <f t="shared" si="63"/>
        <v>0</v>
      </c>
      <c r="I115" s="1248"/>
      <c r="J115" s="87"/>
      <c r="K115" s="1248"/>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1"/>
      <c r="AM115" s="88"/>
      <c r="AN115" s="1221"/>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5"/>
      <c r="E116" s="83">
        <f t="shared" si="87"/>
        <v>0</v>
      </c>
      <c r="F116" s="84"/>
      <c r="G116" s="85">
        <f t="shared" si="62"/>
        <v>0</v>
      </c>
      <c r="H116" s="86">
        <f t="shared" si="63"/>
        <v>0</v>
      </c>
      <c r="I116" s="1248"/>
      <c r="J116" s="87"/>
      <c r="K116" s="1248"/>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1"/>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5"/>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5"/>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5"/>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5"/>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5"/>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5"/>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5"/>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5"/>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5"/>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5"/>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5"/>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5"/>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5"/>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5"/>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5"/>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5"/>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5"/>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5"/>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5"/>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5"/>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5"/>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5"/>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5"/>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5"/>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5"/>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5"/>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5"/>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5"/>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5"/>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5"/>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5"/>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5"/>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1"/>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5"/>
      <c r="E206" s="83">
        <f t="shared" si="149"/>
        <v>0</v>
      </c>
      <c r="F206" s="84"/>
      <c r="G206" s="85">
        <f t="shared" si="150"/>
        <v>0</v>
      </c>
      <c r="H206" s="86">
        <f t="shared" si="151"/>
        <v>0</v>
      </c>
      <c r="I206" s="1248"/>
      <c r="J206" s="87"/>
      <c r="K206" s="1248"/>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9"/>
      <c r="AG206" s="88"/>
      <c r="AH206" s="88"/>
      <c r="AI206" s="88"/>
      <c r="AJ206" s="88"/>
      <c r="AK206" s="88"/>
      <c r="AL206" s="1221"/>
      <c r="AM206" s="88"/>
      <c r="AN206" s="1221"/>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5"/>
      <c r="E207" s="83">
        <f t="shared" si="149"/>
        <v>0</v>
      </c>
      <c r="F207" s="84"/>
      <c r="G207" s="85">
        <f t="shared" si="150"/>
        <v>0</v>
      </c>
      <c r="H207" s="86">
        <f t="shared" si="151"/>
        <v>0</v>
      </c>
      <c r="I207" s="1248"/>
      <c r="J207" s="87"/>
      <c r="K207" s="1248"/>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1"/>
      <c r="AM207" s="88"/>
      <c r="AN207" s="1221"/>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5"/>
      <c r="E208" s="83">
        <f t="shared" si="149"/>
        <v>0</v>
      </c>
      <c r="F208" s="84"/>
      <c r="G208" s="85">
        <f t="shared" si="150"/>
        <v>0</v>
      </c>
      <c r="H208" s="86">
        <f t="shared" si="151"/>
        <v>0</v>
      </c>
      <c r="I208" s="1248"/>
      <c r="J208" s="87"/>
      <c r="K208" s="1248"/>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1"/>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5"/>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5"/>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5"/>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5"/>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5"/>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5"/>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5"/>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5"/>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5"/>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5"/>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5"/>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5"/>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5"/>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5"/>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5"/>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5"/>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5"/>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5"/>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5"/>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5"/>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5"/>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5"/>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5"/>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5"/>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5"/>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5"/>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5"/>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5"/>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5"/>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5"/>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5"/>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5"/>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1"/>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5"/>
      <c r="E298" s="83">
        <f t="shared" si="203"/>
        <v>0</v>
      </c>
      <c r="F298" s="84"/>
      <c r="G298" s="85">
        <f t="shared" si="178"/>
        <v>0</v>
      </c>
      <c r="H298" s="86">
        <f t="shared" si="179"/>
        <v>0</v>
      </c>
      <c r="I298" s="1248"/>
      <c r="J298" s="87"/>
      <c r="K298" s="1248"/>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9"/>
      <c r="AG298" s="88"/>
      <c r="AH298" s="88"/>
      <c r="AI298" s="88"/>
      <c r="AJ298" s="88"/>
      <c r="AK298" s="88"/>
      <c r="AL298" s="1221"/>
      <c r="AM298" s="88"/>
      <c r="AN298" s="1221"/>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5"/>
      <c r="E299" s="83">
        <f t="shared" si="203"/>
        <v>0</v>
      </c>
      <c r="F299" s="84"/>
      <c r="G299" s="85">
        <f t="shared" si="178"/>
        <v>0</v>
      </c>
      <c r="H299" s="86">
        <f t="shared" si="179"/>
        <v>0</v>
      </c>
      <c r="I299" s="1248"/>
      <c r="J299" s="87"/>
      <c r="K299" s="1248"/>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1"/>
      <c r="AM299" s="88"/>
      <c r="AN299" s="1221"/>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5"/>
      <c r="E300" s="83">
        <f t="shared" si="203"/>
        <v>0</v>
      </c>
      <c r="F300" s="84"/>
      <c r="G300" s="85">
        <f t="shared" si="178"/>
        <v>0</v>
      </c>
      <c r="H300" s="86">
        <f t="shared" si="179"/>
        <v>0</v>
      </c>
      <c r="I300" s="1248"/>
      <c r="J300" s="87"/>
      <c r="K300" s="1248"/>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1"/>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5"/>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5"/>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5"/>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5"/>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5"/>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5"/>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5"/>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5"/>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5"/>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5"/>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5"/>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5"/>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5"/>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5"/>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5"/>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5"/>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5"/>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5"/>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5"/>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5"/>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5"/>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5"/>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5"/>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5"/>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5"/>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5"/>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5"/>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5"/>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5"/>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5"/>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5"/>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5"/>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1"/>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5"/>
      <c r="E390" s="83">
        <f t="shared" si="265"/>
        <v>0</v>
      </c>
      <c r="F390" s="84"/>
      <c r="G390" s="85">
        <f t="shared" si="266"/>
        <v>0</v>
      </c>
      <c r="H390" s="86">
        <f t="shared" si="267"/>
        <v>0</v>
      </c>
      <c r="I390" s="1248"/>
      <c r="J390" s="87"/>
      <c r="K390" s="1248"/>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9"/>
      <c r="AG390" s="88"/>
      <c r="AH390" s="88"/>
      <c r="AI390" s="88"/>
      <c r="AJ390" s="88"/>
      <c r="AK390" s="88"/>
      <c r="AL390" s="1221"/>
      <c r="AM390" s="88"/>
      <c r="AN390" s="1221"/>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5"/>
      <c r="E391" s="83">
        <f t="shared" si="265"/>
        <v>0</v>
      </c>
      <c r="F391" s="84"/>
      <c r="G391" s="85">
        <f t="shared" si="266"/>
        <v>0</v>
      </c>
      <c r="H391" s="86">
        <f t="shared" si="267"/>
        <v>0</v>
      </c>
      <c r="I391" s="1248"/>
      <c r="J391" s="87"/>
      <c r="K391" s="1248"/>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1"/>
      <c r="AM391" s="88"/>
      <c r="AN391" s="1221"/>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5"/>
      <c r="E392" s="83">
        <f t="shared" si="265"/>
        <v>0</v>
      </c>
      <c r="F392" s="84"/>
      <c r="G392" s="85">
        <f t="shared" si="266"/>
        <v>0</v>
      </c>
      <c r="H392" s="86">
        <f t="shared" si="267"/>
        <v>0</v>
      </c>
      <c r="I392" s="1248"/>
      <c r="J392" s="87"/>
      <c r="K392" s="1248"/>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1"/>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5"/>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5"/>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5"/>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5"/>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5"/>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5"/>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5"/>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5"/>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5"/>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5"/>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5"/>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5"/>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5"/>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5"/>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5"/>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5"/>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5"/>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5"/>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5"/>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5"/>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5"/>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5"/>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5"/>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5"/>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5"/>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5"/>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5"/>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5"/>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5"/>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5"/>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5"/>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5"/>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5"/>
      <c r="E482" s="83">
        <f t="shared" si="319"/>
        <v>0</v>
      </c>
      <c r="F482" s="84"/>
      <c r="G482" s="85">
        <f t="shared" si="294"/>
        <v>0</v>
      </c>
      <c r="H482" s="86">
        <f t="shared" si="295"/>
        <v>0</v>
      </c>
      <c r="I482" s="1248"/>
      <c r="J482" s="87"/>
      <c r="K482" s="1248"/>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9"/>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5"/>
      <c r="E483" s="83">
        <f t="shared" si="319"/>
        <v>0</v>
      </c>
      <c r="F483" s="84"/>
      <c r="G483" s="85">
        <f t="shared" si="294"/>
        <v>0</v>
      </c>
      <c r="H483" s="86">
        <f t="shared" si="295"/>
        <v>0</v>
      </c>
      <c r="I483" s="1248"/>
      <c r="J483" s="87"/>
      <c r="K483" s="1248"/>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5"/>
      <c r="E484" s="83">
        <f t="shared" si="319"/>
        <v>0</v>
      </c>
      <c r="F484" s="84"/>
      <c r="G484" s="85">
        <f t="shared" si="294"/>
        <v>0</v>
      </c>
      <c r="H484" s="86">
        <f t="shared" si="295"/>
        <v>0</v>
      </c>
      <c r="I484" s="1248"/>
      <c r="J484" s="87"/>
      <c r="K484" s="1248"/>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5"/>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5"/>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5"/>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5"/>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5"/>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5"/>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5"/>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5"/>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5"/>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5"/>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5"/>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5"/>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5"/>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5"/>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5"/>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5"/>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5"/>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5"/>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5"/>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5"/>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5"/>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5"/>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5"/>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5"/>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5"/>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5"/>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5"/>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5"/>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5"/>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5"/>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5"/>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31" sqref="G31"/>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803" t="s">
        <v>169</v>
      </c>
      <c r="B2" s="3803"/>
      <c r="C2" s="3803"/>
      <c r="D2" s="1726" t="s">
        <v>170</v>
      </c>
      <c r="E2" s="102" t="s">
        <v>171</v>
      </c>
      <c r="F2" s="2822"/>
      <c r="G2" s="1093"/>
      <c r="H2" s="1094"/>
      <c r="I2" s="1095" t="s">
        <v>795</v>
      </c>
      <c r="J2" s="2822"/>
      <c r="K2" s="2822"/>
      <c r="L2" s="2822"/>
      <c r="M2" s="2822"/>
      <c r="N2" s="2822"/>
      <c r="O2" s="2822"/>
      <c r="P2" s="2822"/>
    </row>
    <row r="3" spans="1:16" ht="15.75" thickBot="1">
      <c r="A3" s="3804" t="s">
        <v>172</v>
      </c>
      <c r="B3" s="3804"/>
      <c r="C3" s="3804"/>
      <c r="D3" s="103">
        <f>'数据-基础表'!AY6</f>
        <v>23364.85</v>
      </c>
      <c r="E3" s="103">
        <f>'数据-基础表'!AZ5</f>
        <v>68710.41</v>
      </c>
      <c r="F3" s="2822"/>
      <c r="G3" s="270" t="s">
        <v>796</v>
      </c>
      <c r="H3" s="265" t="s">
        <v>797</v>
      </c>
      <c r="I3" s="1727">
        <f>ROUND('数据-基础表'!B3/'数据-基础表'!A3,2)</f>
        <v>2.94</v>
      </c>
      <c r="J3" s="2822"/>
      <c r="K3" s="2822"/>
      <c r="L3" s="2822"/>
      <c r="M3" s="2822"/>
      <c r="N3" s="2822"/>
      <c r="O3" s="2822"/>
      <c r="P3" s="2822"/>
    </row>
    <row r="4" spans="1:16" ht="15">
      <c r="A4" s="3805"/>
      <c r="B4" s="3806"/>
      <c r="C4" s="3807"/>
      <c r="D4" s="104" t="s">
        <v>170</v>
      </c>
      <c r="E4" s="105" t="s">
        <v>171</v>
      </c>
      <c r="F4" s="2822"/>
      <c r="G4" s="1096"/>
      <c r="H4" s="265" t="s">
        <v>798</v>
      </c>
      <c r="I4" s="1727">
        <f>ROUND(SUMIF('数据-基础表'!I9:AS9,"地上",'数据-基础表'!I5:AS5)/'数据-基础表'!A3,2)</f>
        <v>2.2000000000000002</v>
      </c>
      <c r="J4" s="2822"/>
      <c r="K4" s="2822"/>
      <c r="L4" s="2822"/>
      <c r="M4" s="2822"/>
      <c r="N4" s="2822"/>
      <c r="O4" s="2822"/>
      <c r="P4" s="2822"/>
    </row>
    <row r="5" spans="1:16">
      <c r="A5" s="106" t="s">
        <v>173</v>
      </c>
      <c r="B5" s="3808" t="s">
        <v>196</v>
      </c>
      <c r="C5" s="3808"/>
      <c r="D5" s="107">
        <f>ROUND($D$3*E5/$E$3,2)</f>
        <v>17294.45</v>
      </c>
      <c r="E5" s="108">
        <f>SUMIF('数据-基础表'!$11:$11,"住宅",'数据-基础表'!$5:$5)</f>
        <v>50858.83</v>
      </c>
      <c r="F5" s="2822"/>
      <c r="G5" s="270" t="s">
        <v>799</v>
      </c>
      <c r="H5" s="265" t="s">
        <v>797</v>
      </c>
      <c r="I5" s="1727">
        <f>ROUND(E31/D31,2)</f>
        <v>2.94</v>
      </c>
      <c r="J5" s="2822"/>
      <c r="K5" s="2822"/>
      <c r="L5" s="2822"/>
      <c r="M5" s="2822"/>
      <c r="N5" s="2822"/>
      <c r="O5" s="2822"/>
      <c r="P5" s="2822"/>
    </row>
    <row r="6" spans="1:16" ht="15" thickBot="1">
      <c r="A6" s="109"/>
      <c r="B6" s="3808" t="s">
        <v>174</v>
      </c>
      <c r="C6" s="3808"/>
      <c r="D6" s="107">
        <f>ROUND($D$3*E6/$E$3,2)</f>
        <v>6070.4</v>
      </c>
      <c r="E6" s="108">
        <f>E3-E5</f>
        <v>17851.580000000002</v>
      </c>
      <c r="F6" s="2822"/>
      <c r="G6" s="1096"/>
      <c r="H6" s="265" t="s">
        <v>798</v>
      </c>
      <c r="I6" s="1727">
        <f>ROUND(F31/D31,2)</f>
        <v>2.2000000000000002</v>
      </c>
      <c r="J6" s="2822"/>
      <c r="K6" s="2822"/>
      <c r="L6" s="2822"/>
      <c r="M6" s="2822"/>
      <c r="N6" s="2822"/>
      <c r="O6" s="2822"/>
      <c r="P6" s="2822"/>
    </row>
    <row r="7" spans="1:16" ht="15">
      <c r="A7" s="3800"/>
      <c r="B7" s="3801"/>
      <c r="C7" s="3802"/>
      <c r="D7" s="104" t="s">
        <v>170</v>
      </c>
      <c r="E7" s="110" t="s">
        <v>197</v>
      </c>
      <c r="F7" s="2822"/>
      <c r="G7" s="1052" t="s">
        <v>1180</v>
      </c>
      <c r="H7" s="1053"/>
      <c r="I7" s="1628"/>
      <c r="J7" s="2822"/>
      <c r="K7" s="2822"/>
      <c r="L7" s="2822"/>
      <c r="M7" s="2822"/>
      <c r="N7" s="2822"/>
      <c r="O7" s="2822"/>
      <c r="P7" s="2822"/>
    </row>
    <row r="8" spans="1:16">
      <c r="A8" s="106" t="s">
        <v>175</v>
      </c>
      <c r="B8" s="111" t="s">
        <v>176</v>
      </c>
      <c r="C8" s="107" t="s">
        <v>177</v>
      </c>
      <c r="D8" s="107">
        <f t="shared" ref="D8:D15" si="0">ROUND($D$3*E8/$E$3,2)</f>
        <v>17294.45</v>
      </c>
      <c r="E8" s="112">
        <f>SUMIF('数据-基础表'!BB10:BK10,"地上",'数据-基础表'!BB5:BK5)</f>
        <v>50858.83</v>
      </c>
      <c r="F8" s="2822"/>
      <c r="G8" s="2823"/>
      <c r="H8" s="2823"/>
      <c r="I8" s="2822"/>
      <c r="J8" s="2822"/>
      <c r="K8" s="2822"/>
      <c r="L8" s="2822"/>
      <c r="M8" s="2822"/>
      <c r="N8" s="2822"/>
      <c r="O8" s="2822"/>
      <c r="P8" s="2822"/>
    </row>
    <row r="9" spans="1:16">
      <c r="A9" s="113"/>
      <c r="B9" s="114"/>
      <c r="C9" s="107" t="s">
        <v>178</v>
      </c>
      <c r="D9" s="107">
        <f t="shared" si="0"/>
        <v>35.54</v>
      </c>
      <c r="E9" s="115">
        <f>'数据-基础表'!AH13</f>
        <v>104.51</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6" t="s">
        <v>1684</v>
      </c>
      <c r="D11" s="107">
        <f t="shared" si="0"/>
        <v>139.08000000000001</v>
      </c>
      <c r="E11" s="112">
        <f>SUMPRODUCT(('数据-基础表'!BB10:BK10="地下")*('数据-基础表'!BB11:BK11="办公")*('数据-基础表'!BB5:BK5))+'数据-基础表'!AJ5</f>
        <v>409</v>
      </c>
      <c r="F11" s="2822"/>
      <c r="G11" s="2823"/>
      <c r="H11" s="2823"/>
      <c r="I11" s="2822"/>
      <c r="J11" s="2822"/>
      <c r="K11" s="2822"/>
      <c r="L11" s="2822"/>
      <c r="M11" s="2822"/>
      <c r="N11" s="2822"/>
      <c r="O11" s="2822"/>
      <c r="P11" s="2822"/>
    </row>
    <row r="12" spans="1:16">
      <c r="A12" s="113"/>
      <c r="B12" s="114"/>
      <c r="C12" s="107" t="s">
        <v>180</v>
      </c>
      <c r="D12" s="107">
        <f t="shared" si="0"/>
        <v>2358.02</v>
      </c>
      <c r="E12" s="112">
        <f>SUMPRODUCT(('数据-基础表'!BB10:BK10="地下")*('数据-基础表'!BB11:BK11="仓储")*('数据-基础表'!BB5:BK5))</f>
        <v>6934.37</v>
      </c>
      <c r="F12" s="2822"/>
      <c r="G12" s="2823"/>
      <c r="H12" s="2823"/>
      <c r="I12" s="2822"/>
      <c r="J12" s="2822"/>
      <c r="K12" s="2822"/>
      <c r="L12" s="2822"/>
      <c r="M12" s="2822"/>
      <c r="N12" s="2822"/>
      <c r="O12" s="2822"/>
      <c r="P12" s="2822"/>
    </row>
    <row r="13" spans="1:16">
      <c r="A13" s="113"/>
      <c r="B13" s="114"/>
      <c r="C13" s="2046" t="s">
        <v>1691</v>
      </c>
      <c r="D13" s="107">
        <f t="shared" si="0"/>
        <v>2543.6999999999998</v>
      </c>
      <c r="E13" s="112">
        <f>SUMPRODUCT(('数据-基础表'!BB10:BK10="地下")*('数据-基础表'!BB11:BK11="车库")*('数据-基础表'!BB5:BK5))</f>
        <v>7480.41</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22370.790000000005</v>
      </c>
      <c r="E16" s="116">
        <f>SUM(E8:E15)</f>
        <v>65787.12000000001</v>
      </c>
      <c r="F16" s="2822"/>
      <c r="G16" s="2823"/>
      <c r="H16" s="927" t="s">
        <v>185</v>
      </c>
      <c r="I16" s="928"/>
      <c r="J16" s="1735"/>
      <c r="K16" s="3794" t="s">
        <v>1849</v>
      </c>
      <c r="L16" s="3795"/>
      <c r="M16" s="3795"/>
      <c r="N16" s="3795"/>
      <c r="O16" s="3795"/>
      <c r="P16" s="3796"/>
    </row>
    <row r="17" spans="1:19" ht="15">
      <c r="A17" s="117" t="s">
        <v>182</v>
      </c>
      <c r="B17" s="118" t="s">
        <v>183</v>
      </c>
      <c r="C17" s="2013" t="s">
        <v>1670</v>
      </c>
      <c r="D17" s="104" t="s">
        <v>170</v>
      </c>
      <c r="E17" s="120" t="s">
        <v>171</v>
      </c>
      <c r="F17" s="121"/>
      <c r="G17" s="1222"/>
      <c r="H17" s="929" t="s">
        <v>184</v>
      </c>
      <c r="I17" s="930" t="s">
        <v>1669</v>
      </c>
      <c r="J17" s="1735"/>
      <c r="K17" s="3797" t="s">
        <v>1850</v>
      </c>
      <c r="L17" s="3798"/>
      <c r="M17" s="3799"/>
      <c r="N17" s="3797" t="s">
        <v>1851</v>
      </c>
      <c r="O17" s="3798"/>
      <c r="P17" s="3799"/>
      <c r="R17" s="2014" t="s">
        <v>1668</v>
      </c>
      <c r="S17" s="137"/>
    </row>
    <row r="18" spans="1:19" ht="15">
      <c r="A18" s="113"/>
      <c r="B18" s="124"/>
      <c r="C18" s="125"/>
      <c r="D18" s="2244"/>
      <c r="E18" s="126" t="s">
        <v>186</v>
      </c>
      <c r="F18" s="127" t="s">
        <v>187</v>
      </c>
      <c r="G18" s="1223" t="s">
        <v>188</v>
      </c>
      <c r="H18" s="931" t="s">
        <v>189</v>
      </c>
      <c r="I18" s="932"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4" t="s">
        <v>3441</v>
      </c>
      <c r="D19" s="107">
        <f t="shared" ref="D19:D26" si="1">ROUND($D$3*E19/$E$3,2)</f>
        <v>17294.45</v>
      </c>
      <c r="E19" s="130">
        <f t="shared" ref="E19:E26" si="2">SUM(F19:G19)</f>
        <v>50858.83</v>
      </c>
      <c r="F19" s="2824">
        <f>'数据-基础表'!I13</f>
        <v>50858.83</v>
      </c>
      <c r="G19" s="2825"/>
      <c r="H19" s="933">
        <f>ROUND($D$3*I19/$E$3,2)</f>
        <v>1011.7</v>
      </c>
      <c r="I19" s="112">
        <f>IF($I$17="自定义",P19,M19)</f>
        <v>2975.17</v>
      </c>
      <c r="J19" s="1735"/>
      <c r="K19" s="2212">
        <f t="shared" ref="K19:K26" si="3">ROUND(E$28*E19/E$27,2)</f>
        <v>1628.75</v>
      </c>
      <c r="L19" s="265">
        <f t="shared" ref="L19:L26" si="4">ROUND(IF(COUNTIF(C19,"*住宅*")&gt;0,E$29*E19/E$32,0),2)</f>
        <v>1346.42</v>
      </c>
      <c r="M19" s="2213">
        <f>K19+L19</f>
        <v>2975.17</v>
      </c>
      <c r="N19" s="2214"/>
      <c r="O19" s="2215"/>
      <c r="P19" s="2216">
        <f>N19+O19</f>
        <v>0</v>
      </c>
      <c r="R19" s="265">
        <f t="shared" ref="R19:S26" si="5">D19+H19</f>
        <v>18306.150000000001</v>
      </c>
      <c r="S19" s="2016">
        <f t="shared" si="5"/>
        <v>53834</v>
      </c>
    </row>
    <row r="20" spans="1:19">
      <c r="A20" s="133"/>
      <c r="B20" s="111" t="s">
        <v>192</v>
      </c>
      <c r="C20" s="2494" t="s">
        <v>3558</v>
      </c>
      <c r="D20" s="107">
        <f t="shared" si="1"/>
        <v>2358.02</v>
      </c>
      <c r="E20" s="130">
        <f t="shared" si="2"/>
        <v>6934.37</v>
      </c>
      <c r="F20" s="2824"/>
      <c r="G20" s="2825">
        <f>'数据-基础表'!K13</f>
        <v>6934.37</v>
      </c>
      <c r="H20" s="933">
        <f t="shared" ref="H20:H26" si="6">ROUND($D$3*I20/$E$3,2)</f>
        <v>75.510000000000005</v>
      </c>
      <c r="I20" s="112">
        <f t="shared" ref="I20:I26" si="7">IF($I$17="自定义",P20,M20)</f>
        <v>222.07</v>
      </c>
      <c r="J20" s="1735"/>
      <c r="K20" s="2212">
        <f t="shared" si="3"/>
        <v>222.07</v>
      </c>
      <c r="L20" s="265">
        <f t="shared" si="4"/>
        <v>0</v>
      </c>
      <c r="M20" s="2213">
        <f t="shared" ref="M20:M26" si="8">K20+L20</f>
        <v>222.07</v>
      </c>
      <c r="N20" s="2214"/>
      <c r="O20" s="2215"/>
      <c r="P20" s="2216">
        <f t="shared" ref="P20:P26" si="9">N20+O20</f>
        <v>0</v>
      </c>
      <c r="R20" s="265">
        <f t="shared" si="5"/>
        <v>2433.5300000000002</v>
      </c>
      <c r="S20" s="2016">
        <f t="shared" si="5"/>
        <v>7156.44</v>
      </c>
    </row>
    <row r="21" spans="1:19">
      <c r="A21" s="133"/>
      <c r="B21" s="111" t="s">
        <v>192</v>
      </c>
      <c r="C21" s="2494" t="s">
        <v>3559</v>
      </c>
      <c r="D21" s="107">
        <f t="shared" si="1"/>
        <v>2543.6999999999998</v>
      </c>
      <c r="E21" s="130">
        <f t="shared" si="2"/>
        <v>7480.41</v>
      </c>
      <c r="F21" s="2824"/>
      <c r="G21" s="2825">
        <f>'数据-基础表'!M13</f>
        <v>7480.41</v>
      </c>
      <c r="H21" s="933">
        <f t="shared" si="6"/>
        <v>81.459999999999994</v>
      </c>
      <c r="I21" s="112">
        <f t="shared" si="7"/>
        <v>239.56</v>
      </c>
      <c r="J21" s="1735"/>
      <c r="K21" s="2212">
        <f t="shared" si="3"/>
        <v>239.56</v>
      </c>
      <c r="L21" s="265">
        <f t="shared" si="4"/>
        <v>0</v>
      </c>
      <c r="M21" s="2213">
        <f t="shared" si="8"/>
        <v>239.56</v>
      </c>
      <c r="N21" s="2214"/>
      <c r="O21" s="2215"/>
      <c r="P21" s="2216">
        <f t="shared" si="9"/>
        <v>0</v>
      </c>
      <c r="R21" s="265">
        <f t="shared" si="5"/>
        <v>2625.16</v>
      </c>
      <c r="S21" s="2016">
        <f t="shared" si="5"/>
        <v>7719.97</v>
      </c>
    </row>
    <row r="22" spans="1:19">
      <c r="A22" s="133"/>
      <c r="B22" s="111" t="s">
        <v>192</v>
      </c>
      <c r="C22" s="3335"/>
      <c r="D22" s="107">
        <f t="shared" si="1"/>
        <v>0</v>
      </c>
      <c r="E22" s="130">
        <f t="shared" si="2"/>
        <v>0</v>
      </c>
      <c r="F22" s="2826"/>
      <c r="G22" s="2827"/>
      <c r="H22" s="933">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c r="A23" s="133"/>
      <c r="B23" s="111" t="s">
        <v>192</v>
      </c>
      <c r="C23" s="3335"/>
      <c r="D23" s="107">
        <f>ROUND($D$3*E23/$E$3,2)</f>
        <v>0</v>
      </c>
      <c r="E23" s="130">
        <f>SUM(F23:G23)</f>
        <v>0</v>
      </c>
      <c r="F23" s="2826"/>
      <c r="G23" s="2827"/>
      <c r="H23" s="933">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c r="A24" s="133"/>
      <c r="B24" s="111" t="s">
        <v>192</v>
      </c>
      <c r="C24" s="3335"/>
      <c r="D24" s="107">
        <f>ROUND($D$3*E24/$E$3,2)</f>
        <v>0</v>
      </c>
      <c r="E24" s="130">
        <f>SUM(F24:G24)</f>
        <v>0</v>
      </c>
      <c r="F24" s="2826"/>
      <c r="G24" s="2827"/>
      <c r="H24" s="933">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c r="A25" s="133"/>
      <c r="B25" s="111" t="s">
        <v>192</v>
      </c>
      <c r="C25" s="3335"/>
      <c r="D25" s="107">
        <f t="shared" si="1"/>
        <v>0</v>
      </c>
      <c r="E25" s="130">
        <f t="shared" si="2"/>
        <v>0</v>
      </c>
      <c r="F25" s="2826"/>
      <c r="G25" s="2827"/>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c r="A26" s="133"/>
      <c r="B26" s="111" t="s">
        <v>192</v>
      </c>
      <c r="C26" s="135"/>
      <c r="D26" s="107">
        <f t="shared" si="1"/>
        <v>0</v>
      </c>
      <c r="E26" s="130">
        <f t="shared" si="2"/>
        <v>0</v>
      </c>
      <c r="F26" s="2826"/>
      <c r="G26" s="2827"/>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29.25" thickBot="1">
      <c r="A27" s="133"/>
      <c r="B27" s="107"/>
      <c r="C27" s="123" t="s">
        <v>181</v>
      </c>
      <c r="D27" s="130">
        <f>SUM(D19:D26)</f>
        <v>22196.170000000002</v>
      </c>
      <c r="E27" s="136">
        <f>IF(SUM(E19:E26)='数据-基础表'!BA5,SUM(E19:E26),IF(F27="地上面积有误","面积有误","地下面积有误"))</f>
        <v>65273.61</v>
      </c>
      <c r="F27" s="130">
        <f>IF(SUM(F19:F26)=E8,SUM(F19:F26),"地上面积有误")</f>
        <v>50858.83</v>
      </c>
      <c r="G27" s="108">
        <f>SUM(G19:G26)</f>
        <v>14414.779999999999</v>
      </c>
      <c r="H27" s="934">
        <f>SUM(H19:H26)</f>
        <v>1168.67</v>
      </c>
      <c r="I27" s="935">
        <f>SUM(I19:I26)</f>
        <v>3436.8</v>
      </c>
      <c r="J27" s="1735"/>
      <c r="K27" s="2221">
        <f t="shared" ref="K27:P27" si="10">SUM(K19:K26)</f>
        <v>2090.38</v>
      </c>
      <c r="L27" s="2222">
        <f t="shared" si="10"/>
        <v>1346.42</v>
      </c>
      <c r="M27" s="2223">
        <f t="shared" si="10"/>
        <v>3436.8</v>
      </c>
      <c r="N27" s="2221">
        <f t="shared" si="10"/>
        <v>0</v>
      </c>
      <c r="O27" s="2222">
        <f t="shared" si="10"/>
        <v>0</v>
      </c>
      <c r="P27" s="2224">
        <f t="shared" si="10"/>
        <v>0</v>
      </c>
      <c r="R27" s="2020" t="str">
        <f>IF(SUM(R19:R26)=$D$3,SUM(R19:R26),SUM(R19:R26)&amp;"误差"&amp;ROUND(SUM(R19:R26)-$D$3,2))</f>
        <v>23364.84误差-0.01</v>
      </c>
      <c r="S27" s="265">
        <f>IF(SUM(S19:S26)=$E$3,SUM(S19:S26),SUM(S19:S26)&amp;"误差"&amp;ROUND(SUM(S19:S26)-E3,2))</f>
        <v>68710.41</v>
      </c>
    </row>
    <row r="28" spans="1:19">
      <c r="A28" s="133"/>
      <c r="B28" s="111" t="s">
        <v>193</v>
      </c>
      <c r="C28" s="131" t="s">
        <v>194</v>
      </c>
      <c r="D28" s="107">
        <f>ROUND($D$3*E28/$E$3,2)</f>
        <v>710.83</v>
      </c>
      <c r="E28" s="130">
        <f>SUM(F28:G28)</f>
        <v>2090.38</v>
      </c>
      <c r="F28" s="137">
        <f>'数据-基础表'!BQ5+'数据-基础表'!BS5</f>
        <v>90.69</v>
      </c>
      <c r="G28" s="138">
        <f>'数据-基础表'!BR5+'数据-基础表'!BT5</f>
        <v>1999.69</v>
      </c>
      <c r="H28" s="2822"/>
      <c r="I28" s="2822"/>
      <c r="J28" s="2822"/>
      <c r="K28" s="2822"/>
      <c r="L28" s="2822"/>
      <c r="M28" s="2822"/>
      <c r="N28" s="2822"/>
      <c r="O28" s="2822"/>
      <c r="P28" s="2822"/>
    </row>
    <row r="29" spans="1:19">
      <c r="A29" s="133"/>
      <c r="B29" s="111" t="s">
        <v>193</v>
      </c>
      <c r="C29" s="2028" t="s">
        <v>1677</v>
      </c>
      <c r="D29" s="107">
        <f>ROUND($D$3*E29/$E$3,2)</f>
        <v>457.85</v>
      </c>
      <c r="E29" s="130">
        <f>SUM(F29:G29)</f>
        <v>1346.42</v>
      </c>
      <c r="F29" s="137">
        <f>'数据-基础表'!BM5+'数据-基础表'!BO5</f>
        <v>413.51</v>
      </c>
      <c r="G29" s="139">
        <f>'数据-基础表'!BN5+'数据-基础表'!BP5</f>
        <v>932.91000000000008</v>
      </c>
      <c r="H29" s="2822"/>
      <c r="I29" s="2822"/>
      <c r="J29" s="2822"/>
      <c r="K29" s="2822"/>
      <c r="L29" s="2822"/>
      <c r="M29" s="2822"/>
      <c r="N29" s="2822"/>
      <c r="O29" s="2822"/>
      <c r="P29" s="2822"/>
    </row>
    <row r="30" spans="1:19">
      <c r="A30" s="133"/>
      <c r="B30" s="107"/>
      <c r="C30" s="140" t="s">
        <v>181</v>
      </c>
      <c r="D30" s="130">
        <f>SUM(D28:D29)</f>
        <v>1168.68</v>
      </c>
      <c r="E30" s="130">
        <f>SUM(E28:E29)</f>
        <v>3436.8</v>
      </c>
      <c r="F30" s="130">
        <f>SUM(F28:F29)</f>
        <v>504.2</v>
      </c>
      <c r="G30" s="108">
        <f>SUM(G28:G29)</f>
        <v>2932.6000000000004</v>
      </c>
      <c r="H30" s="2822"/>
      <c r="I30" s="2822"/>
      <c r="J30" s="2822"/>
      <c r="K30" s="2822"/>
      <c r="L30" s="2822"/>
      <c r="M30" s="2822"/>
      <c r="N30" s="2822"/>
      <c r="O30" s="2822"/>
      <c r="P30" s="2822"/>
    </row>
    <row r="31" spans="1:19" ht="32.25" customHeight="1" thickBot="1">
      <c r="A31" s="1224"/>
      <c r="B31" s="1225" t="s">
        <v>195</v>
      </c>
      <c r="C31" s="2045" t="s">
        <v>1679</v>
      </c>
      <c r="D31" s="1226">
        <f>D27+D30</f>
        <v>23364.850000000002</v>
      </c>
      <c r="E31" s="1226">
        <f>E27+E30</f>
        <v>68710.41</v>
      </c>
      <c r="F31" s="1227">
        <f>F27+F30</f>
        <v>51363.03</v>
      </c>
      <c r="G31" s="1228">
        <f>G27+G30</f>
        <v>17347.379999999997</v>
      </c>
      <c r="H31" s="2822"/>
      <c r="I31" s="2822"/>
      <c r="J31" s="2822"/>
      <c r="K31" s="2822"/>
      <c r="L31" s="2822"/>
      <c r="M31" s="2822"/>
      <c r="N31" s="2822"/>
      <c r="O31" s="2822"/>
      <c r="P31" s="2822"/>
    </row>
    <row r="32" spans="1:19">
      <c r="A32" s="1735"/>
      <c r="B32" s="2057" t="s">
        <v>1678</v>
      </c>
      <c r="C32" s="2248"/>
      <c r="D32" s="1096"/>
      <c r="E32" s="1096">
        <f>SUMIF(C19:C26,"*住宅*",E19:E26)</f>
        <v>50858.83</v>
      </c>
      <c r="F32" s="1096"/>
      <c r="G32" s="1096"/>
      <c r="H32" s="2822"/>
      <c r="I32" s="2822"/>
      <c r="J32" s="2822"/>
      <c r="K32" s="2822"/>
      <c r="L32" s="2822"/>
      <c r="M32" s="2822"/>
      <c r="N32" s="2822"/>
      <c r="O32" s="2822"/>
      <c r="P32" s="2822"/>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AF6" activePane="bottomRight" state="frozen"/>
      <selection pane="topRight" activeCell="D1" sqref="D1"/>
      <selection pane="bottomLeft" activeCell="A4" sqref="A4"/>
      <selection pane="bottomRight" activeCell="AL31" sqref="AL31"/>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5"/>
    <col min="42" max="42" width="13.75" style="1745" customWidth="1"/>
    <col min="43" max="83" width="13.75" style="1745"/>
    <col min="84" max="16384" width="13.75" style="1098"/>
  </cols>
  <sheetData>
    <row r="1" spans="1:83" ht="19.5" thickBot="1">
      <c r="A1" s="141" t="s">
        <v>200</v>
      </c>
      <c r="B1" s="1097"/>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1" customFormat="1" ht="15.75" thickBot="1">
      <c r="A2" s="142" t="s">
        <v>201</v>
      </c>
      <c r="B2" s="2053">
        <f>项目基本情况!D3</f>
        <v>45138</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1" customFormat="1" ht="15" thickBot="1">
      <c r="A3" s="1102"/>
      <c r="B3" s="1099"/>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7"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3"/>
      <c r="AP5" s="2828" t="s">
        <v>2254</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1"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69396</v>
      </c>
      <c r="F6" s="167">
        <f>SUMIF(项目基本情况!C$15:I$15,C6,项目基本情况!C$19:I$19)</f>
        <v>66.459999999999994</v>
      </c>
      <c r="G6" s="168">
        <f t="shared" ref="G6:G13" si="0">IF(ISERROR(ROUND(POWER(1+H6,D6-F6)*(POWER(1+H6,F6)-1)/(POWER(1+H6,D6)-1),3)),0,ROUND(POWER(1+H6,D6-F6)*(POWER(1+H6,F6)-1)/(POWER(1+H6,D6)-1),3))</f>
        <v>0.99</v>
      </c>
      <c r="H6" s="2495">
        <v>0.04</v>
      </c>
      <c r="I6" s="2495">
        <v>4.4999999999999998E-2</v>
      </c>
      <c r="J6" s="169">
        <v>7.0000000000000007E-2</v>
      </c>
      <c r="K6" s="172">
        <f>SUMIF('数据-汇总表'!C$19:C$33,'数据-取费表'!A6,'数据-汇总表'!E$19:E$33)</f>
        <v>50858.83</v>
      </c>
      <c r="L6" s="2496">
        <v>4500</v>
      </c>
      <c r="M6" s="170">
        <f t="shared" ref="M6:M14" si="1">ROUND(K6*L6/10000,0)</f>
        <v>22886</v>
      </c>
      <c r="N6" s="2497">
        <v>0</v>
      </c>
      <c r="O6" s="170">
        <f>IF($N$5="成新度","——",ROUND(M6*N6,0))</f>
        <v>0</v>
      </c>
      <c r="P6" s="171">
        <f>IF($N$5="成新度","——",M6-O6)</f>
        <v>22886</v>
      </c>
      <c r="Q6" s="2498">
        <v>0.15</v>
      </c>
      <c r="R6" s="172">
        <f>SUMIF('数据-汇总表'!C$19:C$33,A6,'数据-汇总表'!R$19:R$33)</f>
        <v>18306.150000000001</v>
      </c>
      <c r="S6" s="128">
        <f>IF('数据-汇总表'!$I$17="按面积比例",SUMIF('数据-汇总表'!C$19:C$33,A6,'数据-汇总表'!K$19:K$33),SUMIF('数据-汇总表'!C$19:C$33,A6,'数据-汇总表'!N$19:N$33))</f>
        <v>1628.75</v>
      </c>
      <c r="T6" s="1949">
        <f>IF($T$4="按面积比例",IF(ISERROR(ROUND($M$14*S6/S$16,0)),"0",ROUND($M$14*S6/S$16,0)),"需自行计算录入")</f>
        <v>570</v>
      </c>
      <c r="U6" s="173"/>
      <c r="V6" s="174"/>
      <c r="W6" s="174"/>
      <c r="X6" s="2036"/>
      <c r="Y6" s="175"/>
      <c r="Z6" s="176"/>
      <c r="AA6" s="169"/>
      <c r="AB6" s="169"/>
      <c r="AC6" s="2039"/>
      <c r="AD6" s="177"/>
      <c r="AE6" s="931">
        <f ca="1">IF(AN6="",0,SUMIF(INDIRECT("'"&amp;AN6&amp;"'"&amp;"!E:E"),$AE$5,INDIRECT("'"&amp;AN6&amp;"'"&amp;"!F:F")))</f>
        <v>0</v>
      </c>
      <c r="AF6" s="134"/>
      <c r="AG6" s="1108">
        <f>IF(AF6="",0,AE6-AF6)</f>
        <v>0</v>
      </c>
      <c r="AH6" s="134"/>
      <c r="AI6" s="180"/>
      <c r="AJ6" s="181"/>
      <c r="AK6" s="182"/>
      <c r="AL6" s="183"/>
      <c r="AM6" s="2507"/>
      <c r="AN6" s="2080"/>
      <c r="AO6" s="2832"/>
      <c r="AP6" s="1099">
        <f>ROUND(1-1/(1+H6)^F6,3)</f>
        <v>0.92600000000000005</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1" customFormat="1" ht="14.25">
      <c r="A7" s="2017" t="str">
        <f>'数据-汇总表'!C20</f>
        <v>地下仓储</v>
      </c>
      <c r="B7" s="2052" t="str">
        <f t="shared" ref="B7:B13" si="2">IF(A7=0,"","经营性")</f>
        <v>经营性</v>
      </c>
      <c r="C7" s="166" t="s">
        <v>2733</v>
      </c>
      <c r="D7" s="2023">
        <f>SUMIF(项目基本情况!C$15:I$15,C7,项目基本情况!C$18:I$18)</f>
        <v>50</v>
      </c>
      <c r="E7" s="2024">
        <f>IF(B7="","",SUMIF(项目基本情况!C$15:I$15,C7,项目基本情况!C$17:I$17))</f>
        <v>62091</v>
      </c>
      <c r="F7" s="167">
        <f>SUMIF(项目基本情况!C$15:I$15,C7,项目基本情况!C$19:I$19)</f>
        <v>46.44</v>
      </c>
      <c r="G7" s="168">
        <f t="shared" si="0"/>
        <v>0.97899999999999998</v>
      </c>
      <c r="H7" s="2495">
        <v>4.4999999999999998E-2</v>
      </c>
      <c r="I7" s="2495">
        <v>0.05</v>
      </c>
      <c r="J7" s="169">
        <v>7.0000000000000007E-2</v>
      </c>
      <c r="K7" s="172">
        <f>SUMIF('数据-汇总表'!C$19:C$33,'数据-取费表'!A7,'数据-汇总表'!E$19:E$33)</f>
        <v>6934.37</v>
      </c>
      <c r="L7" s="2496">
        <v>3500</v>
      </c>
      <c r="M7" s="170">
        <f t="shared" si="1"/>
        <v>2427</v>
      </c>
      <c r="N7" s="2497">
        <f>N6</f>
        <v>0</v>
      </c>
      <c r="O7" s="170">
        <f t="shared" ref="O7:O14" si="3">IF($N$5="成新度","——",ROUND(M7*N7,0))</f>
        <v>0</v>
      </c>
      <c r="P7" s="171">
        <f t="shared" ref="P7:P14" si="4">IF($N$5="成新度","——",M7-O7)</f>
        <v>2427</v>
      </c>
      <c r="Q7" s="2498">
        <v>0.05</v>
      </c>
      <c r="R7" s="172">
        <f>SUMIF('数据-汇总表'!C$19:C$33,A7,'数据-汇总表'!R$19:R$33)</f>
        <v>2433.5300000000002</v>
      </c>
      <c r="S7" s="128">
        <f>IF('数据-汇总表'!$I$17="按面积比例",SUMIF('数据-汇总表'!C$19:C$33,A7,'数据-汇总表'!K$19:K$33),SUMIF('数据-汇总表'!C$19:C$33,A7,'数据-汇总表'!N$19:N$33))</f>
        <v>222.07</v>
      </c>
      <c r="T7" s="1949">
        <f t="shared" ref="T7:T13" si="5">IF($T$4="按面积比例",IF(ISERROR(ROUND($M$14*S7/S$16,0)),"0",ROUND($M$14*S7/S$16,0)),"需自行计算录入")</f>
        <v>78</v>
      </c>
      <c r="U7" s="173">
        <v>1</v>
      </c>
      <c r="V7" s="174">
        <v>0.02</v>
      </c>
      <c r="W7" s="174">
        <v>0.1</v>
      </c>
      <c r="X7" s="2036"/>
      <c r="Y7" s="175">
        <v>1</v>
      </c>
      <c r="Z7" s="176"/>
      <c r="AA7" s="169"/>
      <c r="AB7" s="169"/>
      <c r="AC7" s="2039"/>
      <c r="AD7" s="177"/>
      <c r="AE7" s="931">
        <f t="shared" ref="AE7:AE13" ca="1" si="6">IF(AN7="",0,SUMIF(INDIRECT("'"&amp;AN7&amp;"'"&amp;"!E:E"),$AE$5,INDIRECT("'"&amp;AN7&amp;"'"&amp;"!F:F")))</f>
        <v>44.44</v>
      </c>
      <c r="AF7" s="134"/>
      <c r="AG7" s="1108">
        <f t="shared" ref="AG7:AG13" si="7">IF(AF7="",0,AE7-AF7)</f>
        <v>0</v>
      </c>
      <c r="AH7" s="134"/>
      <c r="AI7" s="180">
        <v>365</v>
      </c>
      <c r="AJ7" s="181"/>
      <c r="AK7" s="182">
        <v>0.01</v>
      </c>
      <c r="AL7" s="183">
        <v>1.5E-3</v>
      </c>
      <c r="AM7" s="2507">
        <v>0.01</v>
      </c>
      <c r="AN7" s="2080" t="s">
        <v>3561</v>
      </c>
      <c r="AO7" s="2832"/>
      <c r="AP7" s="1099">
        <f t="shared" ref="AP7:AP13" si="8">ROUND(1-1/(1+H7)^F7,3)</f>
        <v>0.871</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1" customFormat="1" ht="14.25">
      <c r="A8" s="2017" t="str">
        <f>'数据-汇总表'!C21</f>
        <v>地下车库</v>
      </c>
      <c r="B8" s="2052" t="str">
        <f t="shared" si="2"/>
        <v>经营性</v>
      </c>
      <c r="C8" s="166" t="s">
        <v>2732</v>
      </c>
      <c r="D8" s="2023">
        <f>SUMIF(项目基本情况!C$15:I$15,C8,项目基本情况!C$18:I$18)</f>
        <v>50</v>
      </c>
      <c r="E8" s="2024">
        <f>IF(B8="","",SUMIF(项目基本情况!C$15:I$15,C8,项目基本情况!C$17:I$17))</f>
        <v>62091</v>
      </c>
      <c r="F8" s="167">
        <f>SUMIF(项目基本情况!C$15:I$15,C8,项目基本情况!C$19:I$19)</f>
        <v>46.44</v>
      </c>
      <c r="G8" s="168">
        <f t="shared" si="0"/>
        <v>0.97899999999999998</v>
      </c>
      <c r="H8" s="2495">
        <v>4.4999999999999998E-2</v>
      </c>
      <c r="I8" s="2495">
        <v>0.05</v>
      </c>
      <c r="J8" s="169">
        <v>7.0000000000000007E-2</v>
      </c>
      <c r="K8" s="172">
        <f>SUMIF('数据-汇总表'!C$19:C$33,'数据-取费表'!A8,'数据-汇总表'!E$19:E$33)</f>
        <v>7480.41</v>
      </c>
      <c r="L8" s="2496">
        <v>3500</v>
      </c>
      <c r="M8" s="170">
        <f>ROUND(K8*L8/10000,0)</f>
        <v>2618</v>
      </c>
      <c r="N8" s="2497">
        <v>0</v>
      </c>
      <c r="O8" s="170">
        <f t="shared" si="3"/>
        <v>0</v>
      </c>
      <c r="P8" s="171">
        <f t="shared" si="4"/>
        <v>2618</v>
      </c>
      <c r="Q8" s="2498">
        <v>0.05</v>
      </c>
      <c r="R8" s="172">
        <f>SUMIF('数据-汇总表'!C$19:C$33,A8,'数据-汇总表'!R$19:R$33)</f>
        <v>2625.16</v>
      </c>
      <c r="S8" s="128">
        <f>IF('数据-汇总表'!$I$17="按面积比例",SUMIF('数据-汇总表'!C$19:C$33,A8,'数据-汇总表'!K$19:K$33),SUMIF('数据-汇总表'!C$19:C$33,A8,'数据-汇总表'!N$19:N$33))</f>
        <v>239.56</v>
      </c>
      <c r="T8" s="1949">
        <f t="shared" si="5"/>
        <v>84</v>
      </c>
      <c r="U8" s="173"/>
      <c r="V8" s="174"/>
      <c r="W8" s="174"/>
      <c r="X8" s="2036"/>
      <c r="Y8" s="175"/>
      <c r="Z8" s="176"/>
      <c r="AA8" s="169"/>
      <c r="AB8" s="169"/>
      <c r="AC8" s="2039"/>
      <c r="AD8" s="177"/>
      <c r="AE8" s="931">
        <f t="shared" ca="1" si="6"/>
        <v>0</v>
      </c>
      <c r="AF8" s="134"/>
      <c r="AG8" s="1108">
        <f t="shared" si="7"/>
        <v>0</v>
      </c>
      <c r="AH8" s="134">
        <f>经济技术指标!H31</f>
        <v>454</v>
      </c>
      <c r="AI8" s="180">
        <v>365</v>
      </c>
      <c r="AJ8" s="181"/>
      <c r="AK8" s="182"/>
      <c r="AL8" s="183"/>
      <c r="AM8" s="2507"/>
      <c r="AN8" s="2080"/>
      <c r="AO8" s="2832"/>
      <c r="AP8" s="1099">
        <f t="shared" si="8"/>
        <v>0.871</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1"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f t="shared" si="5"/>
        <v>0</v>
      </c>
      <c r="U9" s="173"/>
      <c r="V9" s="174"/>
      <c r="W9" s="174"/>
      <c r="X9" s="2036"/>
      <c r="Y9" s="175"/>
      <c r="Z9" s="176"/>
      <c r="AA9" s="169"/>
      <c r="AB9" s="169"/>
      <c r="AC9" s="2039"/>
      <c r="AD9" s="177"/>
      <c r="AE9" s="931">
        <f t="shared" ca="1" si="6"/>
        <v>0</v>
      </c>
      <c r="AF9" s="134"/>
      <c r="AG9" s="1108">
        <f t="shared" si="7"/>
        <v>0</v>
      </c>
      <c r="AH9" s="134"/>
      <c r="AI9" s="180"/>
      <c r="AJ9" s="181"/>
      <c r="AK9" s="182"/>
      <c r="AL9" s="183"/>
      <c r="AM9" s="2507"/>
      <c r="AN9" s="2080"/>
      <c r="AO9" s="2832"/>
      <c r="AP9" s="1099">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1"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f t="shared" si="5"/>
        <v>0</v>
      </c>
      <c r="U10" s="173"/>
      <c r="V10" s="174"/>
      <c r="W10" s="174"/>
      <c r="X10" s="2036"/>
      <c r="Y10" s="175"/>
      <c r="Z10" s="176"/>
      <c r="AA10" s="169"/>
      <c r="AB10" s="169"/>
      <c r="AC10" s="2039"/>
      <c r="AD10" s="177"/>
      <c r="AE10" s="931">
        <f t="shared" ca="1" si="6"/>
        <v>0</v>
      </c>
      <c r="AF10" s="134"/>
      <c r="AG10" s="1108">
        <f t="shared" si="7"/>
        <v>0</v>
      </c>
      <c r="AH10" s="134"/>
      <c r="AI10" s="180"/>
      <c r="AJ10" s="181"/>
      <c r="AK10" s="182"/>
      <c r="AL10" s="183"/>
      <c r="AM10" s="2507"/>
      <c r="AN10" s="2080"/>
      <c r="AO10" s="2832"/>
      <c r="AP10" s="1099">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1"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f t="shared" si="5"/>
        <v>0</v>
      </c>
      <c r="U11" s="178"/>
      <c r="V11" s="174"/>
      <c r="W11" s="169"/>
      <c r="X11" s="2039"/>
      <c r="Y11" s="175"/>
      <c r="Z11" s="188"/>
      <c r="AA11" s="169"/>
      <c r="AB11" s="169"/>
      <c r="AC11" s="2039"/>
      <c r="AD11" s="177"/>
      <c r="AE11" s="931">
        <f t="shared" ca="1" si="6"/>
        <v>0</v>
      </c>
      <c r="AF11" s="134"/>
      <c r="AG11" s="1108">
        <f t="shared" si="7"/>
        <v>0</v>
      </c>
      <c r="AH11" s="134"/>
      <c r="AI11" s="180"/>
      <c r="AJ11" s="181"/>
      <c r="AK11" s="182"/>
      <c r="AL11" s="183"/>
      <c r="AM11" s="2507"/>
      <c r="AN11" s="2080"/>
      <c r="AO11" s="2832"/>
      <c r="AP11" s="1099">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1"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f t="shared" si="5"/>
        <v>0</v>
      </c>
      <c r="U12" s="178"/>
      <c r="V12" s="174"/>
      <c r="W12" s="169"/>
      <c r="X12" s="2039"/>
      <c r="Y12" s="175"/>
      <c r="Z12" s="188"/>
      <c r="AA12" s="169"/>
      <c r="AB12" s="169"/>
      <c r="AC12" s="2039"/>
      <c r="AD12" s="177"/>
      <c r="AE12" s="931">
        <f t="shared" ca="1" si="6"/>
        <v>0</v>
      </c>
      <c r="AF12" s="134"/>
      <c r="AG12" s="1108">
        <f t="shared" si="7"/>
        <v>0</v>
      </c>
      <c r="AH12" s="134"/>
      <c r="AI12" s="180"/>
      <c r="AJ12" s="181"/>
      <c r="AK12" s="182"/>
      <c r="AL12" s="183"/>
      <c r="AM12" s="2507"/>
      <c r="AN12" s="2080"/>
      <c r="AO12" s="2832"/>
      <c r="AP12" s="1099">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1"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f t="shared" si="5"/>
        <v>0</v>
      </c>
      <c r="U13" s="173"/>
      <c r="V13" s="174"/>
      <c r="W13" s="174"/>
      <c r="X13" s="2036"/>
      <c r="Y13" s="175"/>
      <c r="Z13" s="176"/>
      <c r="AA13" s="169"/>
      <c r="AB13" s="169"/>
      <c r="AC13" s="2039"/>
      <c r="AD13" s="177"/>
      <c r="AE13" s="931">
        <f t="shared" ca="1" si="6"/>
        <v>0</v>
      </c>
      <c r="AF13" s="134"/>
      <c r="AG13" s="1108">
        <f t="shared" si="7"/>
        <v>0</v>
      </c>
      <c r="AH13" s="134"/>
      <c r="AI13" s="180"/>
      <c r="AJ13" s="181"/>
      <c r="AK13" s="182"/>
      <c r="AL13" s="183"/>
      <c r="AM13" s="2078"/>
      <c r="AN13" s="2080"/>
      <c r="AO13" s="2832"/>
      <c r="AP13" s="1099">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1" customFormat="1" ht="14.25">
      <c r="A14" s="2018" t="s">
        <v>1671</v>
      </c>
      <c r="B14" s="2021" t="s">
        <v>1213</v>
      </c>
      <c r="C14" s="2022" t="s">
        <v>1671</v>
      </c>
      <c r="D14" s="2023"/>
      <c r="E14" s="2024"/>
      <c r="F14" s="167"/>
      <c r="G14" s="168"/>
      <c r="H14" s="2025"/>
      <c r="I14" s="2025"/>
      <c r="J14" s="2025"/>
      <c r="K14" s="172">
        <f>SUMIF('数据-汇总表'!C$19:C$33,'数据-取费表'!A14,'数据-汇总表'!E$19:E$33)</f>
        <v>2090.38</v>
      </c>
      <c r="L14" s="186">
        <f>L7</f>
        <v>3500</v>
      </c>
      <c r="M14" s="170">
        <f t="shared" si="1"/>
        <v>732</v>
      </c>
      <c r="N14" s="187">
        <f>N6</f>
        <v>0</v>
      </c>
      <c r="O14" s="170">
        <f t="shared" si="3"/>
        <v>0</v>
      </c>
      <c r="P14" s="171">
        <f t="shared" si="4"/>
        <v>732</v>
      </c>
      <c r="Q14" s="2033"/>
      <c r="R14" s="172"/>
      <c r="S14" s="128"/>
      <c r="T14" s="2032"/>
      <c r="U14" s="933"/>
      <c r="V14" s="2035"/>
      <c r="W14" s="2035"/>
      <c r="X14" s="2036"/>
      <c r="Y14" s="2037"/>
      <c r="Z14" s="131"/>
      <c r="AA14" s="2038"/>
      <c r="AB14" s="2038"/>
      <c r="AC14" s="2039"/>
      <c r="AD14" s="2036"/>
      <c r="AE14" s="931"/>
      <c r="AF14" s="2011"/>
      <c r="AG14" s="1108"/>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1" customFormat="1" ht="27">
      <c r="A15" s="2027" t="s">
        <v>1673</v>
      </c>
      <c r="B15" s="2021" t="s">
        <v>1213</v>
      </c>
      <c r="C15" s="2022" t="s">
        <v>1672</v>
      </c>
      <c r="D15" s="2023"/>
      <c r="E15" s="2024"/>
      <c r="F15" s="167"/>
      <c r="G15" s="168"/>
      <c r="H15" s="2025"/>
      <c r="I15" s="2025"/>
      <c r="J15" s="2025"/>
      <c r="K15" s="172">
        <f>SUMIF('数据-汇总表'!C$19:C$33,'数据-取费表'!A15,'数据-汇总表'!E$19:E$33)</f>
        <v>1346.42</v>
      </c>
      <c r="L15" s="2031"/>
      <c r="M15" s="170"/>
      <c r="N15" s="2034"/>
      <c r="O15" s="170"/>
      <c r="P15" s="171"/>
      <c r="Q15" s="2033"/>
      <c r="R15" s="172"/>
      <c r="S15" s="128"/>
      <c r="T15" s="2032"/>
      <c r="U15" s="933"/>
      <c r="V15" s="2035"/>
      <c r="W15" s="2035"/>
      <c r="X15" s="2036"/>
      <c r="Y15" s="2037"/>
      <c r="Z15" s="131"/>
      <c r="AA15" s="2038"/>
      <c r="AB15" s="2038"/>
      <c r="AC15" s="2039"/>
      <c r="AD15" s="2036"/>
      <c r="AE15" s="931"/>
      <c r="AF15" s="2011"/>
      <c r="AG15" s="1108"/>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1" customFormat="1" ht="15.75" thickBot="1">
      <c r="A16" s="189" t="s">
        <v>228</v>
      </c>
      <c r="B16" s="190"/>
      <c r="C16" s="191"/>
      <c r="D16" s="192"/>
      <c r="E16" s="190"/>
      <c r="F16" s="190"/>
      <c r="G16" s="193">
        <f>ROUND(SUMPRODUCT(G6:G13,K6:K13)/SUMPRODUCT((G6:G13&gt;0)*(K6:K13)),3)</f>
        <v>0.98799999999999999</v>
      </c>
      <c r="H16" s="194">
        <f>ROUND(SUMPRODUCT(H6:H13,K6:K13)/SUMPRODUCT((H6:H13&gt;0)*(K6:K13)),3)</f>
        <v>4.1000000000000002E-2</v>
      </c>
      <c r="I16" s="195"/>
      <c r="J16" s="195"/>
      <c r="K16" s="196">
        <f>SUM(K6:K15)</f>
        <v>68710.41</v>
      </c>
      <c r="L16" s="197">
        <f>ROUND(M16*10000/SUM(K6:K14),0)</f>
        <v>4255</v>
      </c>
      <c r="M16" s="197">
        <f>SUM(M6:M14)</f>
        <v>28663</v>
      </c>
      <c r="N16" s="198">
        <f>ROUND(SUMPRODUCT(M6:M14,N6:N14)/M16,3)</f>
        <v>0</v>
      </c>
      <c r="O16" s="197">
        <f>SUM(O6:O14)</f>
        <v>0</v>
      </c>
      <c r="P16" s="197">
        <f>SUM(P6:P14)</f>
        <v>28663</v>
      </c>
      <c r="Q16" s="199">
        <f>ROUND(SUMPRODUCT(Q6:Q13,K6:K13)/SUMPRODUCT((Q6:Q13&gt;0)*(K6:K13)),2)</f>
        <v>0.13</v>
      </c>
      <c r="R16" s="2026">
        <f>SUM(R6:R13)</f>
        <v>23364.84</v>
      </c>
      <c r="S16" s="200">
        <f>SUM(S6:S13)</f>
        <v>2090.38</v>
      </c>
      <c r="T16" s="201">
        <f>IF(SUMIF(T6:T13,"&lt;9E307")=M14,SUMIF(T6:T13,"&lt;9E307"),"有误，请检查")</f>
        <v>732</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099">
        <f>ROUND(SUMPRODUCT(AP6:AP13,K6:K13)/SUMPRODUCT((AP6:AP13&gt;0)*(K6:K13)),3)</f>
        <v>0.91400000000000003</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09"/>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2266</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2"/>
      <c r="B25" s="1099"/>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0" customFormat="1" ht="27.75">
      <c r="A27" s="217" t="s">
        <v>1694</v>
      </c>
      <c r="B27" s="3719">
        <v>150</v>
      </c>
      <c r="C27" s="2845" t="s">
        <v>2267</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0" customFormat="1" ht="27.75">
      <c r="A28" s="218" t="s">
        <v>1695</v>
      </c>
      <c r="B28" s="3720">
        <v>190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0" customFormat="1" ht="28.5" thickBot="1">
      <c r="A29" s="221" t="s">
        <v>1693</v>
      </c>
      <c r="B29" s="222">
        <f ca="1">'剩余法-待开发'!C21+'剩余法-待开发'!C22</f>
        <v>1102</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0" customFormat="1" ht="27">
      <c r="A30" s="225" t="s">
        <v>239</v>
      </c>
      <c r="B30" s="937">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0" customFormat="1" ht="27">
      <c r="A31" s="218" t="s">
        <v>240</v>
      </c>
      <c r="B31" s="220">
        <f>B30-B32</f>
        <v>170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0" customFormat="1" ht="27.75" thickBot="1">
      <c r="A32" s="227" t="s">
        <v>241</v>
      </c>
      <c r="B32" s="1232">
        <v>30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0" customFormat="1" ht="14.25">
      <c r="A33" s="217" t="s">
        <v>244</v>
      </c>
      <c r="B33" s="1233">
        <v>0.03</v>
      </c>
      <c r="C33" s="2847" t="s">
        <v>2255</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8" t="s">
        <v>245</v>
      </c>
      <c r="B34" s="223">
        <v>0.05</v>
      </c>
      <c r="C34" s="2847" t="s">
        <v>2256</v>
      </c>
      <c r="D34" s="2848" t="s">
        <v>2263</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8" t="s">
        <v>242</v>
      </c>
      <c r="B35" s="219">
        <v>200</v>
      </c>
      <c r="C35" s="2847" t="s">
        <v>2257</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1" t="s">
        <v>243</v>
      </c>
      <c r="B36" s="224">
        <v>1.4999999999999999E-2</v>
      </c>
      <c r="C36" s="2847" t="s">
        <v>2258</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5" t="s">
        <v>246</v>
      </c>
      <c r="B37" s="226">
        <v>0.02</v>
      </c>
      <c r="C37" s="2847" t="s">
        <v>2259</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8" t="s">
        <v>247</v>
      </c>
      <c r="B38" s="223">
        <v>0.02</v>
      </c>
      <c r="C38" s="2847" t="s">
        <v>2259</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2" t="s">
        <v>1801</v>
      </c>
      <c r="B39" s="765">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8" t="s">
        <v>3442</v>
      </c>
      <c r="B40" s="2126">
        <f ca="1">IF(A40="利息：取LPR",存贷款利率!E2,存贷款利率!E2+C40)</f>
        <v>3.5499999999999997E-2</v>
      </c>
      <c r="C40" s="3019">
        <v>-1E-3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8">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8" t="s">
        <v>249</v>
      </c>
      <c r="B42" s="230">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8" t="s">
        <v>250</v>
      </c>
      <c r="B43" s="231">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29" t="s">
        <v>251</v>
      </c>
      <c r="B44" s="232">
        <v>0.05</v>
      </c>
      <c r="C44" s="2847" t="s">
        <v>2264</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29" t="s">
        <v>252</v>
      </c>
      <c r="B45" s="230">
        <v>0.03</v>
      </c>
      <c r="C45" s="2850" t="s">
        <v>2260</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29" t="s">
        <v>253</v>
      </c>
      <c r="B46" s="230">
        <v>0.02</v>
      </c>
      <c r="C46" s="2850" t="s">
        <v>2261</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3" t="s">
        <v>254</v>
      </c>
      <c r="B47" s="234"/>
      <c r="C47" s="2845" t="s">
        <v>2268</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5" t="s">
        <v>255</v>
      </c>
      <c r="B48" s="236">
        <v>0.03</v>
      </c>
      <c r="C48" s="2850" t="s">
        <v>2260</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7" t="s">
        <v>256</v>
      </c>
      <c r="B49" s="230">
        <v>5.0000000000000001E-4</v>
      </c>
      <c r="C49" s="2850" t="s">
        <v>2262</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7" t="s">
        <v>257</v>
      </c>
      <c r="B50" s="238">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1" t="s">
        <v>258</v>
      </c>
      <c r="B51" s="239">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7" t="s">
        <v>259</v>
      </c>
      <c r="B52" s="240">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8" t="s">
        <v>260</v>
      </c>
      <c r="B53" s="241" t="s">
        <v>1153</v>
      </c>
      <c r="C53" s="2840" t="s">
        <v>2166</v>
      </c>
      <c r="D53" s="2851" t="s">
        <v>2265</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2167</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2168</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2169</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2170</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2171</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2172</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2173</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2174</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2175</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2176</v>
      </c>
      <c r="B63" s="242"/>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6" sqref="L16"/>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809" t="s">
        <v>1198</v>
      </c>
      <c r="B1" s="3810"/>
      <c r="C1" s="3810"/>
      <c r="D1" s="3810"/>
      <c r="E1" s="3810"/>
      <c r="F1" s="3810"/>
      <c r="G1" s="3810"/>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27">
      <c r="A3" s="2864" t="s">
        <v>1201</v>
      </c>
      <c r="B3" s="2865" t="s">
        <v>1188</v>
      </c>
      <c r="C3" s="2866"/>
      <c r="D3" s="2867"/>
      <c r="E3" s="2868" t="s">
        <v>1201</v>
      </c>
      <c r="F3" s="2869" t="s">
        <v>1189</v>
      </c>
      <c r="G3" s="2870"/>
      <c r="H3" s="2863"/>
      <c r="I3" s="2863"/>
      <c r="J3" s="2863"/>
      <c r="K3" s="2863"/>
      <c r="L3" s="2863"/>
      <c r="M3" s="2863"/>
      <c r="N3" s="2863"/>
      <c r="O3" s="2863"/>
      <c r="P3" s="2863"/>
      <c r="Q3" s="2863"/>
      <c r="R3" s="2863"/>
    </row>
    <row r="4" spans="1:18" ht="14.25">
      <c r="A4" s="2868"/>
      <c r="B4" s="2871" t="s">
        <v>1202</v>
      </c>
      <c r="C4" s="2872"/>
      <c r="D4" s="2867"/>
      <c r="E4" s="2873"/>
      <c r="F4" s="2874" t="s">
        <v>1203</v>
      </c>
      <c r="G4" s="2875"/>
      <c r="H4" s="2863"/>
      <c r="I4" s="2863"/>
      <c r="J4" s="2863"/>
      <c r="K4" s="2863"/>
      <c r="L4" s="2863"/>
      <c r="M4" s="2863"/>
      <c r="N4" s="2863"/>
      <c r="O4" s="2863"/>
      <c r="P4" s="2863"/>
      <c r="Q4" s="2863"/>
      <c r="R4" s="2863"/>
    </row>
    <row r="5" spans="1:18" ht="14.25">
      <c r="A5" s="2868"/>
      <c r="B5" s="2871" t="s">
        <v>1204</v>
      </c>
      <c r="C5" s="2872"/>
      <c r="D5" s="2867"/>
      <c r="E5" s="2873"/>
      <c r="F5" s="2871" t="s">
        <v>1829</v>
      </c>
      <c r="G5" s="2875"/>
      <c r="H5" s="2863"/>
      <c r="I5" s="2863"/>
      <c r="J5" s="2863"/>
      <c r="K5" s="2863"/>
      <c r="L5" s="2863"/>
      <c r="M5" s="2863"/>
      <c r="N5" s="2863"/>
      <c r="O5" s="2863"/>
      <c r="P5" s="2863"/>
      <c r="Q5" s="2863"/>
      <c r="R5" s="2863"/>
    </row>
    <row r="6" spans="1:18" ht="14.25">
      <c r="A6" s="2868"/>
      <c r="B6" s="2871" t="s">
        <v>1190</v>
      </c>
      <c r="C6" s="2875"/>
      <c r="D6" s="2867"/>
      <c r="E6" s="2873"/>
      <c r="F6" s="2871" t="s">
        <v>1830</v>
      </c>
      <c r="G6" s="2875"/>
      <c r="H6" s="2863"/>
      <c r="I6" s="2863"/>
      <c r="J6" s="2863"/>
      <c r="K6" s="2863"/>
      <c r="L6" s="2863"/>
      <c r="M6" s="2863"/>
      <c r="N6" s="2863"/>
      <c r="O6" s="2863"/>
      <c r="P6" s="2863"/>
      <c r="Q6" s="2863"/>
      <c r="R6" s="2863"/>
    </row>
    <row r="7" spans="1:18" ht="15" thickBot="1">
      <c r="A7" s="2868"/>
      <c r="B7" s="2871" t="s">
        <v>1829</v>
      </c>
      <c r="C7" s="2875"/>
      <c r="D7" s="2876"/>
      <c r="E7" s="2877"/>
      <c r="F7" s="2878" t="s">
        <v>1205</v>
      </c>
      <c r="G7" s="2879"/>
      <c r="H7" s="2863"/>
      <c r="I7" s="2863"/>
      <c r="J7" s="2863"/>
      <c r="K7" s="2863"/>
      <c r="L7" s="2863"/>
      <c r="M7" s="2863"/>
      <c r="N7" s="2863"/>
      <c r="O7" s="2863"/>
      <c r="P7" s="2863"/>
      <c r="Q7" s="2863"/>
      <c r="R7" s="2863"/>
    </row>
    <row r="8" spans="1:18" ht="14.25">
      <c r="A8" s="2868"/>
      <c r="B8" s="2871" t="s">
        <v>1830</v>
      </c>
      <c r="C8" s="2875"/>
      <c r="D8" s="2876"/>
      <c r="E8" s="2876"/>
      <c r="F8" s="2880"/>
      <c r="G8" s="2880"/>
      <c r="H8" s="2863"/>
      <c r="I8" s="2863"/>
      <c r="J8" s="2863"/>
      <c r="K8" s="2863"/>
      <c r="L8" s="2863"/>
      <c r="M8" s="2863"/>
      <c r="N8" s="2863"/>
      <c r="O8" s="2863"/>
      <c r="P8" s="2863"/>
      <c r="Q8" s="2863"/>
      <c r="R8" s="2863"/>
    </row>
    <row r="9" spans="1:18" ht="14.25">
      <c r="A9" s="2868"/>
      <c r="B9" s="2871" t="s">
        <v>1191</v>
      </c>
      <c r="C9" s="2872"/>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27">
      <c r="A15" s="2905" t="s">
        <v>1192</v>
      </c>
      <c r="B15" s="2906" t="s">
        <v>1188</v>
      </c>
      <c r="C15" s="2907">
        <f>C3</f>
        <v>0</v>
      </c>
      <c r="D15" s="2867"/>
      <c r="E15" s="2908" t="s">
        <v>1193</v>
      </c>
      <c r="F15" s="2906" t="s">
        <v>1208</v>
      </c>
      <c r="G15" s="2909">
        <f>G3</f>
        <v>0</v>
      </c>
    </row>
    <row r="16" spans="1:18">
      <c r="A16" s="2910"/>
      <c r="B16" s="2911" t="s">
        <v>1202</v>
      </c>
      <c r="C16" s="2912">
        <f>C4</f>
        <v>0</v>
      </c>
      <c r="D16" s="2867"/>
      <c r="E16" s="2913"/>
      <c r="F16" s="2914" t="s">
        <v>1203</v>
      </c>
      <c r="G16" s="2915">
        <f>G4</f>
        <v>0</v>
      </c>
    </row>
    <row r="17" spans="1:7" ht="14.25">
      <c r="A17" s="2910"/>
      <c r="B17" s="2911" t="s">
        <v>1204</v>
      </c>
      <c r="C17" s="2912">
        <f>C5</f>
        <v>0</v>
      </c>
      <c r="D17" s="2876"/>
      <c r="E17" s="2913"/>
      <c r="F17" s="2914" t="s">
        <v>1209</v>
      </c>
      <c r="G17" s="2916"/>
    </row>
    <row r="18" spans="1:7">
      <c r="A18" s="2910"/>
      <c r="B18" s="2914" t="s">
        <v>1190</v>
      </c>
      <c r="C18" s="2915">
        <f>C6</f>
        <v>0</v>
      </c>
      <c r="D18" s="2876"/>
      <c r="E18" s="2913"/>
      <c r="F18" s="2914" t="s">
        <v>1205</v>
      </c>
      <c r="G18" s="2915">
        <f>G7</f>
        <v>0</v>
      </c>
    </row>
    <row r="19" spans="1:7" ht="14.25">
      <c r="A19" s="2910"/>
      <c r="B19" s="2914" t="s">
        <v>1194</v>
      </c>
      <c r="C19" s="2916"/>
      <c r="D19" s="2867"/>
      <c r="E19" s="2913"/>
      <c r="F19" s="2871" t="s">
        <v>1829</v>
      </c>
      <c r="G19" s="2915">
        <f>G5</f>
        <v>0</v>
      </c>
    </row>
    <row r="20" spans="1:7">
      <c r="A20" s="2910"/>
      <c r="B20" s="2914" t="s">
        <v>1195</v>
      </c>
      <c r="C20" s="2912">
        <f>C9</f>
        <v>0</v>
      </c>
      <c r="D20" s="2876"/>
      <c r="E20" s="2913"/>
      <c r="F20" s="2871" t="s">
        <v>1830</v>
      </c>
      <c r="G20" s="2915">
        <f>G6</f>
        <v>0</v>
      </c>
    </row>
    <row r="21" spans="1:7" ht="14.25">
      <c r="A21" s="2910"/>
      <c r="B21" s="2871" t="s">
        <v>1829</v>
      </c>
      <c r="C21" s="2915">
        <f>C7</f>
        <v>0</v>
      </c>
      <c r="D21" s="2867"/>
      <c r="E21" s="2913"/>
      <c r="F21" s="2914" t="s">
        <v>1196</v>
      </c>
      <c r="G21" s="2917"/>
    </row>
    <row r="22" spans="1:7" ht="14.25">
      <c r="A22" s="2910"/>
      <c r="B22" s="2871" t="s">
        <v>1830</v>
      </c>
      <c r="C22" s="2915">
        <f>C8</f>
        <v>0</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48" sqref="C48"/>
    </sheetView>
  </sheetViews>
  <sheetFormatPr defaultColWidth="14.625" defaultRowHeight="13.5"/>
  <cols>
    <col min="1" max="1" width="24.375" style="2926" customWidth="1"/>
    <col min="2" max="16384" width="14.625" style="2926"/>
  </cols>
  <sheetData>
    <row r="1" spans="1:10" ht="16.5">
      <c r="A1" s="2925" t="s">
        <v>2118</v>
      </c>
      <c r="B1" s="2925">
        <f>SUM(B14:B23)</f>
        <v>126182.17000000001</v>
      </c>
      <c r="C1" s="2934"/>
      <c r="D1" s="2934"/>
      <c r="E1" s="2934"/>
      <c r="F1" s="2934"/>
      <c r="G1" s="2935"/>
      <c r="H1" s="2935"/>
      <c r="I1" s="2935"/>
      <c r="J1" s="2935"/>
    </row>
    <row r="2" spans="1:10" ht="16.5">
      <c r="A2" s="2925" t="s">
        <v>2119</v>
      </c>
      <c r="B2" s="2925">
        <f>SUM(C14:C23)</f>
        <v>42754.289999999994</v>
      </c>
      <c r="C2" s="2934"/>
      <c r="D2" s="2934"/>
      <c r="E2" s="2934"/>
      <c r="F2" s="2934"/>
      <c r="G2" s="2935"/>
      <c r="H2" s="2935"/>
      <c r="I2" s="2935"/>
      <c r="J2" s="2935"/>
    </row>
    <row r="3" spans="1:10" ht="16.5">
      <c r="A3" s="2925" t="s">
        <v>2120</v>
      </c>
      <c r="B3" s="2927">
        <f>项目基本情况!D3</f>
        <v>45138</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 ca="1">SUM(D14:D23)</f>
        <v>123502</v>
      </c>
      <c r="C5" s="2925">
        <f ca="1">ROUND(B5*10000/$B$1,0)</f>
        <v>9788</v>
      </c>
      <c r="D5" s="2925">
        <f ca="1">ROUND(B5*10000/$B$2,0)</f>
        <v>28886</v>
      </c>
      <c r="E5" s="2934"/>
      <c r="F5" s="2934"/>
      <c r="G5" s="2935"/>
      <c r="H5" s="2935"/>
      <c r="I5" s="2935"/>
      <c r="J5" s="2935"/>
    </row>
    <row r="6" spans="1:10" ht="16.5">
      <c r="A6" s="2925" t="s">
        <v>2126</v>
      </c>
      <c r="B6" s="2925">
        <f ca="1">SUM(G14:G23)</f>
        <v>122162</v>
      </c>
      <c r="C6" s="2925">
        <f ca="1">ROUND(B6*10000/$B$1,0)</f>
        <v>9681</v>
      </c>
      <c r="D6" s="2925">
        <f ca="1">ROUND(B6*10000/$B$2,0)</f>
        <v>28573</v>
      </c>
      <c r="E6" s="2934"/>
      <c r="F6" s="2934"/>
      <c r="G6" s="2935"/>
      <c r="H6" s="2935"/>
      <c r="I6" s="2935"/>
      <c r="J6" s="2935"/>
    </row>
    <row r="7" spans="1:10" ht="16.5">
      <c r="A7" s="2925" t="s">
        <v>2127</v>
      </c>
      <c r="B7" s="2925">
        <f>SUM(H14:H23)</f>
        <v>0</v>
      </c>
      <c r="C7" s="2925">
        <f>ROUND(B7*10000/$B$1,0)</f>
        <v>0</v>
      </c>
      <c r="D7" s="2925">
        <f>ROUND(B7*10000/$B$2,0)</f>
        <v>0</v>
      </c>
      <c r="E7" s="2934"/>
      <c r="F7" s="2934"/>
      <c r="G7" s="2935"/>
      <c r="H7" s="2935"/>
      <c r="I7" s="2935"/>
      <c r="J7" s="2935"/>
    </row>
    <row r="8" spans="1:10" ht="16.5">
      <c r="A8" s="2925" t="s">
        <v>2128</v>
      </c>
      <c r="B8" s="2925">
        <f ca="1">SUM(I14:I23)</f>
        <v>112194</v>
      </c>
      <c r="C8" s="2925">
        <f ca="1">ROUND(B8*10000/$B$1,0)</f>
        <v>8891</v>
      </c>
      <c r="D8" s="2925">
        <f ca="1">ROUND(B8*10000/$B$2,0)</f>
        <v>26242</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2147</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2146</v>
      </c>
      <c r="B13" s="2929" t="s">
        <v>2118</v>
      </c>
      <c r="C13" s="2929" t="s">
        <v>2119</v>
      </c>
      <c r="D13" s="2929" t="s">
        <v>2131</v>
      </c>
      <c r="E13" s="2925" t="s">
        <v>2145</v>
      </c>
      <c r="F13" s="2925" t="s">
        <v>2124</v>
      </c>
      <c r="G13" s="2929" t="s">
        <v>2132</v>
      </c>
      <c r="H13" s="2929" t="s">
        <v>2133</v>
      </c>
      <c r="I13" s="2929" t="s">
        <v>2134</v>
      </c>
      <c r="J13" s="2935"/>
    </row>
    <row r="14" spans="1:10" ht="16.5">
      <c r="A14" s="2930" t="s">
        <v>2144</v>
      </c>
      <c r="B14" s="2931">
        <f>结果表!L38</f>
        <v>68710.41</v>
      </c>
      <c r="C14" s="2931">
        <f>结果表!K38</f>
        <v>23364.85</v>
      </c>
      <c r="D14" s="2931">
        <f ca="1">结果表!O38</f>
        <v>68004</v>
      </c>
      <c r="E14" s="2931">
        <f ca="1">ROUND(D14*10000/B14,0)</f>
        <v>9897</v>
      </c>
      <c r="F14" s="2931">
        <f ca="1">ROUND(D14*10000/C14,0)</f>
        <v>29105</v>
      </c>
      <c r="G14" s="2931">
        <f ca="1">结果表!O39</f>
        <v>67267</v>
      </c>
      <c r="H14" s="2931"/>
      <c r="I14" s="2931">
        <f ca="1">结果表!O79</f>
        <v>61715</v>
      </c>
      <c r="J14" s="2935"/>
    </row>
    <row r="15" spans="1:10" ht="16.5">
      <c r="A15" s="2930" t="s">
        <v>2135</v>
      </c>
      <c r="B15" s="2932">
        <f>[3]系统读取表!$B$14</f>
        <v>57471.760000000009</v>
      </c>
      <c r="C15" s="2932">
        <f>[3]系统读取表!$C$14</f>
        <v>19389.439999999999</v>
      </c>
      <c r="D15" s="2932">
        <f ca="1">[3]系统读取表!$D$14</f>
        <v>55498</v>
      </c>
      <c r="E15" s="2931">
        <f t="shared" ref="E15:E23" ca="1" si="0">ROUND(D15*10000/B15,0)</f>
        <v>9657</v>
      </c>
      <c r="F15" s="2931">
        <f t="shared" ref="F15:F23" ca="1" si="1">ROUND(D15*10000/C15,0)</f>
        <v>28623</v>
      </c>
      <c r="G15" s="2511">
        <f ca="1">[3]系统读取表!$G$14</f>
        <v>54895</v>
      </c>
      <c r="H15" s="2511"/>
      <c r="I15" s="2932">
        <f ca="1">[3]系统读取表!$I$14</f>
        <v>50479</v>
      </c>
      <c r="J15" s="2935"/>
    </row>
    <row r="16" spans="1:10" ht="16.5">
      <c r="A16" s="2930" t="s">
        <v>2136</v>
      </c>
      <c r="B16" s="2932"/>
      <c r="C16" s="2932"/>
      <c r="D16" s="2932"/>
      <c r="E16" s="2931" t="e">
        <f t="shared" si="0"/>
        <v>#DIV/0!</v>
      </c>
      <c r="F16" s="2931" t="e">
        <f t="shared" si="1"/>
        <v>#DIV/0!</v>
      </c>
      <c r="G16" s="2511"/>
      <c r="H16" s="2511"/>
      <c r="I16" s="2932"/>
      <c r="J16" s="2935"/>
    </row>
    <row r="17" spans="1:10" ht="16.5">
      <c r="A17" s="2930" t="s">
        <v>2137</v>
      </c>
      <c r="B17" s="2932"/>
      <c r="C17" s="2932"/>
      <c r="D17" s="2932"/>
      <c r="E17" s="2931" t="e">
        <f t="shared" si="0"/>
        <v>#DIV/0!</v>
      </c>
      <c r="F17" s="2931" t="e">
        <f t="shared" si="1"/>
        <v>#DIV/0!</v>
      </c>
      <c r="G17" s="2511"/>
      <c r="H17" s="2511"/>
      <c r="I17" s="2932"/>
      <c r="J17" s="2935"/>
    </row>
    <row r="18" spans="1:10" ht="16.5">
      <c r="A18" s="2930" t="s">
        <v>2138</v>
      </c>
      <c r="B18" s="2932"/>
      <c r="C18" s="2932"/>
      <c r="D18" s="2932"/>
      <c r="E18" s="2931" t="e">
        <f t="shared" si="0"/>
        <v>#DIV/0!</v>
      </c>
      <c r="F18" s="2931" t="e">
        <f t="shared" si="1"/>
        <v>#DIV/0!</v>
      </c>
      <c r="G18" s="2932"/>
      <c r="H18" s="2932"/>
      <c r="I18" s="2932"/>
      <c r="J18" s="2935"/>
    </row>
    <row r="19" spans="1:10" ht="16.5">
      <c r="A19" s="2930" t="s">
        <v>2139</v>
      </c>
      <c r="B19" s="2932"/>
      <c r="C19" s="2932"/>
      <c r="D19" s="2932"/>
      <c r="E19" s="2931" t="e">
        <f t="shared" si="0"/>
        <v>#DIV/0!</v>
      </c>
      <c r="F19" s="2931" t="e">
        <f t="shared" si="1"/>
        <v>#DIV/0!</v>
      </c>
      <c r="G19" s="2932"/>
      <c r="H19" s="2932"/>
      <c r="I19" s="2932"/>
      <c r="J19" s="2935"/>
    </row>
    <row r="20" spans="1:10" ht="16.5">
      <c r="A20" s="2930" t="s">
        <v>2140</v>
      </c>
      <c r="B20" s="2932"/>
      <c r="C20" s="2932"/>
      <c r="D20" s="2932"/>
      <c r="E20" s="2931" t="e">
        <f t="shared" si="0"/>
        <v>#DIV/0!</v>
      </c>
      <c r="F20" s="2931" t="e">
        <f t="shared" si="1"/>
        <v>#DIV/0!</v>
      </c>
      <c r="G20" s="2932"/>
      <c r="H20" s="2932"/>
      <c r="I20" s="2932"/>
      <c r="J20" s="2935"/>
    </row>
    <row r="21" spans="1:10" ht="16.5">
      <c r="A21" s="2930" t="s">
        <v>2141</v>
      </c>
      <c r="B21" s="2932"/>
      <c r="C21" s="2932"/>
      <c r="D21" s="2932"/>
      <c r="E21" s="2931" t="e">
        <f t="shared" si="0"/>
        <v>#DIV/0!</v>
      </c>
      <c r="F21" s="2931" t="e">
        <f t="shared" si="1"/>
        <v>#DIV/0!</v>
      </c>
      <c r="G21" s="2932"/>
      <c r="H21" s="2932"/>
      <c r="I21" s="2932"/>
      <c r="J21" s="2935"/>
    </row>
    <row r="22" spans="1:10" ht="16.5">
      <c r="A22" s="2930" t="s">
        <v>2142</v>
      </c>
      <c r="B22" s="2932"/>
      <c r="C22" s="2932"/>
      <c r="D22" s="2932"/>
      <c r="E22" s="2931" t="e">
        <f t="shared" si="0"/>
        <v>#DIV/0!</v>
      </c>
      <c r="F22" s="2931" t="e">
        <f t="shared" si="1"/>
        <v>#DIV/0!</v>
      </c>
      <c r="G22" s="2932"/>
      <c r="H22" s="2932"/>
      <c r="I22" s="2932"/>
      <c r="J22" s="2935"/>
    </row>
    <row r="23" spans="1:10" ht="16.5">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5" zoomScale="85" zoomScaleNormal="100" zoomScaleSheetLayoutView="85" zoomScalePageLayoutView="80" workbookViewId="0">
      <selection activeCell="B37" sqref="B37:B38"/>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6"/>
  </cols>
  <sheetData>
    <row r="1" spans="1:22" ht="21.75" customHeight="1" thickBot="1">
      <c r="A1" s="1560" t="s">
        <v>1573</v>
      </c>
      <c r="B1" s="1561"/>
      <c r="C1" s="1589" t="s">
        <v>1574</v>
      </c>
      <c r="D1" s="1590"/>
      <c r="E1" s="1589" t="s">
        <v>1575</v>
      </c>
      <c r="F1" s="1591"/>
      <c r="G1" s="301"/>
      <c r="H1" s="301"/>
      <c r="I1" s="301"/>
      <c r="J1" s="1749"/>
      <c r="K1" s="1749"/>
      <c r="L1" s="1749"/>
      <c r="M1" s="1749"/>
      <c r="N1" s="1749"/>
      <c r="O1" s="1749"/>
      <c r="P1" s="1749"/>
      <c r="Q1" s="1749"/>
      <c r="R1" s="1749"/>
      <c r="S1" s="1749"/>
      <c r="T1" s="1749"/>
      <c r="U1" s="1749"/>
      <c r="V1" s="1749"/>
    </row>
    <row r="2" spans="1:22" ht="21.75" customHeight="1" thickBot="1">
      <c r="A2" s="3855" t="str">
        <f>项目基本情况!K2</f>
        <v>北京市房山区良乡镇FS04-0100-6084地块R2二类居住用地出让国有建设用地使用权</v>
      </c>
      <c r="B2" s="3856"/>
      <c r="C2" s="3857"/>
      <c r="D2" s="3857"/>
      <c r="E2" s="3857"/>
      <c r="F2" s="3857"/>
      <c r="G2" s="3856"/>
      <c r="H2" s="3856"/>
      <c r="I2" s="3858"/>
      <c r="J2" s="1750"/>
      <c r="K2" s="1749"/>
      <c r="L2" s="1749"/>
      <c r="M2" s="1749"/>
      <c r="N2" s="1749"/>
      <c r="O2" s="1749"/>
      <c r="P2" s="1749"/>
      <c r="Q2" s="1749"/>
      <c r="R2" s="1749"/>
      <c r="S2" s="1749"/>
      <c r="T2" s="1749"/>
      <c r="U2" s="1749"/>
      <c r="V2" s="1749"/>
    </row>
    <row r="3" spans="1:22" ht="14.25">
      <c r="A3" s="3848" t="s">
        <v>264</v>
      </c>
      <c r="B3" s="3849"/>
      <c r="C3" s="3849"/>
      <c r="D3" s="3849"/>
      <c r="E3" s="3849"/>
      <c r="F3" s="3849"/>
      <c r="G3" s="3849"/>
      <c r="H3" s="3849"/>
      <c r="I3" s="3849"/>
      <c r="J3" s="1750"/>
      <c r="K3" s="1749"/>
      <c r="L3" s="1749"/>
      <c r="M3" s="1749"/>
      <c r="N3" s="1749"/>
      <c r="O3" s="1749"/>
      <c r="P3" s="1749"/>
      <c r="Q3" s="1749"/>
      <c r="R3" s="1749"/>
      <c r="S3" s="1749"/>
      <c r="T3" s="1749"/>
      <c r="U3" s="1749"/>
      <c r="V3" s="1749"/>
    </row>
    <row r="4" spans="1:22" ht="14.25">
      <c r="A4" s="248" t="s">
        <v>265</v>
      </c>
      <c r="B4" s="249" t="s">
        <v>266</v>
      </c>
      <c r="C4" s="250" t="s">
        <v>3493</v>
      </c>
      <c r="D4" s="250" t="s">
        <v>3494</v>
      </c>
      <c r="E4" s="3814" t="s">
        <v>267</v>
      </c>
      <c r="F4" s="3815"/>
      <c r="G4" s="3815"/>
      <c r="H4" s="3815"/>
      <c r="I4" s="3850"/>
      <c r="J4" s="1750"/>
      <c r="K4" s="1749"/>
      <c r="L4" s="2936"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13" t="s">
        <v>268</v>
      </c>
      <c r="B5" s="3842">
        <v>25</v>
      </c>
      <c r="C5" s="3840"/>
      <c r="D5" s="3844"/>
      <c r="E5" s="251" t="s">
        <v>269</v>
      </c>
      <c r="F5" s="252"/>
      <c r="G5" s="252"/>
      <c r="H5" s="252"/>
      <c r="I5" s="253"/>
      <c r="J5" s="1750"/>
      <c r="K5" s="1749"/>
      <c r="L5" s="1749"/>
      <c r="M5" s="1749"/>
      <c r="N5" s="1749"/>
      <c r="O5" s="1749"/>
      <c r="P5" s="1749"/>
      <c r="Q5" s="1749"/>
      <c r="R5" s="1749"/>
      <c r="S5" s="1749"/>
      <c r="T5" s="1749"/>
      <c r="U5" s="1749"/>
      <c r="V5" s="1749"/>
    </row>
    <row r="6" spans="1:22" ht="14.25">
      <c r="A6" s="3813"/>
      <c r="B6" s="3842"/>
      <c r="C6" s="3843"/>
      <c r="D6" s="3844"/>
      <c r="E6" s="251" t="s">
        <v>270</v>
      </c>
      <c r="F6" s="252"/>
      <c r="G6" s="252"/>
      <c r="H6" s="252"/>
      <c r="I6" s="253"/>
      <c r="J6" s="1750"/>
      <c r="K6" s="1749"/>
      <c r="L6" s="1749"/>
      <c r="M6" s="1749"/>
      <c r="N6" s="1749"/>
      <c r="O6" s="1749"/>
      <c r="P6" s="1749"/>
      <c r="Q6" s="1749"/>
      <c r="R6" s="1749"/>
      <c r="S6" s="1749"/>
      <c r="T6" s="1749"/>
      <c r="U6" s="1749"/>
      <c r="V6" s="1749"/>
    </row>
    <row r="7" spans="1:22" ht="14.25">
      <c r="A7" s="3813"/>
      <c r="B7" s="3842"/>
      <c r="C7" s="3841"/>
      <c r="D7" s="3844"/>
      <c r="E7" s="251" t="s">
        <v>271</v>
      </c>
      <c r="F7" s="252"/>
      <c r="G7" s="252"/>
      <c r="H7" s="252"/>
      <c r="I7" s="253"/>
      <c r="J7" s="1750"/>
      <c r="K7" s="1749"/>
      <c r="L7" s="1749"/>
      <c r="M7" s="1749"/>
      <c r="N7" s="1749"/>
      <c r="O7" s="1749"/>
      <c r="P7" s="1749"/>
      <c r="Q7" s="1749"/>
      <c r="R7" s="1749"/>
      <c r="S7" s="1749"/>
      <c r="T7" s="1749"/>
      <c r="U7" s="1749"/>
      <c r="V7" s="1749"/>
    </row>
    <row r="8" spans="1:22" ht="14.25">
      <c r="A8" s="3813" t="s">
        <v>272</v>
      </c>
      <c r="B8" s="3842">
        <v>15</v>
      </c>
      <c r="C8" s="3840"/>
      <c r="D8" s="3844"/>
      <c r="E8" s="251" t="s">
        <v>273</v>
      </c>
      <c r="F8" s="252"/>
      <c r="G8" s="252"/>
      <c r="H8" s="252"/>
      <c r="I8" s="253"/>
      <c r="J8" s="1750"/>
      <c r="K8" s="1749"/>
      <c r="L8" s="1749"/>
      <c r="M8" s="1749"/>
      <c r="N8" s="1749"/>
      <c r="O8" s="1749"/>
      <c r="P8" s="1749"/>
      <c r="Q8" s="1749"/>
      <c r="R8" s="1749"/>
      <c r="S8" s="1749"/>
      <c r="T8" s="1749"/>
      <c r="U8" s="1749"/>
      <c r="V8" s="1749"/>
    </row>
    <row r="9" spans="1:22" ht="14.25">
      <c r="A9" s="3813"/>
      <c r="B9" s="3842"/>
      <c r="C9" s="3841"/>
      <c r="D9" s="3844"/>
      <c r="E9" s="251" t="s">
        <v>274</v>
      </c>
      <c r="F9" s="252"/>
      <c r="G9" s="252"/>
      <c r="H9" s="252"/>
      <c r="I9" s="253"/>
      <c r="J9" s="1750"/>
      <c r="K9" s="1749"/>
      <c r="L9" s="1749"/>
      <c r="M9" s="1749"/>
      <c r="N9" s="1749"/>
      <c r="O9" s="1749"/>
      <c r="P9" s="1749"/>
      <c r="Q9" s="1749"/>
      <c r="R9" s="1749"/>
      <c r="S9" s="1749"/>
      <c r="T9" s="1749"/>
      <c r="U9" s="1749"/>
      <c r="V9" s="1749"/>
    </row>
    <row r="10" spans="1:22" ht="14.25">
      <c r="A10" s="3813" t="s">
        <v>275</v>
      </c>
      <c r="B10" s="3842">
        <v>15</v>
      </c>
      <c r="C10" s="3840"/>
      <c r="D10" s="3844"/>
      <c r="E10" s="251" t="s">
        <v>276</v>
      </c>
      <c r="F10" s="252"/>
      <c r="G10" s="252"/>
      <c r="H10" s="252"/>
      <c r="I10" s="253"/>
      <c r="J10" s="1750"/>
      <c r="K10" s="1749"/>
      <c r="L10" s="1749"/>
      <c r="M10" s="1749"/>
      <c r="N10" s="1749"/>
      <c r="O10" s="1749"/>
      <c r="P10" s="1749"/>
      <c r="Q10" s="1749"/>
      <c r="R10" s="1749"/>
      <c r="S10" s="1749"/>
      <c r="T10" s="1749"/>
      <c r="U10" s="1749"/>
      <c r="V10" s="1749"/>
    </row>
    <row r="11" spans="1:22" ht="14.25">
      <c r="A11" s="3813"/>
      <c r="B11" s="3842"/>
      <c r="C11" s="3841"/>
      <c r="D11" s="3844"/>
      <c r="E11" s="251" t="s">
        <v>277</v>
      </c>
      <c r="F11" s="252"/>
      <c r="G11" s="252"/>
      <c r="H11" s="252"/>
      <c r="I11" s="253"/>
      <c r="J11" s="1750"/>
      <c r="K11" s="1749"/>
      <c r="L11" s="1749"/>
      <c r="M11" s="1749"/>
      <c r="N11" s="1749"/>
      <c r="O11" s="1749"/>
      <c r="P11" s="1749"/>
      <c r="Q11" s="1749"/>
      <c r="R11" s="1749"/>
      <c r="S11" s="1749"/>
      <c r="T11" s="1749"/>
      <c r="U11" s="1749"/>
      <c r="V11" s="1749"/>
    </row>
    <row r="12" spans="1:22" ht="14.25">
      <c r="A12" s="3813" t="s">
        <v>278</v>
      </c>
      <c r="B12" s="3842">
        <v>15</v>
      </c>
      <c r="C12" s="3840"/>
      <c r="D12" s="3844"/>
      <c r="E12" s="251" t="s">
        <v>279</v>
      </c>
      <c r="F12" s="252"/>
      <c r="G12" s="252"/>
      <c r="H12" s="252"/>
      <c r="I12" s="253"/>
      <c r="J12" s="1750"/>
      <c r="K12" s="1749"/>
      <c r="L12" s="1749"/>
      <c r="M12" s="1749"/>
      <c r="N12" s="1749"/>
      <c r="O12" s="1749"/>
      <c r="P12" s="1749"/>
      <c r="Q12" s="1749"/>
      <c r="R12" s="1749"/>
      <c r="S12" s="1749"/>
      <c r="T12" s="1749"/>
      <c r="U12" s="1749"/>
      <c r="V12" s="1749"/>
    </row>
    <row r="13" spans="1:22" ht="14.25">
      <c r="A13" s="3813"/>
      <c r="B13" s="3842"/>
      <c r="C13" s="3841"/>
      <c r="D13" s="3844"/>
      <c r="E13" s="251" t="s">
        <v>280</v>
      </c>
      <c r="F13" s="252"/>
      <c r="G13" s="252"/>
      <c r="H13" s="252"/>
      <c r="I13" s="253"/>
      <c r="J13" s="1750"/>
      <c r="K13" s="1749"/>
      <c r="L13" s="1749"/>
      <c r="M13" s="1749"/>
      <c r="N13" s="1749"/>
      <c r="O13" s="1749"/>
      <c r="P13" s="1749"/>
      <c r="Q13" s="1749"/>
      <c r="R13" s="1749"/>
      <c r="S13" s="1749"/>
      <c r="T13" s="1749"/>
      <c r="U13" s="1749"/>
      <c r="V13" s="1749"/>
    </row>
    <row r="14" spans="1:22" ht="14.25">
      <c r="A14" s="3813" t="s">
        <v>281</v>
      </c>
      <c r="B14" s="3842">
        <v>30</v>
      </c>
      <c r="C14" s="3840">
        <v>5</v>
      </c>
      <c r="D14" s="3844">
        <v>5</v>
      </c>
      <c r="E14" s="251" t="s">
        <v>282</v>
      </c>
      <c r="F14" s="252"/>
      <c r="G14" s="252"/>
      <c r="H14" s="252"/>
      <c r="I14" s="253"/>
      <c r="J14" s="1750"/>
      <c r="K14" s="1749"/>
      <c r="L14" s="1749"/>
      <c r="M14" s="1749"/>
      <c r="N14" s="1749"/>
      <c r="O14" s="1749"/>
      <c r="P14" s="1749"/>
      <c r="Q14" s="1749"/>
      <c r="R14" s="1749"/>
      <c r="S14" s="1749"/>
      <c r="T14" s="1749"/>
      <c r="U14" s="1749"/>
      <c r="V14" s="1749"/>
    </row>
    <row r="15" spans="1:22" ht="14.25">
      <c r="A15" s="3813"/>
      <c r="B15" s="3842"/>
      <c r="C15" s="3843"/>
      <c r="D15" s="3844"/>
      <c r="E15" s="251" t="s">
        <v>283</v>
      </c>
      <c r="F15" s="252"/>
      <c r="G15" s="252"/>
      <c r="H15" s="252"/>
      <c r="I15" s="253"/>
      <c r="J15" s="1750"/>
      <c r="K15" s="1749"/>
      <c r="L15" s="1749"/>
      <c r="M15" s="1749"/>
      <c r="N15" s="1749"/>
      <c r="O15" s="1749"/>
      <c r="P15" s="1749"/>
      <c r="Q15" s="1749"/>
      <c r="R15" s="1749"/>
      <c r="S15" s="1749"/>
      <c r="T15" s="1749"/>
      <c r="U15" s="1749"/>
      <c r="V15" s="1749"/>
    </row>
    <row r="16" spans="1:22" ht="14.25">
      <c r="A16" s="3813"/>
      <c r="B16" s="3842"/>
      <c r="C16" s="3841"/>
      <c r="D16" s="3844"/>
      <c r="E16" s="251" t="s">
        <v>284</v>
      </c>
      <c r="F16" s="252"/>
      <c r="G16" s="252"/>
      <c r="H16" s="252"/>
      <c r="I16" s="253"/>
      <c r="J16" s="1750"/>
      <c r="K16" s="1749"/>
      <c r="L16" s="1749"/>
      <c r="M16" s="1749"/>
      <c r="N16" s="1749"/>
      <c r="O16" s="1749"/>
      <c r="P16" s="1749"/>
      <c r="Q16" s="1749"/>
      <c r="R16" s="1749"/>
      <c r="S16" s="1749"/>
      <c r="T16" s="1749"/>
      <c r="U16" s="1749"/>
      <c r="V16" s="1749"/>
    </row>
    <row r="17" spans="1:26" ht="15">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50000000000003" customHeight="1" thickBot="1">
      <c r="A18" s="256" t="s">
        <v>286</v>
      </c>
      <c r="B18" s="101"/>
      <c r="C18" s="257">
        <f>ROUND(C17/SUM(C17:D17),2)</f>
        <v>0.5</v>
      </c>
      <c r="D18" s="257">
        <f>1-C18</f>
        <v>0.5</v>
      </c>
      <c r="E18" s="3845" t="s">
        <v>2244</v>
      </c>
      <c r="F18" s="3846"/>
      <c r="G18" s="3846"/>
      <c r="H18" s="3846"/>
      <c r="I18" s="3846"/>
      <c r="J18" s="1749"/>
      <c r="K18" s="1749"/>
      <c r="L18" s="1749"/>
      <c r="M18" s="1749"/>
      <c r="N18" s="1749"/>
      <c r="O18" s="1749"/>
      <c r="P18" s="1749"/>
      <c r="Q18" s="1749"/>
      <c r="R18" s="1749"/>
      <c r="S18" s="1749"/>
      <c r="T18" s="1749"/>
      <c r="U18" s="1749"/>
      <c r="V18" s="1749"/>
    </row>
    <row r="19" spans="1:26" ht="15">
      <c r="A19" s="258" t="s">
        <v>287</v>
      </c>
      <c r="B19" s="259" t="s">
        <v>288</v>
      </c>
      <c r="C19" s="260">
        <f ca="1">SUMIF(INDIRECT("'"&amp;C4&amp;"'"&amp;"!A:A"),结果表!B19,INDIRECT("'"&amp;C4&amp;"'"&amp;"!B:B"))</f>
        <v>71893</v>
      </c>
      <c r="D19" s="261">
        <f ca="1">SUMIF(INDIRECT("'"&amp;D4&amp;"'"&amp;"!A:A"),结果表!B19,INDIRECT("'"&amp;D4&amp;"'"&amp;"!B:B"))</f>
        <v>64115</v>
      </c>
      <c r="E19" s="258" t="s">
        <v>289</v>
      </c>
      <c r="F19" s="259" t="s">
        <v>288</v>
      </c>
      <c r="G19" s="262">
        <f ca="1">ROUND(C19*$C$18+D19*$D$18,0)</f>
        <v>68004</v>
      </c>
      <c r="H19" s="263" t="s">
        <v>290</v>
      </c>
      <c r="I19" s="301"/>
      <c r="J19" s="1749"/>
      <c r="K19" s="1749"/>
      <c r="L19" s="1749"/>
      <c r="M19" s="1749"/>
      <c r="N19" s="1749"/>
      <c r="O19" s="1749"/>
      <c r="P19" s="1749"/>
      <c r="Q19" s="1749"/>
      <c r="R19" s="1749"/>
      <c r="S19" s="1749"/>
      <c r="T19" s="1749"/>
      <c r="U19" s="1749"/>
      <c r="V19" s="1749"/>
    </row>
    <row r="20" spans="1:26" ht="15">
      <c r="A20" s="264"/>
      <c r="B20" s="265" t="s">
        <v>291</v>
      </c>
      <c r="C20" s="266">
        <f ca="1">SUMIF(INDIRECT("'"&amp;C4&amp;"'"&amp;"!A:A"),结果表!B20,INDIRECT("'"&amp;C4&amp;"'"&amp;"!B:B"))</f>
        <v>10463</v>
      </c>
      <c r="D20" s="267">
        <f ca="1">SUMIF(INDIRECT("'"&amp;D4&amp;"'"&amp;"!A:A"),结果表!B20,INDIRECT("'"&amp;D4&amp;"'"&amp;"!B:B"))</f>
        <v>9331</v>
      </c>
      <c r="E20" s="264"/>
      <c r="F20" s="265" t="s">
        <v>291</v>
      </c>
      <c r="G20" s="268">
        <f ca="1">ROUND(C20*$C$18+D20*$D$18,0)</f>
        <v>9897</v>
      </c>
      <c r="H20" s="269" t="s">
        <v>292</v>
      </c>
      <c r="I20" s="301"/>
      <c r="J20" s="1749"/>
      <c r="K20" s="1749"/>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30770</v>
      </c>
      <c r="D21" s="144">
        <f ca="1">SUMIF(INDIRECT("'"&amp;D4&amp;"'"&amp;"!A:A"),结果表!B21,INDIRECT("'"&amp;D4&amp;"'"&amp;"!B:B"))</f>
        <v>27441</v>
      </c>
      <c r="E21" s="264"/>
      <c r="F21" s="270" t="s">
        <v>293</v>
      </c>
      <c r="G21" s="272">
        <f ca="1">ROUND(C21*$C$18+D21*$D$18,0)</f>
        <v>29106</v>
      </c>
      <c r="H21" s="1117" t="s">
        <v>292</v>
      </c>
      <c r="I21" s="301"/>
      <c r="J21" s="1749"/>
      <c r="K21" s="1749"/>
      <c r="L21" s="1749"/>
      <c r="M21" s="1749"/>
      <c r="N21" s="1749"/>
      <c r="O21" s="1749"/>
      <c r="P21" s="1749"/>
      <c r="Q21" s="1749"/>
      <c r="R21" s="1749"/>
      <c r="S21" s="1749"/>
      <c r="T21" s="1749"/>
      <c r="U21" s="1749"/>
      <c r="V21" s="1749"/>
    </row>
    <row r="22" spans="1:26" ht="15.75" thickBot="1">
      <c r="A22" s="122" t="s">
        <v>294</v>
      </c>
      <c r="B22" s="1118"/>
      <c r="C22" s="1119"/>
      <c r="D22" s="273">
        <f ca="1">IF(C19&lt;D19,D19/C19-1,C19/D19-1)</f>
        <v>0.12131326522654606</v>
      </c>
      <c r="E22" s="274"/>
      <c r="F22" s="275"/>
      <c r="G22" s="276">
        <f ca="1">ROUND(G19/('数据-汇总表'!D3/666.67),0)</f>
        <v>1940</v>
      </c>
      <c r="H22" s="277" t="s">
        <v>295</v>
      </c>
      <c r="I22" s="301"/>
      <c r="J22" s="1749"/>
      <c r="K22" s="1749"/>
      <c r="L22" s="1749"/>
      <c r="M22" s="1749"/>
      <c r="N22" s="1749"/>
      <c r="O22" s="1749"/>
      <c r="P22" s="1749"/>
      <c r="Q22" s="1749"/>
      <c r="R22" s="1749"/>
      <c r="S22" s="1749"/>
      <c r="T22" s="1749"/>
      <c r="U22" s="1749"/>
      <c r="V22" s="1749"/>
    </row>
    <row r="23" spans="1:26" ht="13.5"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19"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8">
      <c r="A25" s="3820"/>
      <c r="B25" s="1187" t="s">
        <v>297</v>
      </c>
      <c r="C25" s="280">
        <f>IF(B30=0,0,C30)</f>
        <v>0</v>
      </c>
      <c r="D25" s="281"/>
      <c r="E25" s="301"/>
      <c r="F25" s="301"/>
      <c r="G25" s="301"/>
      <c r="H25" s="301"/>
      <c r="I25" s="301"/>
      <c r="J25" s="1749"/>
      <c r="K25" s="1121" t="str">
        <f ca="1">项目基本情况!A17&amp;"国有建设用地使用权价格："&amp;O38&amp;"万元"</f>
        <v>出让国有建设用地使用权价格：68004万元</v>
      </c>
      <c r="L25" s="1122"/>
      <c r="M25" s="1122"/>
      <c r="N25" s="1122"/>
      <c r="O25" s="1123"/>
      <c r="P25" s="1749"/>
      <c r="Q25" s="1749"/>
      <c r="R25" s="1749"/>
      <c r="S25" s="1749"/>
      <c r="T25" s="1749"/>
      <c r="U25" s="1749"/>
      <c r="V25" s="1749"/>
    </row>
    <row r="26" spans="1:26" s="1120" customFormat="1" ht="18">
      <c r="A26" s="283" t="s">
        <v>298</v>
      </c>
      <c r="B26" s="284" t="s">
        <v>299</v>
      </c>
      <c r="C26" s="284" t="s">
        <v>300</v>
      </c>
      <c r="D26" s="285" t="s">
        <v>301</v>
      </c>
      <c r="E26" s="301"/>
      <c r="F26" s="301"/>
      <c r="G26" s="301"/>
      <c r="H26" s="301"/>
      <c r="I26" s="301"/>
      <c r="J26" s="1749"/>
      <c r="K26" s="1124" t="str">
        <f ca="1">"大写金额：人民币"&amp;NUMBERSTRING(INT(O38*10000),2)&amp;"元整"</f>
        <v>大写金额：人民币陆亿捌仟零肆万元整</v>
      </c>
      <c r="L26" s="1118"/>
      <c r="M26" s="1118"/>
      <c r="N26" s="1118"/>
      <c r="O26" s="1117"/>
      <c r="P26" s="1749"/>
      <c r="Q26" s="1749"/>
      <c r="R26" s="1749"/>
      <c r="S26" s="1749"/>
      <c r="T26" s="1749"/>
      <c r="U26" s="1749"/>
      <c r="V26" s="1749"/>
      <c r="W26" s="282"/>
      <c r="X26" s="282"/>
      <c r="Y26" s="282"/>
      <c r="Z26" s="282"/>
    </row>
    <row r="27" spans="1:26" ht="18">
      <c r="A27" s="283"/>
      <c r="B27" s="284"/>
      <c r="C27" s="284"/>
      <c r="D27" s="285">
        <f ca="1">G19/'数据-汇总表'!F31*10000</f>
        <v>13239.87311496226</v>
      </c>
      <c r="E27" s="301"/>
      <c r="F27" s="301"/>
      <c r="G27" s="301"/>
      <c r="H27" s="301"/>
      <c r="I27" s="301"/>
      <c r="J27" s="1749"/>
      <c r="K27" s="1124" t="str">
        <f ca="1">"单位面积地价："&amp;M38&amp;"元/平方米"</f>
        <v>单位面积地价：29105元/平方米</v>
      </c>
      <c r="L27" s="1118"/>
      <c r="M27" s="1118"/>
      <c r="N27" s="1118"/>
      <c r="O27" s="1117"/>
      <c r="P27" s="1749"/>
      <c r="Q27" s="1749"/>
      <c r="R27" s="1749"/>
      <c r="S27" s="1749"/>
      <c r="T27" s="1749"/>
      <c r="U27" s="1749"/>
      <c r="V27" s="1749"/>
    </row>
    <row r="28" spans="1:26" ht="18.75" customHeight="1">
      <c r="A28" s="283"/>
      <c r="B28" s="284"/>
      <c r="C28" s="284"/>
      <c r="D28" s="285"/>
      <c r="E28" s="301"/>
      <c r="F28" s="301"/>
      <c r="G28" s="301"/>
      <c r="H28" s="301"/>
      <c r="I28" s="301"/>
      <c r="J28" s="1749"/>
      <c r="K28" s="1124" t="str">
        <f ca="1">"楼面地价："&amp;N38&amp;"元/平方米"</f>
        <v>楼面地价：9897元/平方米</v>
      </c>
      <c r="L28" s="1118"/>
      <c r="M28" s="1118"/>
      <c r="N28" s="1118"/>
      <c r="O28" s="1117"/>
      <c r="P28" s="1749"/>
      <c r="V28" s="1749"/>
    </row>
    <row r="29" spans="1:26" ht="18">
      <c r="A29" s="283"/>
      <c r="B29" s="284"/>
      <c r="C29" s="284"/>
      <c r="D29" s="285"/>
      <c r="E29" s="301"/>
      <c r="F29" s="301"/>
      <c r="G29" s="301"/>
      <c r="H29" s="301"/>
      <c r="I29" s="301"/>
      <c r="J29" s="1749"/>
      <c r="K29" s="1124" t="str">
        <f ca="1">IF(OR(项目基本情况!E8="抵押价格",项目基本情况!E8="已注销及未注销"),"抵押价格："&amp;O39&amp;"万元","——")</f>
        <v>抵押价格：67267万元</v>
      </c>
      <c r="L29" s="1118"/>
      <c r="M29" s="1118"/>
      <c r="N29" s="1118"/>
      <c r="O29" s="1117"/>
      <c r="P29" s="1749"/>
      <c r="V29" s="1749"/>
    </row>
    <row r="30" spans="1:26" ht="18.75" thickBot="1">
      <c r="A30" s="2552" t="s">
        <v>302</v>
      </c>
      <c r="B30" s="299"/>
      <c r="C30" s="299"/>
      <c r="D30" s="300"/>
      <c r="E30" s="2743" t="s">
        <v>2245</v>
      </c>
      <c r="F30" s="301"/>
      <c r="G30" s="301"/>
      <c r="H30" s="301"/>
      <c r="I30" s="301"/>
      <c r="J30" s="1749"/>
      <c r="K30" s="1124" t="str">
        <f ca="1">IF(K29="——","——","大写金额：人民币"&amp;NUMBERSTRING(INT(O39*10000),2)&amp;"元整")</f>
        <v>大写金额：人民币陆亿柒仟贰佰陆拾柒万元整</v>
      </c>
      <c r="L30" s="1118"/>
      <c r="M30" s="1118"/>
      <c r="N30" s="1118"/>
      <c r="O30" s="1117"/>
      <c r="P30" s="1749"/>
      <c r="V30" s="1749"/>
    </row>
    <row r="31" spans="1:26" ht="24" customHeight="1" thickBot="1">
      <c r="A31" s="3847" t="s">
        <v>2246</v>
      </c>
      <c r="B31" s="3847"/>
      <c r="C31" s="3847"/>
      <c r="D31" s="3847"/>
      <c r="E31" s="3847"/>
      <c r="F31" s="3847"/>
      <c r="G31" s="3847"/>
      <c r="H31" s="3847"/>
      <c r="I31" s="3847"/>
      <c r="J31" s="1749"/>
      <c r="K31" s="2115" t="str">
        <f>IF(项目基本情况!E8="抵押价格","——","抵押担保权已注销时的抵押价格："&amp;O40&amp;"万元")</f>
        <v>——</v>
      </c>
      <c r="L31" s="2111"/>
      <c r="M31" s="2111"/>
      <c r="N31" s="2111"/>
      <c r="O31" s="2112"/>
      <c r="P31" s="1749"/>
      <c r="V31" s="1749"/>
    </row>
    <row r="32" spans="1:26" ht="19.5" thickTop="1" thickBot="1">
      <c r="A32" s="264" t="s">
        <v>303</v>
      </c>
      <c r="B32" s="2744" t="s">
        <v>1221</v>
      </c>
      <c r="C32" s="256">
        <f ca="1">G19-C24</f>
        <v>68004</v>
      </c>
      <c r="D32" s="2745" t="s">
        <v>1222</v>
      </c>
      <c r="E32" s="301"/>
      <c r="F32" s="301"/>
      <c r="G32" s="301"/>
      <c r="H32" s="301"/>
      <c r="I32" s="301"/>
      <c r="J32" s="1749"/>
      <c r="K32" s="2110" t="str">
        <f>IF(K31="——","——","大写金额：人民币"&amp;NUMBERSTRING(INT(O40*10000),2)&amp;"元整")</f>
        <v>——</v>
      </c>
      <c r="L32" s="2113"/>
      <c r="M32" s="2113"/>
      <c r="N32" s="2113"/>
      <c r="O32" s="2114"/>
      <c r="P32" s="1749"/>
      <c r="V32" s="1749"/>
    </row>
    <row r="33" spans="1:26" ht="18.75" thickBot="1">
      <c r="A33" s="288" t="s">
        <v>306</v>
      </c>
      <c r="B33" s="1236" t="s">
        <v>1223</v>
      </c>
      <c r="C33" s="254">
        <f ca="1">ROUND(C32*10000/'数据-汇总表'!E3,0)</f>
        <v>9897</v>
      </c>
      <c r="D33" s="1237" t="s">
        <v>1224</v>
      </c>
      <c r="E33" s="3819" t="s">
        <v>304</v>
      </c>
      <c r="F33" s="286" t="s">
        <v>305</v>
      </c>
      <c r="G33" s="287"/>
      <c r="H33" s="939"/>
      <c r="I33" s="1125"/>
      <c r="J33" s="1749"/>
      <c r="K33" s="1124" t="str">
        <f ca="1">IF(项目基本情况!E9="——","——","抵押净值："&amp;C46&amp;"万元")</f>
        <v>抵押净值：61715万元</v>
      </c>
      <c r="L33" s="1118"/>
      <c r="M33" s="1118"/>
      <c r="N33" s="1118"/>
      <c r="O33" s="1117"/>
      <c r="P33" s="1749"/>
      <c r="V33" s="1749"/>
    </row>
    <row r="34" spans="1:26" s="1120" customFormat="1" ht="18.75" thickBot="1">
      <c r="A34" s="290"/>
      <c r="B34" s="1238" t="s">
        <v>1225</v>
      </c>
      <c r="C34" s="254">
        <f ca="1">ROUND(C32*10000/'数据-汇总表'!D3,0)</f>
        <v>29105</v>
      </c>
      <c r="D34" s="1239" t="s">
        <v>1224</v>
      </c>
      <c r="E34" s="3863"/>
      <c r="F34" s="123" t="s">
        <v>307</v>
      </c>
      <c r="G34" s="289"/>
      <c r="H34" s="101"/>
      <c r="I34" s="301"/>
      <c r="J34" s="1749"/>
      <c r="K34" s="1127" t="str">
        <f ca="1">IF(K33="——","——","大写金额：人民币"&amp;NUMBERSTRING(INT(O41*10000),2)&amp;"元整")</f>
        <v>大写金额：人民币陆亿壹仟柒佰壹拾伍万元整</v>
      </c>
      <c r="L34" s="1128"/>
      <c r="M34" s="1128"/>
      <c r="N34" s="1128"/>
      <c r="O34" s="1129"/>
      <c r="P34" s="1749"/>
      <c r="Q34" s="282"/>
      <c r="R34" s="282"/>
      <c r="S34" s="282"/>
      <c r="T34" s="282"/>
      <c r="U34" s="282"/>
      <c r="V34" s="1749"/>
      <c r="W34" s="282"/>
      <c r="X34" s="282"/>
      <c r="Y34" s="282"/>
      <c r="Z34" s="282"/>
    </row>
    <row r="35" spans="1:26" ht="15.75" thickBot="1">
      <c r="A35" s="274"/>
      <c r="B35" s="1240"/>
      <c r="C35" s="1241">
        <f ca="1">ROUND(C32/('数据-汇总表'!D3/666.67),0)</f>
        <v>1940</v>
      </c>
      <c r="D35" s="1242" t="s">
        <v>1226</v>
      </c>
      <c r="E35" s="3864"/>
      <c r="F35" s="291" t="s">
        <v>308</v>
      </c>
      <c r="G35" s="941">
        <f>E37+E38</f>
        <v>737</v>
      </c>
      <c r="H35" s="940" t="s">
        <v>309</v>
      </c>
      <c r="I35" s="301"/>
      <c r="J35" s="1749"/>
      <c r="K35" s="3837" t="s">
        <v>316</v>
      </c>
      <c r="L35" s="3837" t="s">
        <v>317</v>
      </c>
      <c r="M35" s="1130" t="s">
        <v>318</v>
      </c>
      <c r="N35" s="3837" t="s">
        <v>319</v>
      </c>
      <c r="O35" s="3837" t="s">
        <v>320</v>
      </c>
      <c r="P35" s="1749"/>
      <c r="V35" s="1749"/>
    </row>
    <row r="36" spans="1:26" ht="16.5" customHeight="1">
      <c r="A36" s="293" t="s">
        <v>310</v>
      </c>
      <c r="B36" s="294" t="s">
        <v>299</v>
      </c>
      <c r="C36" s="295" t="s">
        <v>311</v>
      </c>
      <c r="D36" s="295" t="s">
        <v>312</v>
      </c>
      <c r="E36" s="296" t="s">
        <v>313</v>
      </c>
      <c r="F36" s="301"/>
      <c r="G36" s="301"/>
      <c r="H36" s="301"/>
      <c r="I36" s="301"/>
      <c r="J36" s="1751"/>
      <c r="K36" s="3838"/>
      <c r="L36" s="3838"/>
      <c r="M36" s="1132" t="s">
        <v>321</v>
      </c>
      <c r="N36" s="3838"/>
      <c r="O36" s="3838"/>
      <c r="P36" s="1749"/>
      <c r="V36" s="1749"/>
    </row>
    <row r="37" spans="1:26" ht="16.5" customHeight="1" thickBot="1">
      <c r="A37" s="1126" t="s">
        <v>314</v>
      </c>
      <c r="B37" s="297">
        <f>'数据-汇总表'!G20+'数据-汇总表'!E11</f>
        <v>7343.37</v>
      </c>
      <c r="C37" s="284">
        <f>11052*0.2*0.25</f>
        <v>552.6</v>
      </c>
      <c r="D37" s="3687">
        <v>3.0499999999999999E-2</v>
      </c>
      <c r="E37" s="285">
        <f>ROUND(B37*C37*(1+D37)/10000,0)</f>
        <v>418</v>
      </c>
      <c r="F37" s="301"/>
      <c r="G37" s="301"/>
      <c r="H37" s="301"/>
      <c r="I37" s="301"/>
      <c r="J37" s="1751"/>
      <c r="K37" s="3839"/>
      <c r="L37" s="3839"/>
      <c r="M37" s="1133"/>
      <c r="N37" s="3839"/>
      <c r="O37" s="3839"/>
      <c r="P37" s="1749"/>
      <c r="V37" s="1749"/>
    </row>
    <row r="38" spans="1:26" ht="16.5" customHeight="1" thickBot="1">
      <c r="A38" s="1126" t="s">
        <v>315</v>
      </c>
      <c r="B38" s="297">
        <f>'数据-汇总表'!G21</f>
        <v>7480.41</v>
      </c>
      <c r="C38" s="284">
        <f>11052*0.15*0.25</f>
        <v>414.45</v>
      </c>
      <c r="D38" s="3687">
        <f>D37</f>
        <v>3.0499999999999999E-2</v>
      </c>
      <c r="E38" s="285">
        <f>ROUND(B38*C38*(1+D38)/10000,0)</f>
        <v>319</v>
      </c>
      <c r="F38" s="301"/>
      <c r="G38" s="301"/>
      <c r="H38" s="301"/>
      <c r="I38" s="301"/>
      <c r="J38" s="1751"/>
      <c r="K38" s="1134">
        <f>'数据-汇总表'!D3</f>
        <v>23364.85</v>
      </c>
      <c r="L38" s="1135">
        <f>'数据-汇总表'!E3</f>
        <v>68710.41</v>
      </c>
      <c r="M38" s="1135">
        <f ca="1">C34</f>
        <v>29105</v>
      </c>
      <c r="N38" s="1135">
        <f ca="1">C33</f>
        <v>9897</v>
      </c>
      <c r="O38" s="1136">
        <f ca="1">C32</f>
        <v>68004</v>
      </c>
      <c r="P38" s="1749"/>
      <c r="V38" s="1749"/>
    </row>
    <row r="39" spans="1:26" ht="16.5" customHeight="1" thickBot="1">
      <c r="A39" s="1131"/>
      <c r="B39" s="298"/>
      <c r="C39" s="299"/>
      <c r="D39" s="299"/>
      <c r="E39" s="300"/>
      <c r="F39" s="301"/>
      <c r="G39" s="301"/>
      <c r="H39" s="301"/>
      <c r="I39" s="301"/>
      <c r="J39" s="1751"/>
      <c r="K39" s="3877" t="str">
        <f>MID(A44,3,LEN(A44)-2)</f>
        <v>抵押价格</v>
      </c>
      <c r="L39" s="3878"/>
      <c r="M39" s="3878"/>
      <c r="N39" s="3879"/>
      <c r="O39" s="1244">
        <f ca="1">C44</f>
        <v>67267</v>
      </c>
      <c r="P39" s="1749"/>
      <c r="V39" s="1749"/>
    </row>
    <row r="40" spans="1:26" ht="19.5" thickBot="1">
      <c r="A40" s="100" t="s">
        <v>810</v>
      </c>
      <c r="B40" s="301"/>
      <c r="C40" s="301"/>
      <c r="D40" s="301"/>
      <c r="E40" s="301"/>
      <c r="F40" s="301"/>
      <c r="G40" s="301"/>
      <c r="H40" s="301"/>
      <c r="I40" s="301"/>
      <c r="J40" s="1751"/>
      <c r="K40" s="3877" t="str">
        <f>MID(A45,3,LEN(A45)-2)</f>
        <v/>
      </c>
      <c r="L40" s="3878"/>
      <c r="M40" s="3878"/>
      <c r="N40" s="3879"/>
      <c r="O40" s="1244" t="str">
        <f>C45</f>
        <v>——</v>
      </c>
      <c r="P40" s="1749"/>
      <c r="V40" s="1749"/>
    </row>
    <row r="41" spans="1:26" ht="16.5" thickBot="1">
      <c r="A41" s="302" t="s">
        <v>322</v>
      </c>
      <c r="B41" s="303"/>
      <c r="C41" s="304" t="s">
        <v>323</v>
      </c>
      <c r="D41" s="305" t="s">
        <v>324</v>
      </c>
      <c r="E41" s="305" t="s">
        <v>325</v>
      </c>
      <c r="F41" s="306" t="s">
        <v>326</v>
      </c>
      <c r="G41" s="301"/>
      <c r="H41" s="301"/>
      <c r="I41" s="301"/>
      <c r="J41" s="1751"/>
      <c r="K41" s="3877" t="str">
        <f>MID(A46,3,LEN(A46)-2)</f>
        <v>抵押净值</v>
      </c>
      <c r="L41" s="3878"/>
      <c r="M41" s="3878"/>
      <c r="N41" s="3879"/>
      <c r="O41" s="1244">
        <f ca="1">C46</f>
        <v>61715</v>
      </c>
      <c r="P41" s="1749"/>
      <c r="V41" s="1749"/>
    </row>
    <row r="42" spans="1:26" ht="29.25">
      <c r="A42" s="3821" t="s">
        <v>1585</v>
      </c>
      <c r="B42" s="3822"/>
      <c r="C42" s="254">
        <f ca="1">C32</f>
        <v>68004</v>
      </c>
      <c r="D42" s="307">
        <f ca="1">C33</f>
        <v>9897</v>
      </c>
      <c r="E42" s="307">
        <f ca="1">C34</f>
        <v>29105</v>
      </c>
      <c r="F42" s="308">
        <f ca="1">C35</f>
        <v>1940</v>
      </c>
      <c r="G42" s="301"/>
      <c r="H42" s="301"/>
      <c r="I42" s="309"/>
      <c r="J42" s="1751"/>
      <c r="K42" s="1137" t="s">
        <v>327</v>
      </c>
      <c r="L42" s="1768" t="s">
        <v>328</v>
      </c>
      <c r="M42" s="1138" t="s">
        <v>329</v>
      </c>
      <c r="N42" s="1769" t="s">
        <v>330</v>
      </c>
      <c r="O42" s="1770" t="s">
        <v>331</v>
      </c>
      <c r="P42" s="1749"/>
      <c r="V42" s="1749"/>
    </row>
    <row r="43" spans="1:26" ht="30">
      <c r="A43" s="3832" t="s">
        <v>2012</v>
      </c>
      <c r="B43" s="3833"/>
      <c r="C43" s="254">
        <f>IF(H33="正常操作",G33+G34+G35,G34+G35)</f>
        <v>737</v>
      </c>
      <c r="D43" s="307" t="s">
        <v>17</v>
      </c>
      <c r="E43" s="307" t="s">
        <v>18</v>
      </c>
      <c r="F43" s="308" t="s">
        <v>18</v>
      </c>
      <c r="G43" s="2343" t="s">
        <v>877</v>
      </c>
      <c r="H43" s="301"/>
      <c r="I43" s="309"/>
      <c r="J43" s="1751"/>
      <c r="K43" s="1139" t="str">
        <f>C4</f>
        <v>比较法-住宅、综合</v>
      </c>
      <c r="L43" s="1140">
        <f ca="1">IF(L42="估价结果/万元",C19,C20)</f>
        <v>71893</v>
      </c>
      <c r="M43" s="1141">
        <f>C18</f>
        <v>0.5</v>
      </c>
      <c r="N43" s="1142">
        <f ca="1">IF(N42="测算结果/万元",G19,G20)</f>
        <v>68004</v>
      </c>
      <c r="O43" s="1143">
        <f ca="1">IF(O42="最终结果/万元",C32,C33)</f>
        <v>68004</v>
      </c>
      <c r="P43" s="1749"/>
      <c r="V43" s="1749"/>
    </row>
    <row r="44" spans="1:26" ht="30.75" thickBot="1">
      <c r="A44" s="3821" t="str">
        <f>IF(OR(项目基本情况!E8="抵押价格",项目基本情况!E8="已注销及未注销"),"3.抵押价格","——")</f>
        <v>3.抵押价格</v>
      </c>
      <c r="B44" s="3822"/>
      <c r="C44" s="254">
        <f ca="1">IF(A44="——","——",C42-C43)</f>
        <v>67267</v>
      </c>
      <c r="D44" s="307">
        <f ca="1">ROUND(C44*10000/'数据-汇总表'!E3,0)</f>
        <v>9790</v>
      </c>
      <c r="E44" s="307">
        <f ca="1">ROUND(C44*10000/'数据-汇总表'!D3,0)</f>
        <v>28790</v>
      </c>
      <c r="F44" s="308">
        <f ca="1">ROUND(C44/('数据-汇总表'!D3/666.67),0)</f>
        <v>1919</v>
      </c>
      <c r="G44" s="301"/>
      <c r="H44" s="301"/>
      <c r="I44" s="309"/>
      <c r="J44" s="1751"/>
      <c r="K44" s="1144" t="str">
        <f>D4</f>
        <v>剩余法-待开发</v>
      </c>
      <c r="L44" s="1145">
        <f ca="1">IF(L42="估价结果/万元",D19,D20)</f>
        <v>64115</v>
      </c>
      <c r="M44" s="1146">
        <f>D18</f>
        <v>0.5</v>
      </c>
      <c r="N44" s="1147"/>
      <c r="O44" s="1148"/>
      <c r="P44" s="1749"/>
      <c r="V44" s="1749"/>
    </row>
    <row r="45" spans="1:26" ht="15">
      <c r="A45" s="3827" t="str">
        <f>IF(项目基本情况!E8="已注销及未注销","4.抵押担保权已注销时的抵押价格",IF(项目基本情况!E8="已注销","3.抵押担保权已注销时的抵押价格","——"))</f>
        <v>——</v>
      </c>
      <c r="B45" s="3828"/>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5.75" thickBot="1">
      <c r="A46" s="3823" t="str">
        <f>IF(项目基本情况!E9="抵押净值",IF(A45="——","4.抵押净值","5.抵押净值"),"——")</f>
        <v>4.抵押净值</v>
      </c>
      <c r="B46" s="3824"/>
      <c r="C46" s="310">
        <f ca="1">IF(A46="——","——",O79)</f>
        <v>61715</v>
      </c>
      <c r="D46" s="307">
        <f ca="1">ROUND(C46*10000/'数据-汇总表'!E3,0)</f>
        <v>8982</v>
      </c>
      <c r="E46" s="307">
        <f ca="1">ROUND(C46*10000/'数据-汇总表'!D3,0)</f>
        <v>26414</v>
      </c>
      <c r="F46" s="308">
        <f ca="1">ROUND(C46/('数据-汇总表'!D3/666.67),0)</f>
        <v>1761</v>
      </c>
      <c r="G46" s="301"/>
      <c r="H46" s="301"/>
      <c r="I46" s="309"/>
      <c r="J46" s="1751"/>
      <c r="K46" s="1749"/>
      <c r="L46" s="1749"/>
      <c r="M46" s="1749"/>
      <c r="N46" s="1749"/>
      <c r="O46" s="1749"/>
      <c r="P46" s="1749"/>
      <c r="Q46" s="1749"/>
      <c r="R46" s="1749"/>
      <c r="S46" s="1749"/>
      <c r="T46" s="1749"/>
      <c r="U46" s="1749"/>
      <c r="V46" s="1749"/>
    </row>
    <row r="47" spans="1:26" ht="15.75">
      <c r="A47" s="311" t="s">
        <v>332</v>
      </c>
      <c r="B47" s="1149"/>
      <c r="C47" s="312" t="s">
        <v>333</v>
      </c>
      <c r="D47" s="313"/>
      <c r="E47" s="313"/>
      <c r="F47" s="313"/>
      <c r="G47" s="314"/>
      <c r="H47" s="315"/>
      <c r="I47" s="316"/>
      <c r="J47" s="1751"/>
      <c r="K47" s="301" t="str">
        <f>IF(C43=0,"本次评估"&amp;IF(G43="设定","设定估价对象","")&amp;"不存在"&amp;MID(A43,3,LEN(A43)-2),"本次评估"&amp;IF(G43="设定","设定","")&amp;MID(A43,3,LEN(A43)-2)&amp;"为人民币"&amp;C43&amp;"万元整。")</f>
        <v>本次评估估价师知悉的法定优先受偿款为人民币737万元整。</v>
      </c>
      <c r="L47" s="1749"/>
      <c r="M47" s="1749"/>
      <c r="N47" s="1749"/>
      <c r="O47" s="1749"/>
      <c r="P47" s="1749"/>
      <c r="Q47" s="1749"/>
      <c r="R47" s="1749"/>
      <c r="S47" s="1749"/>
      <c r="T47" s="1749"/>
      <c r="U47" s="1749"/>
      <c r="V47" s="1749"/>
    </row>
    <row r="48" spans="1:26" ht="12.75">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2.75">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2.75">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2.75">
      <c r="A51" s="321"/>
      <c r="B51" s="322"/>
      <c r="C51" s="322"/>
      <c r="D51" s="323"/>
      <c r="E51" s="323"/>
      <c r="F51" s="323"/>
      <c r="G51" s="323"/>
      <c r="H51" s="324"/>
      <c r="I51" s="325"/>
      <c r="J51" s="1752"/>
      <c r="K51" s="1749"/>
      <c r="L51" s="1749"/>
      <c r="M51" s="1749"/>
      <c r="N51" s="1749"/>
      <c r="O51" s="1749"/>
      <c r="P51" s="1749"/>
      <c r="Q51" s="1749"/>
      <c r="R51" s="1749"/>
      <c r="S51" s="1749"/>
      <c r="T51" s="1749"/>
      <c r="U51" s="1749"/>
      <c r="V51" s="1749"/>
    </row>
    <row r="52" spans="1:22" ht="12.75">
      <c r="A52" s="318"/>
      <c r="B52" s="318"/>
      <c r="C52" s="318"/>
      <c r="D52" s="313"/>
      <c r="E52" s="313"/>
      <c r="F52" s="313"/>
      <c r="G52" s="313"/>
      <c r="H52" s="319"/>
      <c r="I52" s="247"/>
      <c r="J52" s="1752"/>
      <c r="K52" s="1749"/>
      <c r="L52" s="1749"/>
      <c r="M52" s="1749"/>
      <c r="N52" s="1749"/>
      <c r="O52" s="1749"/>
      <c r="P52" s="1749"/>
      <c r="Q52" s="1749"/>
      <c r="R52" s="1749"/>
      <c r="S52" s="1749"/>
      <c r="T52" s="1749"/>
      <c r="U52" s="1749"/>
      <c r="V52" s="1749"/>
    </row>
    <row r="53" spans="1:22" ht="12.75">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2.75">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2.75">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2.75">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2.75">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2.75">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2.75">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2.75">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2.75">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8.75">
      <c r="A62" s="1150" t="s">
        <v>339</v>
      </c>
      <c r="B62" s="1151"/>
      <c r="C62" s="1151"/>
      <c r="D62" s="1152"/>
      <c r="E62" s="1152"/>
      <c r="F62" s="1153"/>
      <c r="G62" s="1153"/>
      <c r="H62" s="1153"/>
      <c r="I62" s="1153"/>
      <c r="J62" s="1753"/>
      <c r="K62" s="1749"/>
      <c r="L62" s="1749"/>
      <c r="M62" s="1749"/>
      <c r="N62" s="1749"/>
      <c r="O62" s="1749"/>
      <c r="P62" s="1749"/>
      <c r="Q62" s="1749"/>
      <c r="R62" s="1749"/>
      <c r="S62" s="1749"/>
      <c r="T62" s="1749"/>
      <c r="U62" s="1749"/>
      <c r="V62" s="1749"/>
    </row>
    <row r="63" spans="1:22" ht="14.25" customHeight="1" thickBot="1">
      <c r="A63" s="3871" t="s">
        <v>340</v>
      </c>
      <c r="B63" s="3872"/>
      <c r="C63" s="3873"/>
      <c r="D63" s="331">
        <f ca="1">ROUND(C42*F63,0)</f>
        <v>68004</v>
      </c>
      <c r="E63" s="292" t="s">
        <v>341</v>
      </c>
      <c r="F63" s="332">
        <v>1</v>
      </c>
      <c r="G63" s="333" t="s">
        <v>342</v>
      </c>
      <c r="H63" s="301"/>
      <c r="I63" s="301"/>
      <c r="J63" s="1749"/>
      <c r="K63" s="1749"/>
      <c r="L63" s="1749"/>
      <c r="M63" s="1749"/>
      <c r="N63" s="1749"/>
      <c r="O63" s="1749"/>
      <c r="P63" s="1749"/>
      <c r="Q63" s="1749"/>
      <c r="R63" s="1749"/>
      <c r="S63" s="1749"/>
      <c r="T63" s="1749"/>
      <c r="U63" s="1749"/>
      <c r="V63" s="1749"/>
    </row>
    <row r="64" spans="1:22" ht="14.25" customHeight="1">
      <c r="A64" s="3829" t="s">
        <v>344</v>
      </c>
      <c r="B64" s="3830"/>
      <c r="C64" s="3830"/>
      <c r="D64" s="3830"/>
      <c r="E64" s="3830"/>
      <c r="F64" s="3830"/>
      <c r="G64" s="3831"/>
      <c r="H64" s="1154"/>
      <c r="I64" s="908"/>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4"/>
      <c r="I65" s="908"/>
      <c r="J65" s="1740"/>
      <c r="K65" s="1155"/>
      <c r="L65" s="1156"/>
      <c r="M65" s="1156"/>
      <c r="N65" s="1188" t="s">
        <v>345</v>
      </c>
      <c r="O65" s="1189"/>
      <c r="P65" s="1190"/>
      <c r="Q65" s="1749"/>
      <c r="R65" s="1749"/>
      <c r="S65" s="1749"/>
      <c r="T65" s="1749"/>
      <c r="U65" s="1749"/>
      <c r="V65" s="1749"/>
    </row>
    <row r="66" spans="1:22" ht="25.5">
      <c r="A66" s="3825" t="s">
        <v>352</v>
      </c>
      <c r="B66" s="3826"/>
      <c r="C66" s="3826"/>
      <c r="D66" s="251">
        <f ca="1">IF(H66="情况1",0,IF(H66="情况2",D70,IF(H66="情况3",D71,IF(H66="情况4",D72))))</f>
        <v>3562</v>
      </c>
      <c r="E66" s="952" t="str">
        <f>IF(H66="情况4","(销售额-原购置价)×税（费）率","销售额×税（费）率")</f>
        <v>销售额×税（费）率</v>
      </c>
      <c r="F66" s="340">
        <f>IF(H66="情况1","免征",'数据-取费表'!B41)</f>
        <v>5.5000000000000007E-2</v>
      </c>
      <c r="G66" s="341" t="s">
        <v>353</v>
      </c>
      <c r="H66" s="184" t="s">
        <v>3565</v>
      </c>
      <c r="I66" s="1154"/>
      <c r="J66" s="1755"/>
      <c r="K66" s="1157">
        <v>1</v>
      </c>
      <c r="L66" s="3886" t="s">
        <v>351</v>
      </c>
      <c r="M66" s="3887"/>
      <c r="N66" s="2107"/>
      <c r="O66" s="2108"/>
      <c r="P66" s="2109"/>
      <c r="Q66" s="1749"/>
      <c r="R66" s="1749"/>
      <c r="S66" s="1749"/>
      <c r="T66" s="1749"/>
      <c r="U66" s="1749"/>
      <c r="V66" s="1749"/>
    </row>
    <row r="67" spans="1:22" ht="25.5" customHeight="1">
      <c r="A67" s="342" t="s">
        <v>355</v>
      </c>
      <c r="B67" s="3816" t="s">
        <v>356</v>
      </c>
      <c r="C67" s="3816"/>
      <c r="D67" s="343">
        <v>0</v>
      </c>
      <c r="E67" s="39" t="s">
        <v>357</v>
      </c>
      <c r="F67" s="60" t="s">
        <v>15</v>
      </c>
      <c r="G67" s="3874"/>
      <c r="H67" s="2746" t="s">
        <v>2247</v>
      </c>
      <c r="I67" s="2748"/>
      <c r="J67" s="1756"/>
      <c r="K67" s="1728">
        <v>2</v>
      </c>
      <c r="L67" s="3880" t="s">
        <v>354</v>
      </c>
      <c r="M67" s="3880"/>
      <c r="N67" s="1191">
        <f>'数据-取费表'!B2</f>
        <v>45138</v>
      </c>
      <c r="O67" s="1191"/>
      <c r="P67" s="1191"/>
      <c r="Q67" s="1749"/>
      <c r="R67" s="1749"/>
      <c r="S67" s="1749"/>
      <c r="T67" s="1749"/>
      <c r="U67" s="1749"/>
      <c r="V67" s="1749"/>
    </row>
    <row r="68" spans="1:22" ht="25.5" customHeight="1">
      <c r="A68" s="344"/>
      <c r="B68" s="3816" t="s">
        <v>359</v>
      </c>
      <c r="C68" s="3816"/>
      <c r="D68" s="345"/>
      <c r="E68" s="75"/>
      <c r="F68" s="346"/>
      <c r="G68" s="3875"/>
      <c r="H68" s="2747" t="s">
        <v>2248</v>
      </c>
      <c r="I68" s="2748"/>
      <c r="J68" s="1756"/>
      <c r="K68" s="1728">
        <v>3</v>
      </c>
      <c r="L68" s="3880" t="s">
        <v>358</v>
      </c>
      <c r="M68" s="3880"/>
      <c r="N68" s="1159">
        <f ca="1">C42</f>
        <v>68004</v>
      </c>
      <c r="O68" s="1159"/>
      <c r="P68" s="1159"/>
      <c r="Q68" s="1749"/>
      <c r="R68" s="1749"/>
      <c r="S68" s="1749"/>
      <c r="T68" s="1749"/>
      <c r="U68" s="1749"/>
      <c r="V68" s="1749"/>
    </row>
    <row r="69" spans="1:22" ht="23.45" customHeight="1">
      <c r="A69" s="347"/>
      <c r="B69" s="3816" t="s">
        <v>360</v>
      </c>
      <c r="C69" s="3816"/>
      <c r="D69" s="348"/>
      <c r="E69" s="71"/>
      <c r="F69" s="346"/>
      <c r="G69" s="3876"/>
      <c r="H69" s="2747" t="s">
        <v>2249</v>
      </c>
      <c r="I69" s="2748"/>
      <c r="J69" s="1756"/>
      <c r="K69" s="1160">
        <v>4</v>
      </c>
      <c r="L69" s="3890" t="s">
        <v>2157</v>
      </c>
      <c r="M69" s="3891"/>
      <c r="N69" s="1161">
        <f ca="1">C44</f>
        <v>67267</v>
      </c>
      <c r="O69" s="1161"/>
      <c r="P69" s="1161"/>
      <c r="Q69" s="1749"/>
      <c r="R69" s="1749"/>
      <c r="S69" s="1749"/>
      <c r="T69" s="1749"/>
      <c r="U69" s="1749"/>
      <c r="V69" s="1749"/>
    </row>
    <row r="70" spans="1:22" ht="24" customHeight="1">
      <c r="A70" s="349" t="s">
        <v>361</v>
      </c>
      <c r="B70" s="3816" t="s">
        <v>362</v>
      </c>
      <c r="C70" s="3816"/>
      <c r="D70" s="348">
        <f ca="1">ROUND(D63*'数据-取费表'!B41/(1+'数据-取费表'!C42),0)</f>
        <v>3562</v>
      </c>
      <c r="E70" s="15" t="s">
        <v>363</v>
      </c>
      <c r="F70" s="350">
        <f>'数据-取费表'!B41</f>
        <v>5.5000000000000007E-2</v>
      </c>
      <c r="G70" s="351"/>
      <c r="H70" s="301"/>
      <c r="I70" s="1158"/>
      <c r="J70" s="1756"/>
      <c r="K70" s="2519"/>
      <c r="L70" s="2520"/>
      <c r="M70" s="2520"/>
      <c r="N70" s="2521" t="s">
        <v>2161</v>
      </c>
      <c r="O70" s="2520"/>
      <c r="P70" s="2522"/>
      <c r="Q70" s="1749"/>
      <c r="R70" s="1749"/>
      <c r="S70" s="1749"/>
      <c r="T70" s="1749"/>
      <c r="U70" s="1749"/>
      <c r="V70" s="1749"/>
    </row>
    <row r="71" spans="1:22" ht="12" customHeight="1">
      <c r="A71" s="349" t="s">
        <v>369</v>
      </c>
      <c r="B71" s="3817" t="s">
        <v>2276</v>
      </c>
      <c r="C71" s="3818"/>
      <c r="D71" s="348">
        <f ca="1">ROUND(D63*'数据-取费表'!B41/(1+'数据-取费表'!C42),0)</f>
        <v>3562</v>
      </c>
      <c r="E71" s="15" t="s">
        <v>363</v>
      </c>
      <c r="F71" s="350">
        <f>'数据-取费表'!B41</f>
        <v>5.5000000000000007E-2</v>
      </c>
      <c r="G71" s="351"/>
      <c r="H71" s="301"/>
      <c r="I71" s="1158"/>
      <c r="J71" s="1756"/>
      <c r="K71" s="2518" t="s">
        <v>364</v>
      </c>
      <c r="L71" s="3892" t="s">
        <v>365</v>
      </c>
      <c r="M71" s="3892"/>
      <c r="N71" s="2518" t="s">
        <v>366</v>
      </c>
      <c r="O71" s="2518" t="s">
        <v>367</v>
      </c>
      <c r="P71" s="2518" t="s">
        <v>368</v>
      </c>
      <c r="Q71" s="1749"/>
      <c r="R71" s="1749"/>
      <c r="S71" s="1749"/>
      <c r="T71" s="1749"/>
      <c r="U71" s="1749"/>
      <c r="V71" s="1749"/>
    </row>
    <row r="72" spans="1:22" ht="12" customHeight="1">
      <c r="A72" s="349" t="s">
        <v>371</v>
      </c>
      <c r="B72" s="3817" t="s">
        <v>2277</v>
      </c>
      <c r="C72" s="3818"/>
      <c r="D72" s="348">
        <f ca="1">C86</f>
        <v>3562</v>
      </c>
      <c r="E72" s="71" t="s">
        <v>372</v>
      </c>
      <c r="F72" s="350">
        <f>'数据-取费表'!B41</f>
        <v>5.5000000000000007E-2</v>
      </c>
      <c r="G72" s="351"/>
      <c r="H72" s="1164"/>
      <c r="I72" s="1158"/>
      <c r="J72" s="1756"/>
      <c r="K72" s="1728">
        <v>1</v>
      </c>
      <c r="L72" s="3867" t="s">
        <v>370</v>
      </c>
      <c r="M72" s="3867"/>
      <c r="N72" s="1162">
        <f ca="1">D66</f>
        <v>3562</v>
      </c>
      <c r="O72" s="1633" t="str">
        <f>E66</f>
        <v>销售额×税（费）率</v>
      </c>
      <c r="P72" s="1163">
        <f>F66</f>
        <v>5.5000000000000007E-2</v>
      </c>
      <c r="Q72" s="1749"/>
      <c r="R72" s="1749"/>
      <c r="S72" s="1749"/>
      <c r="T72" s="1749"/>
      <c r="U72" s="1749"/>
      <c r="V72" s="1749"/>
    </row>
    <row r="73" spans="1:22" ht="24" customHeight="1">
      <c r="A73" s="3862" t="s">
        <v>374</v>
      </c>
      <c r="B73" s="3826"/>
      <c r="C73" s="3826"/>
      <c r="D73" s="352">
        <f ca="1">IF(H73="个人住宅",0,ROUND(D63*I73,0))</f>
        <v>34</v>
      </c>
      <c r="E73" s="15" t="s">
        <v>375</v>
      </c>
      <c r="F73" s="350">
        <f>IF(H73="正常",I73,"免征")</f>
        <v>5.0000000000000001E-4</v>
      </c>
      <c r="G73" s="351"/>
      <c r="H73" s="184" t="s">
        <v>3409</v>
      </c>
      <c r="I73" s="350">
        <f>'数据-取费表'!B49</f>
        <v>5.0000000000000001E-4</v>
      </c>
      <c r="J73" s="1756"/>
      <c r="K73" s="1728">
        <v>2</v>
      </c>
      <c r="L73" s="3867" t="s">
        <v>373</v>
      </c>
      <c r="M73" s="3867"/>
      <c r="N73" s="1162">
        <f t="shared" ref="N73:P74" ca="1" si="0">D73</f>
        <v>34</v>
      </c>
      <c r="O73" s="1633" t="str">
        <f t="shared" si="0"/>
        <v>销售额×税（费）率</v>
      </c>
      <c r="P73" s="1163">
        <f t="shared" si="0"/>
        <v>5.0000000000000001E-4</v>
      </c>
      <c r="Q73" s="1749"/>
      <c r="R73" s="1749"/>
      <c r="S73" s="1749"/>
      <c r="T73" s="1749"/>
      <c r="U73" s="1749"/>
      <c r="V73" s="1749"/>
    </row>
    <row r="74" spans="1:22" ht="24.75">
      <c r="A74" s="3862" t="s">
        <v>377</v>
      </c>
      <c r="B74" s="3826"/>
      <c r="C74" s="3826"/>
      <c r="D74" s="352">
        <f ca="1">IF(H74="个人住宅",D75,D76)</f>
        <v>1956</v>
      </c>
      <c r="E74" s="15" t="s">
        <v>378</v>
      </c>
      <c r="F74" s="350" t="str">
        <f>IF(H74="正常",F76,"免征")</f>
        <v>——</v>
      </c>
      <c r="G74" s="942" t="s">
        <v>379</v>
      </c>
      <c r="H74" s="353" t="s">
        <v>3409</v>
      </c>
      <c r="I74" s="40"/>
      <c r="J74" s="1756"/>
      <c r="K74" s="1728">
        <v>3</v>
      </c>
      <c r="L74" s="3867" t="s">
        <v>376</v>
      </c>
      <c r="M74" s="3867"/>
      <c r="N74" s="1162">
        <f t="shared" ca="1" si="0"/>
        <v>1956</v>
      </c>
      <c r="O74" s="1633" t="str">
        <f t="shared" si="0"/>
        <v>增值额×税（费）率</v>
      </c>
      <c r="P74" s="1165" t="str">
        <f t="shared" si="0"/>
        <v>——</v>
      </c>
      <c r="Q74" s="1749"/>
      <c r="R74" s="1749"/>
      <c r="S74" s="1749"/>
      <c r="T74" s="1749"/>
      <c r="U74" s="1749"/>
      <c r="V74" s="1749"/>
    </row>
    <row r="75" spans="1:22" ht="12.75">
      <c r="A75" s="349" t="s">
        <v>380</v>
      </c>
      <c r="B75" s="3814" t="s">
        <v>381</v>
      </c>
      <c r="C75" s="3850"/>
      <c r="D75" s="354">
        <v>0</v>
      </c>
      <c r="E75" s="39" t="s">
        <v>382</v>
      </c>
      <c r="F75" s="355"/>
      <c r="G75" s="351"/>
      <c r="H75" s="40"/>
      <c r="I75" s="40"/>
      <c r="J75" s="1756"/>
      <c r="K75" s="2512" t="str">
        <f>IF(H77="非个人房产","",4)</f>
        <v/>
      </c>
      <c r="L75" s="3867" t="str">
        <f>IF(H77="非个人房产","——","个人所得税")</f>
        <v>——</v>
      </c>
      <c r="M75" s="3867"/>
      <c r="N75" s="1166" t="str">
        <f>D77</f>
        <v>——</v>
      </c>
      <c r="O75" s="1634" t="str">
        <f>E77</f>
        <v>——</v>
      </c>
      <c r="P75" s="1167" t="str">
        <f>F77</f>
        <v>——</v>
      </c>
      <c r="Q75" s="1749"/>
      <c r="R75" s="1749"/>
      <c r="S75" s="1749"/>
      <c r="T75" s="1749"/>
      <c r="U75" s="1749"/>
      <c r="V75" s="1749"/>
    </row>
    <row r="76" spans="1:22" ht="24.75">
      <c r="A76" s="349" t="s">
        <v>361</v>
      </c>
      <c r="B76" s="3814" t="s">
        <v>384</v>
      </c>
      <c r="C76" s="3815"/>
      <c r="D76" s="352">
        <f ca="1">IF(H76="转让取得",C99,C115)</f>
        <v>1956</v>
      </c>
      <c r="E76" s="15" t="s">
        <v>385</v>
      </c>
      <c r="F76" s="51" t="s">
        <v>15</v>
      </c>
      <c r="G76" s="351"/>
      <c r="H76" s="353" t="s">
        <v>3566</v>
      </c>
      <c r="I76" s="40"/>
      <c r="J76" s="1756"/>
      <c r="K76" s="2512" t="str">
        <f>IF(项目基本情况!K6="上海银行",IF(K75="",4,K75+1),"")</f>
        <v/>
      </c>
      <c r="L76" s="3882" t="str">
        <f>IF(项目基本情况!K6="上海银行","其他处置费用","")</f>
        <v/>
      </c>
      <c r="M76" s="3883"/>
      <c r="N76" s="1162" t="str">
        <f>IF(项目基本情况!K6="上海银行",N89,"")</f>
        <v/>
      </c>
      <c r="O76" s="3884" t="str">
        <f>IF(项目基本情况!K6="上海银行","包含处置中涉及的律师、诉讼、拍卖、评估等费用","")</f>
        <v/>
      </c>
      <c r="P76" s="3885"/>
      <c r="Q76" s="1749"/>
      <c r="R76" s="1749"/>
      <c r="S76" s="1749"/>
      <c r="T76" s="1749"/>
      <c r="U76" s="1749"/>
      <c r="V76" s="1749"/>
    </row>
    <row r="77" spans="1:22" ht="24.75" thickBot="1">
      <c r="A77" s="3869" t="s">
        <v>387</v>
      </c>
      <c r="B77" s="3870"/>
      <c r="C77" s="3870"/>
      <c r="D77" s="2751" t="str">
        <f>IF(H77="非个人房产","——",IF(H77="个人住宅（满五唯一有凭证）",0,IF(H77="个人其他（无凭证）",ROUND(D63*F77,0),ROUND(C84*F77,0))))</f>
        <v>——</v>
      </c>
      <c r="E77" s="2752" t="str">
        <f>IF(H77="非个人房产","——",IF(H77="个人其他（无凭证）","销售额×税（费）率",IF(H77="个人住宅（满五唯一有凭证）","免征","差额计税")))</f>
        <v>——</v>
      </c>
      <c r="F77" s="2753" t="str">
        <f>IF(OR(H77="非个人房产",H77="个人住宅（满五唯一有凭证）"),"——",IF(H77="个人其他（有凭证）",20%,1%))</f>
        <v>——</v>
      </c>
      <c r="G77" s="943" t="s">
        <v>379</v>
      </c>
      <c r="H77" s="2750" t="s">
        <v>3567</v>
      </c>
      <c r="I77" s="2749" t="s">
        <v>2250</v>
      </c>
      <c r="J77" s="1756"/>
      <c r="K77" s="3868">
        <f>IF(AND(K75="",K76=""),4,IF(项目基本情况!K6="上海银行",K76+1,K75+1))</f>
        <v>4</v>
      </c>
      <c r="L77" s="3867" t="s">
        <v>2158</v>
      </c>
      <c r="M77" s="2517" t="s">
        <v>383</v>
      </c>
      <c r="N77" s="1168"/>
      <c r="O77" s="1169">
        <f ca="1">SUMIF(N72:N76,"&lt;9e307")</f>
        <v>5552</v>
      </c>
      <c r="P77" s="1170"/>
      <c r="Q77" s="2515">
        <f ca="1">O77/N69</f>
        <v>8.253675650764862E-2</v>
      </c>
      <c r="R77" s="1749"/>
      <c r="S77" s="1749"/>
      <c r="T77" s="1749"/>
      <c r="U77" s="1749"/>
      <c r="V77" s="1749"/>
    </row>
    <row r="78" spans="1:22" ht="12" customHeight="1">
      <c r="A78" s="1171"/>
      <c r="B78" s="301"/>
      <c r="C78" s="301"/>
      <c r="D78" s="301"/>
      <c r="E78" s="40"/>
      <c r="F78" s="40"/>
      <c r="G78" s="40"/>
      <c r="H78" s="962"/>
      <c r="I78" s="301"/>
      <c r="J78" s="1756"/>
      <c r="K78" s="3868"/>
      <c r="L78" s="3867"/>
      <c r="M78" s="2517" t="s">
        <v>386</v>
      </c>
      <c r="N78" s="1168"/>
      <c r="O78" s="1169" t="str">
        <f ca="1">NUMBERSTRING(INT(O77*10000),2)&amp;"元整"</f>
        <v>伍仟伍佰伍拾贰万元整</v>
      </c>
      <c r="P78" s="1170"/>
      <c r="Q78" s="1749"/>
      <c r="R78" s="1749"/>
      <c r="S78" s="1749"/>
      <c r="T78" s="1749"/>
      <c r="U78" s="1749"/>
      <c r="V78" s="1749"/>
    </row>
    <row r="79" spans="1:22" ht="13.5" thickBot="1">
      <c r="A79" s="3834" t="s">
        <v>388</v>
      </c>
      <c r="B79" s="3834"/>
      <c r="C79" s="3834"/>
      <c r="D79" s="3834"/>
      <c r="E79" s="3834"/>
      <c r="F79" s="40"/>
      <c r="G79" s="40"/>
      <c r="H79" s="962"/>
      <c r="I79" s="301"/>
      <c r="J79" s="1756"/>
      <c r="K79" s="3888">
        <f>K77+1</f>
        <v>5</v>
      </c>
      <c r="L79" s="3867" t="s">
        <v>2159</v>
      </c>
      <c r="M79" s="2517" t="s">
        <v>383</v>
      </c>
      <c r="N79" s="1168"/>
      <c r="O79" s="1169">
        <f ca="1">N69-O77</f>
        <v>61715</v>
      </c>
      <c r="P79" s="1170"/>
      <c r="Q79" s="1749"/>
      <c r="R79" s="1749"/>
      <c r="S79" s="1749"/>
      <c r="T79" s="1749"/>
      <c r="U79" s="1749"/>
      <c r="V79" s="1749"/>
    </row>
    <row r="80" spans="1:22" ht="25.5">
      <c r="A80" s="3835" t="s">
        <v>389</v>
      </c>
      <c r="B80" s="3836"/>
      <c r="C80" s="953"/>
      <c r="D80" s="953" t="s">
        <v>390</v>
      </c>
      <c r="E80" s="356" t="s">
        <v>391</v>
      </c>
      <c r="F80" s="40"/>
      <c r="G80" s="40"/>
      <c r="H80" s="962"/>
      <c r="I80" s="301"/>
      <c r="J80" s="1749"/>
      <c r="K80" s="3889"/>
      <c r="L80" s="3867"/>
      <c r="M80" s="2517" t="s">
        <v>386</v>
      </c>
      <c r="N80" s="1168"/>
      <c r="O80" s="1169" t="str">
        <f ca="1">NUMBERSTRING(INT(O79*10000),2)&amp;"元整"</f>
        <v>陆亿壹仟柒佰壹拾伍万元整</v>
      </c>
      <c r="P80" s="1170"/>
      <c r="Q80" s="1749"/>
      <c r="R80" s="1749"/>
      <c r="S80" s="1749"/>
      <c r="T80" s="1749"/>
      <c r="U80" s="1749"/>
      <c r="V80" s="1749"/>
    </row>
    <row r="81" spans="1:26" ht="13.5" thickBot="1">
      <c r="A81" s="367" t="s">
        <v>1352</v>
      </c>
      <c r="B81" s="357" t="s">
        <v>392</v>
      </c>
      <c r="C81" s="358">
        <f ca="1">ROUND((C82+C83)/(1+'数据-取费表'!C42),0)</f>
        <v>64766</v>
      </c>
      <c r="D81" s="359"/>
      <c r="E81" s="360"/>
      <c r="F81" s="40"/>
      <c r="G81" s="40"/>
      <c r="H81" s="962"/>
      <c r="I81" s="301"/>
      <c r="J81" s="1749"/>
      <c r="K81" s="2512">
        <f>K79+1</f>
        <v>6</v>
      </c>
      <c r="L81" s="3865" t="s">
        <v>2160</v>
      </c>
      <c r="M81" s="3866"/>
      <c r="N81" s="1172"/>
      <c r="O81" s="1173">
        <f ca="1">ROUND(O79*10000/'数据-汇总表'!E3,0)</f>
        <v>8982</v>
      </c>
      <c r="P81" s="1174"/>
      <c r="Q81" s="1749"/>
      <c r="R81" s="1749"/>
      <c r="S81" s="1749"/>
      <c r="T81" s="1749"/>
      <c r="U81" s="1749"/>
      <c r="V81" s="1749"/>
    </row>
    <row r="82" spans="1:26" ht="13.5" thickTop="1">
      <c r="A82" s="361" t="s">
        <v>1353</v>
      </c>
      <c r="B82" s="362" t="s">
        <v>393</v>
      </c>
      <c r="C82" s="363">
        <f ca="1">D63</f>
        <v>68004</v>
      </c>
      <c r="D82" s="364" t="s">
        <v>13</v>
      </c>
      <c r="E82" s="365"/>
      <c r="F82" s="40"/>
      <c r="G82" s="40"/>
      <c r="H82" s="962"/>
      <c r="I82" s="301"/>
      <c r="J82" s="1749"/>
      <c r="K82" s="1749"/>
      <c r="L82" s="1749"/>
      <c r="M82" s="1749"/>
      <c r="N82" s="1749"/>
      <c r="O82" s="1749"/>
      <c r="P82" s="1749"/>
      <c r="Q82" s="1749"/>
      <c r="R82" s="1749"/>
      <c r="S82" s="1749"/>
      <c r="T82" s="1749"/>
      <c r="U82" s="1749"/>
      <c r="V82" s="1749"/>
    </row>
    <row r="83" spans="1:26" ht="12.75">
      <c r="A83" s="361" t="s">
        <v>1354</v>
      </c>
      <c r="B83" s="362" t="s">
        <v>394</v>
      </c>
      <c r="C83" s="366"/>
      <c r="D83" s="364"/>
      <c r="E83" s="365"/>
      <c r="F83" s="40"/>
      <c r="G83" s="40"/>
      <c r="H83" s="962"/>
      <c r="I83" s="301"/>
      <c r="J83" s="1749"/>
      <c r="K83" s="3881" t="s">
        <v>2148</v>
      </c>
      <c r="L83" s="2523" t="s">
        <v>2149</v>
      </c>
      <c r="M83" s="2513">
        <f ca="1">IF(N69&gt;10000,N69*0.5%,IF(AND(N69&gt;1000,N69&lt;=10000),N69*1%,IF(AND(N69&gt;100,N69&lt;=1000),N69*3%,IF(AND(N69&gt;10,N69&lt;=100),N69*5%,N69*8%))))</f>
        <v>336.33499999999998</v>
      </c>
      <c r="N83" s="51">
        <f ca="1">ROUND(M83,1)</f>
        <v>336.3</v>
      </c>
      <c r="O83" s="2516"/>
      <c r="P83" s="1749"/>
      <c r="Q83" s="1749"/>
      <c r="R83" s="1749"/>
      <c r="S83" s="1749"/>
      <c r="T83" s="1749"/>
      <c r="U83" s="1749"/>
      <c r="V83" s="1749"/>
    </row>
    <row r="84" spans="1:26" ht="12.75">
      <c r="A84" s="367" t="s">
        <v>1355</v>
      </c>
      <c r="B84" s="368" t="s">
        <v>395</v>
      </c>
      <c r="C84" s="369"/>
      <c r="D84" s="370" t="s">
        <v>13</v>
      </c>
      <c r="E84" s="2539" t="s">
        <v>2193</v>
      </c>
      <c r="F84" s="40"/>
      <c r="G84" s="40"/>
      <c r="H84" s="962"/>
      <c r="I84" s="301"/>
      <c r="J84" s="1749"/>
      <c r="K84" s="3881"/>
      <c r="L84" s="2523" t="s">
        <v>2150</v>
      </c>
      <c r="M84" s="2513">
        <f ca="1">IF(N69&gt;2000,N69*0.5%,IF(AND(N69&gt;1000,N69&lt;=2000),N69*0.6%,IF(AND(N69&gt;500,N69&lt;=1000),N69*0.7%,IF(AND(N69&gt;200,N69&lt;=500),N69*0.8%,IF(AND(N69&gt;100,N69&lt;=200),N69*0.9%,IF(AND(N69&gt;50,N69&lt;=100),N69*1%,IF(AND(N69&gt;20,N69&lt;=50),N69*1.5%,IF(AND(N69&gt;10,N69&lt;=20),N69*2%,IF(AND(N69&gt;1,N69&lt;=10),N69*2.5%)))))))))</f>
        <v>336.33499999999998</v>
      </c>
      <c r="N84" s="51">
        <f ca="1">ROUND(M84,1)</f>
        <v>336.3</v>
      </c>
      <c r="O84" s="1749" t="s">
        <v>2151</v>
      </c>
      <c r="P84" s="1749"/>
      <c r="Q84" s="1749"/>
      <c r="R84" s="1749"/>
      <c r="S84" s="1749"/>
      <c r="T84" s="1749"/>
      <c r="U84" s="1749"/>
      <c r="V84" s="1749"/>
    </row>
    <row r="85" spans="1:26" ht="12.75">
      <c r="A85" s="367" t="s">
        <v>1356</v>
      </c>
      <c r="B85" s="368" t="s">
        <v>396</v>
      </c>
      <c r="C85" s="371">
        <f ca="1">C81-C84</f>
        <v>64766</v>
      </c>
      <c r="D85" s="364" t="s">
        <v>13</v>
      </c>
      <c r="E85" s="365"/>
      <c r="F85" s="40"/>
      <c r="G85" s="40"/>
      <c r="H85" s="962"/>
      <c r="I85" s="301"/>
      <c r="J85" s="1749"/>
      <c r="K85" s="3881"/>
      <c r="L85" s="2523" t="s">
        <v>2152</v>
      </c>
      <c r="M85" s="2513">
        <f ca="1">IF(N69&gt;1000,N69*0.1%,IF(AND(N69&gt;500,N69&lt;=1000),N69*0.5%,IF(AND(N69&gt;50,N69&lt;=500),N69*1%,IF(AND(N69&gt;1,N69&lt;=50),N69*1.5%))))</f>
        <v>67.266999999999996</v>
      </c>
      <c r="N85" s="51">
        <f ca="1">ROUND(M85,1)</f>
        <v>67.3</v>
      </c>
      <c r="O85" s="1749" t="s">
        <v>2151</v>
      </c>
      <c r="P85" s="1749"/>
      <c r="Q85" s="1749"/>
      <c r="R85" s="1749"/>
      <c r="S85" s="1749"/>
      <c r="T85" s="1749"/>
      <c r="U85" s="1749"/>
      <c r="V85" s="1749"/>
    </row>
    <row r="86" spans="1:26" ht="13.5" thickBot="1">
      <c r="A86" s="372" t="s">
        <v>1357</v>
      </c>
      <c r="B86" s="373" t="s">
        <v>397</v>
      </c>
      <c r="C86" s="374">
        <f ca="1">IF(C85&lt;=0,0,ROUND(C85*D86,0))</f>
        <v>3562</v>
      </c>
      <c r="D86" s="375">
        <f>'数据-取费表'!B41</f>
        <v>5.5000000000000007E-2</v>
      </c>
      <c r="E86" s="376"/>
      <c r="F86" s="40"/>
      <c r="G86" s="40"/>
      <c r="H86" s="962"/>
      <c r="I86" s="301"/>
      <c r="J86" s="1749"/>
      <c r="K86" s="3881"/>
      <c r="L86" s="2523" t="s">
        <v>2153</v>
      </c>
      <c r="M86" s="2513">
        <f ca="1">N69*0.5%</f>
        <v>336.33499999999998</v>
      </c>
      <c r="N86" s="51">
        <f ca="1">IF(M86&gt;0.5,0.5,ROUND(M86,0))</f>
        <v>0.5</v>
      </c>
      <c r="O86" s="1749" t="s">
        <v>2154</v>
      </c>
      <c r="P86" s="1749"/>
      <c r="Q86" s="1749"/>
      <c r="R86" s="1749"/>
      <c r="S86" s="1749"/>
      <c r="T86" s="1749"/>
      <c r="U86" s="1749"/>
      <c r="V86" s="1749"/>
    </row>
    <row r="87" spans="1:26" s="1120" customFormat="1" ht="14.25" customHeight="1">
      <c r="A87" s="1175"/>
      <c r="B87" s="1176"/>
      <c r="C87" s="1177"/>
      <c r="D87" s="1178"/>
      <c r="E87" s="1179"/>
      <c r="F87" s="40"/>
      <c r="G87" s="40"/>
      <c r="H87" s="962"/>
      <c r="I87" s="301"/>
      <c r="J87" s="1749"/>
      <c r="K87" s="3881"/>
      <c r="L87" s="2523" t="s">
        <v>2155</v>
      </c>
      <c r="M87" s="2513">
        <f ca="1">IF(N69&gt;=10000,(8.25+(N69-10000)*0.01%),IF(AND(N69&gt;=8000,N69&lt;10000),(7.85+(N69-8000)*0.02%),IF(AND(N69&gt;=5000,N69&lt;8000),(6.65+(N69-5000)*0.04%),IF(AND(N69&gt;=2000,N69&lt;5000),(4.25+(PN69-2000)*0.08%),IF(AND(N69&gt;=1000,N69&lt;2000),(2.75+(N69-1000)*0.15%),IF(AND(N69&gt;=100,N69&lt;1000),(0.5+(N69-100)*0.25%),IF(AND(N69&gt;0,N69&lt;100),N69*0.5%)))))))</f>
        <v>13.976700000000001</v>
      </c>
      <c r="N87" s="51">
        <f ca="1">ROUND(M87*0.9,1)</f>
        <v>12.6</v>
      </c>
      <c r="O87" s="2516"/>
      <c r="P87" s="1749"/>
      <c r="Q87" s="1749"/>
      <c r="R87" s="1749"/>
      <c r="S87" s="1749"/>
      <c r="T87" s="1749"/>
      <c r="U87" s="1749"/>
      <c r="V87" s="1749"/>
      <c r="W87" s="282"/>
      <c r="X87" s="282"/>
      <c r="Y87" s="282"/>
      <c r="Z87" s="282"/>
    </row>
    <row r="88" spans="1:26" s="1180" customFormat="1" ht="15" thickBot="1">
      <c r="A88" s="3860" t="s">
        <v>398</v>
      </c>
      <c r="B88" s="3861"/>
      <c r="C88" s="3861"/>
      <c r="D88" s="3861"/>
      <c r="E88" s="3861"/>
      <c r="F88" s="3861"/>
      <c r="G88" s="3861"/>
      <c r="H88" s="3861"/>
      <c r="I88" s="1181"/>
      <c r="J88" s="1757"/>
      <c r="K88" s="3881"/>
      <c r="L88" s="2523" t="s">
        <v>2156</v>
      </c>
      <c r="M88" s="2513">
        <f ca="1">IF(N69&gt;10000,N69*0.5%,IF(AND(N69&gt;5000,N69&lt;=10000),N69*1%,IF(AND(N69&gt;1000,N69&lt;=5000),N69*2%,IF(AND(N69&gt;200,N69&lt;=1000),N69*3%,N69*5%))))</f>
        <v>336.33499999999998</v>
      </c>
      <c r="N88" s="51">
        <f ca="1">ROUND(M88,1)</f>
        <v>336.3</v>
      </c>
      <c r="O88" s="2516"/>
      <c r="P88" s="1754"/>
      <c r="Q88" s="1754"/>
      <c r="R88" s="1754"/>
      <c r="S88" s="1754"/>
      <c r="T88" s="1754"/>
      <c r="U88" s="1754"/>
      <c r="V88" s="1754"/>
      <c r="W88" s="1758"/>
      <c r="X88" s="1758"/>
      <c r="Y88" s="1758"/>
      <c r="Z88" s="1758"/>
    </row>
    <row r="89" spans="1:26" s="1180" customFormat="1" ht="14.25">
      <c r="A89" s="3835" t="s">
        <v>389</v>
      </c>
      <c r="B89" s="3836"/>
      <c r="C89" s="953"/>
      <c r="D89" s="953" t="s">
        <v>390</v>
      </c>
      <c r="E89" s="377" t="s">
        <v>399</v>
      </c>
      <c r="F89" s="378"/>
      <c r="G89" s="378"/>
      <c r="H89" s="379"/>
      <c r="I89" s="1182"/>
      <c r="J89" s="1759"/>
      <c r="K89" s="3881"/>
      <c r="L89" s="2523" t="s">
        <v>16</v>
      </c>
      <c r="M89" s="2514"/>
      <c r="N89" s="51">
        <f ca="1">ROUND(SUM(N83:N88),0)</f>
        <v>1089</v>
      </c>
      <c r="O89" s="2524">
        <f ca="1">N89/N69</f>
        <v>1.6189216108939003E-2</v>
      </c>
      <c r="P89" s="1754"/>
      <c r="Q89" s="1754"/>
      <c r="R89" s="1754"/>
      <c r="S89" s="1754"/>
      <c r="T89" s="1754"/>
      <c r="U89" s="1754"/>
      <c r="V89" s="1754"/>
      <c r="W89" s="1758"/>
      <c r="X89" s="1758"/>
      <c r="Y89" s="1758"/>
      <c r="Z89" s="1758"/>
    </row>
    <row r="90" spans="1:26" s="1180" customFormat="1" ht="14.25">
      <c r="A90" s="367" t="s">
        <v>1352</v>
      </c>
      <c r="B90" s="368" t="s">
        <v>400</v>
      </c>
      <c r="C90" s="371">
        <f ca="1">ROUND(D63/(1+'数据-取费表'!C42),0)</f>
        <v>64766</v>
      </c>
      <c r="D90" s="364" t="s">
        <v>13</v>
      </c>
      <c r="E90" s="950"/>
      <c r="F90" s="949"/>
      <c r="G90" s="949"/>
      <c r="H90" s="380"/>
      <c r="I90" s="1182"/>
      <c r="J90" s="1759"/>
      <c r="K90" s="1754"/>
      <c r="L90" s="1754"/>
      <c r="M90" s="1754"/>
      <c r="N90" s="1754"/>
      <c r="O90" s="1754"/>
      <c r="P90" s="1754"/>
      <c r="Q90" s="1754"/>
      <c r="R90" s="1754"/>
      <c r="S90" s="1754"/>
      <c r="T90" s="1754"/>
      <c r="U90" s="1754"/>
      <c r="V90" s="1754"/>
      <c r="W90" s="1758"/>
      <c r="X90" s="1758"/>
      <c r="Y90" s="1758"/>
      <c r="Z90" s="1758"/>
    </row>
    <row r="91" spans="1:26" s="1180" customFormat="1" ht="14.25">
      <c r="A91" s="367" t="s">
        <v>1358</v>
      </c>
      <c r="B91" s="338" t="s">
        <v>401</v>
      </c>
      <c r="C91" s="371">
        <f ca="1">C92+C96</f>
        <v>324</v>
      </c>
      <c r="D91" s="364" t="s">
        <v>13</v>
      </c>
      <c r="E91" s="950"/>
      <c r="F91" s="949"/>
      <c r="G91" s="949"/>
      <c r="H91" s="380"/>
      <c r="I91" s="1182"/>
      <c r="J91" s="1759"/>
      <c r="K91" s="1754"/>
      <c r="L91" s="1754"/>
      <c r="M91" s="1754"/>
      <c r="N91" s="1754"/>
      <c r="O91" s="1754"/>
      <c r="P91" s="1754"/>
      <c r="Q91" s="1754"/>
      <c r="R91" s="1754"/>
      <c r="S91" s="1754"/>
      <c r="T91" s="1754"/>
      <c r="U91" s="1754"/>
      <c r="V91" s="1754"/>
      <c r="W91" s="1758"/>
      <c r="X91" s="1758"/>
      <c r="Y91" s="1758"/>
      <c r="Z91" s="1758"/>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9"/>
      <c r="K92" s="1754"/>
      <c r="L92" s="1754"/>
      <c r="M92" s="1754"/>
      <c r="N92" s="1754"/>
      <c r="O92" s="1754"/>
      <c r="P92" s="1754"/>
      <c r="Q92" s="1754"/>
      <c r="R92" s="1754"/>
      <c r="S92" s="1754"/>
      <c r="T92" s="1754"/>
      <c r="U92" s="1754"/>
      <c r="V92" s="1754"/>
      <c r="W92" s="1758"/>
      <c r="X92" s="1758"/>
      <c r="Y92" s="1758"/>
      <c r="Z92" s="1758"/>
    </row>
    <row r="93" spans="1:26" s="1180" customFormat="1" ht="14.25">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0" customFormat="1" ht="24.75" customHeight="1">
      <c r="A94" s="381" t="s">
        <v>1361</v>
      </c>
      <c r="B94" s="386" t="s">
        <v>406</v>
      </c>
      <c r="C94" s="364">
        <f>IF(F93="购房发票",ROUND(C93*H93*5%,0),0)</f>
        <v>0</v>
      </c>
      <c r="D94" s="387">
        <v>0.05</v>
      </c>
      <c r="E94" s="3817" t="s">
        <v>407</v>
      </c>
      <c r="F94" s="3816"/>
      <c r="G94" s="3816"/>
      <c r="H94" s="3859"/>
      <c r="I94" s="1182"/>
      <c r="J94" s="1759"/>
      <c r="K94" s="1754"/>
      <c r="L94" s="1754"/>
      <c r="M94" s="1754"/>
      <c r="N94" s="1754"/>
      <c r="O94" s="1754"/>
      <c r="P94" s="1754"/>
      <c r="Q94" s="1754"/>
      <c r="R94" s="1754"/>
      <c r="S94" s="1754"/>
      <c r="T94" s="1754"/>
      <c r="U94" s="1754"/>
      <c r="V94" s="1754"/>
      <c r="W94" s="1758"/>
      <c r="X94" s="1758"/>
      <c r="Y94" s="1758"/>
      <c r="Z94" s="1758"/>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9"/>
      <c r="K95" s="1754"/>
      <c r="L95" s="1754"/>
      <c r="M95" s="1754"/>
      <c r="N95" s="1754"/>
      <c r="O95" s="1754"/>
      <c r="P95" s="1754"/>
      <c r="Q95" s="1754"/>
      <c r="R95" s="1754"/>
      <c r="S95" s="1754"/>
      <c r="T95" s="1754"/>
      <c r="U95" s="1754"/>
      <c r="V95" s="1754"/>
      <c r="W95" s="1758"/>
      <c r="X95" s="1758"/>
      <c r="Y95" s="1758"/>
      <c r="Z95" s="1758"/>
    </row>
    <row r="96" spans="1:26" s="1180" customFormat="1" ht="24.75" customHeight="1">
      <c r="A96" s="381" t="s">
        <v>1363</v>
      </c>
      <c r="B96" s="362" t="s">
        <v>410</v>
      </c>
      <c r="C96" s="391">
        <f ca="1">ROUND(D63*D96/(1+'数据-取费表'!C42),0)</f>
        <v>324</v>
      </c>
      <c r="D96" s="392">
        <f>'数据-取费表'!B43</f>
        <v>5.000000000000001E-3</v>
      </c>
      <c r="E96" s="3851" t="s">
        <v>1780</v>
      </c>
      <c r="F96" s="3852"/>
      <c r="G96" s="3852"/>
      <c r="H96" s="3853"/>
      <c r="I96" s="1183"/>
      <c r="J96" s="1760"/>
      <c r="K96" s="1754"/>
      <c r="L96" s="1754"/>
      <c r="M96" s="1754"/>
      <c r="N96" s="1754"/>
      <c r="O96" s="1754"/>
      <c r="P96" s="1754"/>
      <c r="Q96" s="1754"/>
      <c r="R96" s="1754"/>
      <c r="S96" s="1754"/>
      <c r="T96" s="1754"/>
      <c r="U96" s="1754"/>
      <c r="V96" s="1754"/>
      <c r="W96" s="1758"/>
      <c r="X96" s="1758"/>
      <c r="Y96" s="1758"/>
      <c r="Z96" s="1758"/>
    </row>
    <row r="97" spans="1:26" s="1180" customFormat="1" ht="14.25">
      <c r="A97" s="1421" t="s">
        <v>1364</v>
      </c>
      <c r="B97" s="368" t="s">
        <v>411</v>
      </c>
      <c r="C97" s="371">
        <f ca="1">C90-C91</f>
        <v>64442</v>
      </c>
      <c r="D97" s="364" t="s">
        <v>13</v>
      </c>
      <c r="E97" s="950"/>
      <c r="F97" s="949"/>
      <c r="G97" s="949"/>
      <c r="H97" s="380"/>
      <c r="I97" s="1182"/>
      <c r="J97" s="1759"/>
      <c r="K97" s="1754"/>
      <c r="L97" s="1754"/>
      <c r="M97" s="1754"/>
      <c r="N97" s="1754"/>
      <c r="O97" s="1754"/>
      <c r="P97" s="1754"/>
      <c r="Q97" s="1754"/>
      <c r="R97" s="1754"/>
      <c r="S97" s="1754"/>
      <c r="T97" s="1754"/>
      <c r="U97" s="1754"/>
      <c r="V97" s="1754"/>
      <c r="W97" s="1758"/>
      <c r="X97" s="1758"/>
      <c r="Y97" s="1758"/>
      <c r="Z97" s="1758"/>
    </row>
    <row r="98" spans="1:26" s="1180" customFormat="1" ht="24">
      <c r="A98" s="1421" t="s">
        <v>1365</v>
      </c>
      <c r="B98" s="368" t="s">
        <v>412</v>
      </c>
      <c r="C98" s="393">
        <f ca="1">IF(C97&lt;=0,0,C97/C91)</f>
        <v>198.89506172839506</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9"/>
      <c r="K98" s="1754"/>
      <c r="L98" s="1754"/>
      <c r="M98" s="1754"/>
      <c r="N98" s="1754"/>
      <c r="O98" s="1754"/>
      <c r="P98" s="1754"/>
      <c r="Q98" s="1754"/>
      <c r="R98" s="1754"/>
      <c r="S98" s="1754"/>
      <c r="T98" s="1754"/>
      <c r="U98" s="1754"/>
      <c r="V98" s="1754"/>
      <c r="W98" s="1758"/>
      <c r="X98" s="1758"/>
      <c r="Y98" s="1758"/>
      <c r="Z98" s="1758"/>
    </row>
    <row r="99" spans="1:26" s="1180" customFormat="1" ht="24.75" thickBot="1">
      <c r="A99" s="1422" t="s">
        <v>1366</v>
      </c>
      <c r="B99" s="373" t="s">
        <v>413</v>
      </c>
      <c r="C99" s="394">
        <f ca="1">ROUND(IF(C97&lt;=0,0,IF(C98&gt;=200%,C97*60%-C91*35%,IF(C98&gt;=100%,C97*50%-C91*15%,IF(C98&gt;=50%,C97*40%-C91*5%,IF(C98&lt;50%,C97*30%,0))))),0)</f>
        <v>38552</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9"/>
      <c r="K99" s="1754"/>
      <c r="L99" s="1754"/>
      <c r="M99" s="1754"/>
      <c r="N99" s="1754"/>
      <c r="O99" s="1754"/>
      <c r="P99" s="1754"/>
      <c r="Q99" s="1754"/>
      <c r="R99" s="1754"/>
      <c r="S99" s="1754"/>
      <c r="T99" s="1754"/>
      <c r="U99" s="1754"/>
      <c r="V99" s="1754"/>
      <c r="W99" s="1758"/>
      <c r="X99" s="1758"/>
      <c r="Y99" s="1758"/>
      <c r="Z99" s="1758"/>
    </row>
    <row r="100" spans="1:26" s="1180" customFormat="1" ht="7.5" customHeight="1">
      <c r="A100" s="1184"/>
      <c r="B100" s="1185"/>
      <c r="C100" s="9"/>
      <c r="D100" s="9"/>
      <c r="E100" s="1185"/>
      <c r="F100" s="1185"/>
      <c r="G100" s="1185"/>
      <c r="H100" s="1186"/>
      <c r="I100" s="1183"/>
      <c r="J100" s="1760"/>
      <c r="K100" s="1754"/>
      <c r="L100" s="1754"/>
      <c r="M100" s="1754"/>
      <c r="N100" s="1754"/>
      <c r="O100" s="1754"/>
      <c r="P100" s="1754"/>
      <c r="Q100" s="1754"/>
      <c r="R100" s="1754"/>
      <c r="S100" s="1754"/>
      <c r="T100" s="1754"/>
      <c r="U100" s="1754"/>
      <c r="V100" s="1754"/>
      <c r="W100" s="1758"/>
      <c r="X100" s="1758"/>
      <c r="Y100" s="1758"/>
      <c r="Z100" s="1758"/>
    </row>
    <row r="101" spans="1:26" s="1180" customFormat="1" ht="15" thickBot="1">
      <c r="A101" s="3860" t="s">
        <v>414</v>
      </c>
      <c r="B101" s="3861"/>
      <c r="C101" s="3861"/>
      <c r="D101" s="3861"/>
      <c r="E101" s="3861"/>
      <c r="F101" s="3861"/>
      <c r="G101" s="3861"/>
      <c r="H101" s="3861"/>
      <c r="I101" s="9"/>
      <c r="J101" s="1754"/>
      <c r="K101" s="3718" t="s">
        <v>3568</v>
      </c>
      <c r="L101" s="3718" t="s">
        <v>3569</v>
      </c>
      <c r="M101" s="3718" t="s">
        <v>3570</v>
      </c>
      <c r="N101" s="1754"/>
      <c r="O101" s="1754"/>
      <c r="P101" s="1754"/>
      <c r="Q101" s="1754"/>
      <c r="R101" s="1754"/>
      <c r="S101" s="1754"/>
      <c r="T101" s="1754"/>
      <c r="U101" s="1754"/>
      <c r="V101" s="1754"/>
      <c r="W101" s="1758"/>
      <c r="X101" s="1758"/>
      <c r="Y101" s="1758"/>
      <c r="Z101" s="1758"/>
    </row>
    <row r="102" spans="1:26" s="1180" customFormat="1" ht="14.25">
      <c r="A102" s="3835" t="s">
        <v>389</v>
      </c>
      <c r="B102" s="3836"/>
      <c r="C102" s="953"/>
      <c r="D102" s="953" t="s">
        <v>390</v>
      </c>
      <c r="E102" s="377" t="s">
        <v>399</v>
      </c>
      <c r="F102" s="378"/>
      <c r="G102" s="378"/>
      <c r="H102" s="399"/>
      <c r="I102" s="9"/>
      <c r="J102" s="1754"/>
      <c r="K102" s="1754">
        <v>11052</v>
      </c>
      <c r="L102" s="1754">
        <f>K102*0.2*0.25</f>
        <v>552.6</v>
      </c>
      <c r="M102" s="1754">
        <f>K102*0.15*0.25</f>
        <v>414.45</v>
      </c>
      <c r="N102" s="1754"/>
      <c r="O102" s="1754"/>
      <c r="P102" s="1754"/>
      <c r="Q102" s="1754"/>
      <c r="R102" s="1754"/>
      <c r="S102" s="1754"/>
      <c r="T102" s="1754"/>
      <c r="U102" s="1754"/>
      <c r="V102" s="1754"/>
      <c r="W102" s="1758"/>
      <c r="X102" s="1758"/>
      <c r="Y102" s="1758"/>
      <c r="Z102" s="1758"/>
    </row>
    <row r="103" spans="1:26" s="1180" customFormat="1" ht="14.25">
      <c r="A103" s="367" t="s">
        <v>1352</v>
      </c>
      <c r="B103" s="368" t="s">
        <v>400</v>
      </c>
      <c r="C103" s="371">
        <f ca="1">ROUND(D63/(1+'数据-取费表'!C42),0)</f>
        <v>64766</v>
      </c>
      <c r="D103" s="364" t="s">
        <v>13</v>
      </c>
      <c r="E103" s="950"/>
      <c r="F103" s="949"/>
      <c r="G103" s="949"/>
      <c r="H103" s="400"/>
      <c r="I103" s="9"/>
      <c r="J103" s="1754"/>
      <c r="K103" s="1754">
        <f>'剩余法-待开发'!C9</f>
        <v>50858.83</v>
      </c>
      <c r="L103" s="1754"/>
      <c r="M103" s="1754"/>
      <c r="N103" s="1754"/>
      <c r="O103" s="1754"/>
      <c r="P103" s="1754"/>
      <c r="Q103" s="1754"/>
      <c r="R103" s="1754"/>
      <c r="S103" s="1754"/>
      <c r="T103" s="1754"/>
      <c r="U103" s="1754"/>
      <c r="V103" s="1754"/>
      <c r="W103" s="1758"/>
      <c r="X103" s="1758"/>
      <c r="Y103" s="1758"/>
      <c r="Z103" s="1758"/>
    </row>
    <row r="104" spans="1:26" s="1180" customFormat="1" ht="14.25">
      <c r="A104" s="367" t="s">
        <v>1358</v>
      </c>
      <c r="B104" s="338" t="s">
        <v>401</v>
      </c>
      <c r="C104" s="371">
        <f ca="1">IF(H106="仅含出让金",C105+C108+C109+C110+C111+C112,C105+C109+C110+C111+C112)</f>
        <v>58247</v>
      </c>
      <c r="D104" s="401"/>
      <c r="E104" s="950"/>
      <c r="F104" s="949"/>
      <c r="G104" s="949"/>
      <c r="H104" s="400"/>
      <c r="I104" s="9"/>
      <c r="J104" s="1754"/>
      <c r="K104" s="1754">
        <f>ROUND(K103*K102/10000,0)</f>
        <v>56209</v>
      </c>
      <c r="L104" s="1754">
        <f>ROUND(L103*L102/10000,0)</f>
        <v>0</v>
      </c>
      <c r="M104" s="1754">
        <f t="shared" ref="M104" si="1">ROUND(M103*M102/10000,0)</f>
        <v>0</v>
      </c>
      <c r="N104" s="1754"/>
      <c r="O104" s="1754"/>
      <c r="P104" s="1754"/>
      <c r="Q104" s="1754"/>
      <c r="R104" s="1754"/>
      <c r="S104" s="1754"/>
      <c r="T104" s="1754"/>
      <c r="U104" s="1754"/>
      <c r="V104" s="1754"/>
      <c r="W104" s="1758"/>
      <c r="X104" s="1758"/>
      <c r="Y104" s="1758"/>
      <c r="Z104" s="1758"/>
    </row>
    <row r="105" spans="1:26" s="1180" customFormat="1" ht="14.25">
      <c r="A105" s="381" t="s">
        <v>1359</v>
      </c>
      <c r="B105" s="362" t="s">
        <v>415</v>
      </c>
      <c r="C105" s="391">
        <f>C106+C107</f>
        <v>57923</v>
      </c>
      <c r="D105" s="392"/>
      <c r="E105" s="944"/>
      <c r="F105" s="945"/>
      <c r="G105" s="945"/>
      <c r="H105" s="946"/>
      <c r="I105" s="9"/>
      <c r="J105" s="1754"/>
      <c r="K105" s="1754">
        <f>K104+L104+M104</f>
        <v>56209</v>
      </c>
      <c r="L105" s="1754"/>
      <c r="M105" s="1754"/>
      <c r="N105" s="1754"/>
      <c r="O105" s="1754"/>
      <c r="P105" s="1754"/>
      <c r="Q105" s="1754"/>
      <c r="R105" s="1754"/>
      <c r="S105" s="1754"/>
      <c r="T105" s="1754"/>
      <c r="U105" s="1754"/>
      <c r="V105" s="1754"/>
      <c r="W105" s="1758"/>
      <c r="X105" s="1758"/>
      <c r="Y105" s="1758"/>
      <c r="Z105" s="1758"/>
    </row>
    <row r="106" spans="1:26" s="1180" customFormat="1" ht="14.25">
      <c r="A106" s="381" t="s">
        <v>1360</v>
      </c>
      <c r="B106" s="362" t="s">
        <v>416</v>
      </c>
      <c r="C106" s="402">
        <f>K105</f>
        <v>56209</v>
      </c>
      <c r="D106" s="392"/>
      <c r="E106" s="403" t="s">
        <v>417</v>
      </c>
      <c r="F106" s="945"/>
      <c r="G106" s="404" t="s">
        <v>418</v>
      </c>
      <c r="H106" s="405" t="s">
        <v>3571</v>
      </c>
      <c r="I106" s="9"/>
      <c r="J106" s="1754"/>
      <c r="K106" s="2983" t="s">
        <v>2270</v>
      </c>
      <c r="L106" s="1754"/>
      <c r="M106" s="1754"/>
      <c r="N106" s="1754"/>
      <c r="O106" s="1754"/>
      <c r="P106" s="1754"/>
      <c r="Q106" s="1754"/>
      <c r="R106" s="1754"/>
      <c r="S106" s="1754"/>
      <c r="T106" s="1754"/>
      <c r="U106" s="1754"/>
      <c r="V106" s="1754"/>
      <c r="W106" s="1758"/>
      <c r="X106" s="1758"/>
      <c r="Y106" s="1758"/>
      <c r="Z106" s="1758"/>
    </row>
    <row r="107" spans="1:26" s="1180" customFormat="1" ht="14.25">
      <c r="A107" s="381" t="s">
        <v>1361</v>
      </c>
      <c r="B107" s="362" t="s">
        <v>408</v>
      </c>
      <c r="C107" s="391">
        <f>ROUND(C106*D107,0)</f>
        <v>1714</v>
      </c>
      <c r="D107" s="392">
        <f>'数据-取费表'!B48+'数据-取费表'!B49</f>
        <v>3.0499999999999999E-2</v>
      </c>
      <c r="E107" s="403" t="s">
        <v>419</v>
      </c>
      <c r="F107" s="945"/>
      <c r="G107" s="945"/>
      <c r="H107" s="946"/>
      <c r="I107" s="9"/>
      <c r="J107" s="1754"/>
      <c r="K107" s="1754"/>
      <c r="L107" s="1754"/>
      <c r="M107" s="1754"/>
      <c r="N107" s="1754"/>
      <c r="O107" s="1754"/>
      <c r="P107" s="1754"/>
      <c r="Q107" s="1754"/>
      <c r="R107" s="1754"/>
      <c r="S107" s="1754"/>
      <c r="T107" s="1754"/>
      <c r="U107" s="1754"/>
      <c r="V107" s="1754"/>
      <c r="W107" s="1758"/>
      <c r="X107" s="1758"/>
      <c r="Y107" s="1758"/>
      <c r="Z107" s="1758"/>
    </row>
    <row r="108" spans="1:26" s="1180" customFormat="1" ht="14.25">
      <c r="A108" s="381" t="s">
        <v>1363</v>
      </c>
      <c r="B108" s="362" t="s">
        <v>420</v>
      </c>
      <c r="C108" s="402"/>
      <c r="D108" s="392"/>
      <c r="E108" s="403" t="str">
        <f>IF(H106="-","土地取得成本中已包含该笔费用"," ")</f>
        <v xml:space="preserve"> </v>
      </c>
      <c r="F108" s="945"/>
      <c r="G108" s="3811" t="s">
        <v>2242</v>
      </c>
      <c r="H108" s="3812"/>
      <c r="I108" s="2609"/>
      <c r="J108" s="1754"/>
      <c r="K108" s="2983" t="s">
        <v>2271</v>
      </c>
      <c r="L108" s="1754"/>
      <c r="M108" s="1754"/>
      <c r="N108" s="1754"/>
      <c r="O108" s="1754"/>
      <c r="P108" s="1754"/>
      <c r="Q108" s="1754"/>
      <c r="R108" s="1754"/>
      <c r="S108" s="1754"/>
      <c r="T108" s="1754"/>
      <c r="U108" s="1754"/>
      <c r="V108" s="1754"/>
      <c r="W108" s="1758"/>
      <c r="X108" s="1758"/>
      <c r="Y108" s="1758"/>
      <c r="Z108" s="1758"/>
    </row>
    <row r="109" spans="1:26" s="1180" customFormat="1" ht="24" customHeight="1">
      <c r="A109" s="1423" t="s">
        <v>1367</v>
      </c>
      <c r="B109" s="362" t="s">
        <v>421</v>
      </c>
      <c r="C109" s="391">
        <f>IF(H109="——",IF(F1="现房",'剩余法-现房'!C18,0),I109)</f>
        <v>0</v>
      </c>
      <c r="D109" s="392"/>
      <c r="E109" s="3854" t="s">
        <v>422</v>
      </c>
      <c r="F109" s="3852"/>
      <c r="G109" s="3852"/>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0" customFormat="1" ht="25.5" customHeight="1">
      <c r="A110" s="1423" t="s">
        <v>1368</v>
      </c>
      <c r="B110" s="362" t="s">
        <v>423</v>
      </c>
      <c r="C110" s="391">
        <f>ROUND((C105+C108+C109)*D110,0)</f>
        <v>0</v>
      </c>
      <c r="D110" s="3014">
        <v>0</v>
      </c>
      <c r="E110" s="3854" t="s">
        <v>424</v>
      </c>
      <c r="F110" s="3852"/>
      <c r="G110" s="3852"/>
      <c r="H110" s="3853"/>
      <c r="I110" s="9"/>
      <c r="J110" s="1754"/>
      <c r="K110" s="2984" t="s">
        <v>2272</v>
      </c>
      <c r="L110" s="1754"/>
      <c r="M110" s="1754"/>
      <c r="N110" s="1754"/>
      <c r="O110" s="1754"/>
      <c r="P110" s="1754"/>
      <c r="Q110" s="1754"/>
      <c r="R110" s="1754"/>
      <c r="S110" s="1754"/>
      <c r="T110" s="1754"/>
      <c r="U110" s="1754"/>
      <c r="V110" s="1754"/>
      <c r="W110" s="1758"/>
      <c r="X110" s="1758"/>
      <c r="Y110" s="1758"/>
      <c r="Z110" s="1758"/>
    </row>
    <row r="111" spans="1:26" s="1180" customFormat="1" ht="25.5" customHeight="1">
      <c r="A111" s="1423" t="s">
        <v>1369</v>
      </c>
      <c r="B111" s="362" t="s">
        <v>410</v>
      </c>
      <c r="C111" s="391">
        <f ca="1">ROUND(D63*D111/(1+'数据-取费表'!C42),0)</f>
        <v>324</v>
      </c>
      <c r="D111" s="392">
        <f>'数据-取费表'!B43</f>
        <v>5.000000000000001E-3</v>
      </c>
      <c r="E111" s="3851" t="s">
        <v>1780</v>
      </c>
      <c r="F111" s="3852"/>
      <c r="G111" s="3852"/>
      <c r="H111" s="3853"/>
      <c r="I111" s="9"/>
      <c r="J111" s="1754"/>
      <c r="K111" s="1754"/>
      <c r="L111" s="1754"/>
      <c r="M111" s="1754"/>
      <c r="N111" s="1754"/>
      <c r="O111" s="1754"/>
      <c r="P111" s="1754"/>
      <c r="Q111" s="1754"/>
      <c r="R111" s="1754"/>
      <c r="S111" s="1754"/>
      <c r="T111" s="1754"/>
      <c r="U111" s="1754"/>
      <c r="V111" s="1754"/>
      <c r="W111" s="1758"/>
      <c r="X111" s="1758"/>
      <c r="Y111" s="1758"/>
      <c r="Z111" s="1758"/>
    </row>
    <row r="112" spans="1:26" s="1180" customFormat="1" ht="25.5" customHeight="1">
      <c r="A112" s="1423" t="s">
        <v>1370</v>
      </c>
      <c r="B112" s="362" t="s">
        <v>425</v>
      </c>
      <c r="C112" s="391">
        <f>ROUND(C108*D112,0)</f>
        <v>0</v>
      </c>
      <c r="D112" s="392">
        <v>0.2</v>
      </c>
      <c r="E112" s="3854" t="s">
        <v>1799</v>
      </c>
      <c r="F112" s="3852"/>
      <c r="G112" s="3852"/>
      <c r="H112" s="3853"/>
      <c r="I112" s="9"/>
      <c r="J112" s="1754"/>
      <c r="K112" s="1754"/>
      <c r="L112" s="1754"/>
      <c r="M112" s="1754"/>
      <c r="N112" s="1754"/>
      <c r="O112" s="1754"/>
      <c r="P112" s="1754"/>
      <c r="Q112" s="1754"/>
      <c r="R112" s="1754"/>
      <c r="S112" s="1754"/>
      <c r="T112" s="1754"/>
      <c r="U112" s="1754"/>
      <c r="V112" s="1754"/>
      <c r="W112" s="1758"/>
      <c r="X112" s="1758"/>
      <c r="Y112" s="1758"/>
      <c r="Z112" s="1758"/>
    </row>
    <row r="113" spans="1:26" s="1180" customFormat="1" ht="14.25">
      <c r="A113" s="1421" t="s">
        <v>1364</v>
      </c>
      <c r="B113" s="368" t="s">
        <v>411</v>
      </c>
      <c r="C113" s="371">
        <f ca="1">ROUND(C103-C104,0)</f>
        <v>6519</v>
      </c>
      <c r="D113" s="364" t="s">
        <v>13</v>
      </c>
      <c r="E113" s="950"/>
      <c r="F113" s="949"/>
      <c r="G113" s="949"/>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0" customFormat="1" ht="24">
      <c r="A114" s="1421" t="s">
        <v>1365</v>
      </c>
      <c r="B114" s="368" t="s">
        <v>412</v>
      </c>
      <c r="C114" s="393">
        <f ca="1">IF(C113&lt;=0,0,C113/C104)</f>
        <v>0.11191992720655142</v>
      </c>
      <c r="D114" s="364"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49"/>
      <c r="G114" s="949"/>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0" customFormat="1" ht="24.75" thickBot="1">
      <c r="A115" s="1422" t="s">
        <v>1366</v>
      </c>
      <c r="B115" s="373" t="s">
        <v>413</v>
      </c>
      <c r="C115" s="394">
        <f ca="1">ROUND(IF(C113&lt;=0,0,IF(C114&gt;=200%,C113*60%-C104*35%,IF(C114&gt;=100%,C113*50%-C104*15%,IF(C114&gt;=50%,C113*40%-C104*5%,IF(C114&lt;50%,C113*30%,0))))),0)</f>
        <v>1956</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41" sqref="N41"/>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64115</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9331</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27441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1829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 ca="1">SUM(C10:K10)</f>
        <v>127847</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3" customFormat="1" ht="15">
      <c r="A7" s="2309" t="s">
        <v>430</v>
      </c>
      <c r="B7" s="2310" t="s">
        <v>431</v>
      </c>
      <c r="C7" s="422" t="s">
        <v>851</v>
      </c>
      <c r="D7" s="422" t="s">
        <v>3557</v>
      </c>
      <c r="E7" s="422" t="s">
        <v>3497</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23935</v>
      </c>
      <c r="D8" s="2311">
        <f ca="1">不动产收益法!B3</f>
        <v>5187</v>
      </c>
      <c r="E8" s="2311">
        <f>'不动产比较法-车位'!B3</f>
        <v>3367</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50858.83</v>
      </c>
      <c r="D9" s="427">
        <f>SUMIF('数据-汇总表'!$C19:$C33,'剩余法-待开发'!D7,'数据-汇总表'!$E19:$E33)</f>
        <v>6934.37</v>
      </c>
      <c r="E9" s="427">
        <f>SUMIF('数据-汇总表'!$C19:$C33,'剩余法-待开发'!E7,'数据-汇总表'!$E19:$E33)</f>
        <v>7480.41</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9">
        <f>ROUND(C8*C9/10000,0)</f>
        <v>121731</v>
      </c>
      <c r="D10" s="2499">
        <f t="shared" ref="D10:E10" ca="1" si="0">ROUND(D8*D9/10000,0)</f>
        <v>3597</v>
      </c>
      <c r="E10" s="2499">
        <f t="shared" si="0"/>
        <v>2519</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6" customFormat="1" ht="13.5" customHeight="1">
      <c r="A13" s="2319" t="s">
        <v>1377</v>
      </c>
      <c r="B13" s="2320" t="s">
        <v>439</v>
      </c>
      <c r="C13" s="435">
        <f ca="1">IF(B1="",'数据-取费表'!P16,INDIRECT("'数据-取费表'!p"&amp;$K$1)+INDIRECT("'数据-取费表'!t"&amp;$K$1))</f>
        <v>28663</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860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1144</v>
      </c>
      <c r="D15" s="2321"/>
      <c r="E15" s="2322"/>
      <c r="F15" s="2326">
        <f>'数据-取费表'!B34</f>
        <v>0.05</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1374</v>
      </c>
      <c r="D16" s="2321">
        <f ca="1">IF(B1="",'数据-汇总表'!E3,INDIRECT("'数据-取费表'!K"&amp;$K$1)+INDIRECT("'数据-取费表'!S"&amp;$K$1))</f>
        <v>68710.41</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430</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32471</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206</v>
      </c>
      <c r="D19" s="2331">
        <f ca="1">D16</f>
        <v>68710.41</v>
      </c>
      <c r="E19" s="2285">
        <f>'数据-取费表'!B32</f>
        <v>30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0</v>
      </c>
      <c r="D20" s="2331"/>
      <c r="E20" s="2285"/>
      <c r="F20" s="2332"/>
      <c r="G20" s="2530" t="s">
        <v>3492</v>
      </c>
      <c r="H20" s="2287">
        <v>0</v>
      </c>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763</v>
      </c>
      <c r="D21" s="2321">
        <f ca="1">IF(B1="",'数据-汇总表'!E5,IF(INDIRECT("'数据-取费表'!c"&amp;$K$1)="住宅",INDIRECT("'数据-取费表'!k"&amp;$K$1),0))</f>
        <v>50858.83</v>
      </c>
      <c r="E21" s="51">
        <f>'数据-取费表'!B27</f>
        <v>150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339</v>
      </c>
      <c r="D22" s="2321">
        <f ca="1">IF(B1="",'数据-汇总表'!E6,IF(INDIRECT("'数据-取费表'!c"&amp;$K$1)="住宅",INDIRECT("'数据-取费表'!s"&amp;$K$1),INDIRECT("'数据-取费表'!k"&amp;$K$1)+INDIRECT("'数据-取费表'!s"&amp;$K$1)))</f>
        <v>17851.580000000002</v>
      </c>
      <c r="E22" s="51">
        <f>'数据-取费表'!B28</f>
        <v>190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3" t="s">
        <v>2109</v>
      </c>
      <c r="C23" s="2329">
        <f ca="1">ROUND((C18+C19+C20)*F23,0)</f>
        <v>654</v>
      </c>
      <c r="D23" s="453"/>
      <c r="E23" s="453"/>
      <c r="F23" s="2333">
        <f>'数据-取费表'!B37</f>
        <v>0.02</v>
      </c>
      <c r="G23" s="2289" t="s">
        <v>1782</v>
      </c>
      <c r="H23" s="2290"/>
      <c r="I23" s="2290"/>
      <c r="J23" s="2290"/>
      <c r="K23" s="2291"/>
      <c r="L23" s="2939"/>
      <c r="M23" s="2939"/>
      <c r="N23" s="2939"/>
      <c r="O23" s="1837"/>
      <c r="P23" s="1837"/>
      <c r="Q23" s="1837"/>
      <c r="R23" s="1837"/>
      <c r="S23" s="1837"/>
      <c r="T23" s="1837"/>
      <c r="U23" s="1837"/>
      <c r="V23" s="1837"/>
      <c r="W23" s="1837"/>
      <c r="X23" s="1837"/>
      <c r="Y23" s="1837"/>
      <c r="Z23" s="1837"/>
    </row>
    <row r="24" spans="1:26" s="1836" customFormat="1" ht="13.5" customHeight="1">
      <c r="A24" s="2327" t="s">
        <v>1388</v>
      </c>
      <c r="B24" s="2503" t="s">
        <v>2112</v>
      </c>
      <c r="C24" s="2329">
        <f ca="1">ROUND(C6*F24,0)</f>
        <v>2557</v>
      </c>
      <c r="D24" s="460"/>
      <c r="E24" s="458"/>
      <c r="F24" s="2333">
        <f>'数据-取费表'!B38</f>
        <v>0.02</v>
      </c>
      <c r="G24" s="2298" t="s">
        <v>459</v>
      </c>
      <c r="H24" s="2292"/>
      <c r="I24" s="2292"/>
      <c r="J24" s="2292"/>
      <c r="K24" s="269"/>
      <c r="L24" s="2939"/>
      <c r="M24" s="2939"/>
      <c r="N24" s="2939"/>
      <c r="O24" s="1837"/>
      <c r="P24" s="1837"/>
      <c r="Q24" s="1837"/>
      <c r="R24" s="1837"/>
      <c r="S24" s="1837"/>
      <c r="T24" s="1837"/>
      <c r="U24" s="1837"/>
      <c r="V24" s="1837"/>
      <c r="W24" s="1837"/>
      <c r="X24" s="1837"/>
      <c r="Y24" s="1837"/>
      <c r="Z24" s="1837"/>
    </row>
    <row r="25" spans="1:26" s="1839" customFormat="1" ht="13.5" customHeight="1">
      <c r="A25" s="2327" t="s">
        <v>1389</v>
      </c>
      <c r="B25" s="2503"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8" customFormat="1" ht="13.5" customHeight="1">
      <c r="A26" s="2327" t="s">
        <v>1390</v>
      </c>
      <c r="B26" s="2504" t="s">
        <v>2111</v>
      </c>
      <c r="C26" s="2334">
        <f ca="1">C28</f>
        <v>1274</v>
      </c>
      <c r="D26" s="452">
        <f ca="1">C27</f>
        <v>7.4399999999999994E-2</v>
      </c>
      <c r="E26" s="454" t="s">
        <v>455</v>
      </c>
      <c r="F26" s="456">
        <f ca="1">'数据-取费表'!B40</f>
        <v>3.5499999999999997E-2</v>
      </c>
      <c r="G26" s="2185"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0" customFormat="1" ht="13.5" customHeight="1">
      <c r="A27" s="768" t="s">
        <v>1385</v>
      </c>
      <c r="B27" s="2335" t="s">
        <v>456</v>
      </c>
      <c r="C27" s="2336">
        <f ca="1">ROUND(IF('数据-取费表'!B22&lt;=1,(1+C25)*F26*'数据-取费表'!B24,(1+C25)*(POWER((1+F26),'数据-取费表'!B24)-1)),4)</f>
        <v>7.4399999999999994E-2</v>
      </c>
      <c r="D27" s="457"/>
      <c r="E27" s="458"/>
      <c r="F27" s="459"/>
      <c r="G27" s="2185" t="str">
        <f>IF('数据-取费表'!B22&lt;=1,"（1+取得税费率/(1+5%)）×年利率×建设期","（1+取得税费率）/(1+5%)×((1+年利率)^建设期-1)")</f>
        <v>（1+取得税费率）/(1+5%)×((1+年利率)^建设期-1)</v>
      </c>
      <c r="H27" s="2292"/>
      <c r="I27" s="2292"/>
      <c r="J27" s="2292"/>
      <c r="K27" s="269"/>
      <c r="L27" s="2941"/>
      <c r="M27" s="2941"/>
      <c r="N27" s="2941"/>
      <c r="O27" s="2941"/>
      <c r="P27" s="2941"/>
      <c r="Q27" s="2941"/>
      <c r="R27" s="2941"/>
      <c r="S27" s="2941"/>
      <c r="T27" s="2941"/>
      <c r="U27" s="2941"/>
      <c r="V27" s="2941"/>
      <c r="W27" s="2941"/>
      <c r="X27" s="2941"/>
      <c r="Y27" s="2941"/>
      <c r="Z27" s="2941"/>
    </row>
    <row r="28" spans="1:26" s="1840" customFormat="1" ht="13.5" customHeight="1">
      <c r="A28" s="768" t="s">
        <v>1386</v>
      </c>
      <c r="B28" s="2335" t="s">
        <v>2113</v>
      </c>
      <c r="C28" s="2337">
        <f ca="1">ROUND(IF('数据-取费表'!B22&lt;=1,(C18+C19+C20+C23+C24)*F26*'数据-取费表'!B24/2,(C18+C19+C20+C23+C24)*(POWER((1+F26),'数据-取费表'!B24/2)-1)),0)</f>
        <v>1274</v>
      </c>
      <c r="D28" s="457"/>
      <c r="E28" s="458"/>
      <c r="F28" s="459"/>
      <c r="G28" s="2185" t="str">
        <f>IF('数据-取费表'!B22&lt;=1,"（1）-（4）项×年利率×建设期÷2","（1）-（4）项×((1+年利率)^(建设期÷2)-1)")</f>
        <v>（1）-（4）项×((1+年利率)^(建设期÷2)-1)</v>
      </c>
      <c r="H28" s="2292"/>
      <c r="I28" s="2292"/>
      <c r="J28" s="2292"/>
      <c r="K28" s="269"/>
      <c r="L28" s="2941"/>
      <c r="M28" s="2941"/>
      <c r="N28" s="2941"/>
      <c r="O28" s="2941"/>
      <c r="P28" s="2941"/>
      <c r="Q28" s="2941"/>
      <c r="R28" s="2941"/>
      <c r="S28" s="2941"/>
      <c r="T28" s="2941"/>
      <c r="U28" s="2941"/>
      <c r="V28" s="2941"/>
      <c r="W28" s="2941"/>
      <c r="X28" s="2941"/>
      <c r="Y28" s="2941"/>
      <c r="Z28" s="2941"/>
    </row>
    <row r="29" spans="1:26" s="1840" customFormat="1" ht="13.5" customHeight="1">
      <c r="A29" s="2338" t="s">
        <v>1391</v>
      </c>
      <c r="B29" s="2328" t="s">
        <v>457</v>
      </c>
      <c r="C29" s="2329">
        <f ca="1">ROUND(C6*F29/(1+'数据-取费表'!C42),0)</f>
        <v>6697</v>
      </c>
      <c r="D29" s="453"/>
      <c r="E29" s="453"/>
      <c r="F29" s="2505">
        <f>'数据-取费表'!B41</f>
        <v>5.5000000000000007E-2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1" customFormat="1" ht="13.5" customHeight="1">
      <c r="A30" s="1439" t="s">
        <v>1392</v>
      </c>
      <c r="B30" s="2339" t="s">
        <v>460</v>
      </c>
      <c r="C30" s="2334">
        <f ca="1">C31</f>
        <v>43859</v>
      </c>
      <c r="D30" s="462">
        <f ca="1">C32</f>
        <v>0.10340000000000001</v>
      </c>
      <c r="E30" s="454" t="s">
        <v>455</v>
      </c>
      <c r="F30" s="456"/>
      <c r="G30" s="2297" t="s">
        <v>2220</v>
      </c>
      <c r="H30" s="2290"/>
      <c r="I30" s="2290"/>
      <c r="J30" s="2290"/>
      <c r="K30" s="2291"/>
      <c r="L30" s="2942"/>
      <c r="M30" s="2942"/>
      <c r="N30" s="2942"/>
      <c r="O30" s="2942"/>
      <c r="P30" s="2942"/>
      <c r="Q30" s="2942"/>
      <c r="R30" s="2942"/>
      <c r="S30" s="2942"/>
      <c r="T30" s="2942"/>
      <c r="U30" s="2942"/>
      <c r="V30" s="2942"/>
      <c r="W30" s="2942"/>
      <c r="X30" s="2942"/>
      <c r="Y30" s="2942"/>
      <c r="Z30" s="2942"/>
    </row>
    <row r="31" spans="1:26" s="1840" customFormat="1" ht="13.5" customHeight="1">
      <c r="A31" s="768" t="s">
        <v>1385</v>
      </c>
      <c r="B31" s="2335"/>
      <c r="C31" s="435">
        <f ca="1">C18+C19+C20+C23+C24+C26+C29</f>
        <v>43859</v>
      </c>
      <c r="D31" s="457"/>
      <c r="E31" s="458"/>
      <c r="F31" s="459"/>
      <c r="G31" s="251"/>
      <c r="H31" s="2292"/>
      <c r="I31" s="2292"/>
      <c r="J31" s="2292"/>
      <c r="K31" s="269"/>
      <c r="L31" s="2941"/>
      <c r="M31" s="2941"/>
      <c r="N31" s="2941"/>
      <c r="O31" s="2941"/>
      <c r="P31" s="2941"/>
      <c r="Q31" s="2941"/>
      <c r="R31" s="2941"/>
      <c r="S31" s="2941"/>
      <c r="T31" s="2941"/>
      <c r="U31" s="2941"/>
      <c r="V31" s="2941"/>
      <c r="W31" s="2941"/>
      <c r="X31" s="2941"/>
      <c r="Y31" s="2941"/>
      <c r="Z31" s="2941"/>
    </row>
    <row r="32" spans="1:26" s="1840" customFormat="1" ht="13.5" customHeight="1">
      <c r="A32" s="768" t="s">
        <v>1386</v>
      </c>
      <c r="B32" s="2335"/>
      <c r="C32" s="51">
        <f ca="1">ROUND(C25+D26,4)</f>
        <v>0.10340000000000001</v>
      </c>
      <c r="D32" s="457"/>
      <c r="E32" s="458"/>
      <c r="F32" s="459"/>
      <c r="G32" s="251"/>
      <c r="H32" s="2292"/>
      <c r="I32" s="2292"/>
      <c r="J32" s="2292"/>
      <c r="K32" s="269"/>
      <c r="L32" s="2941"/>
      <c r="M32" s="2941"/>
      <c r="N32" s="2941"/>
      <c r="O32" s="2941"/>
      <c r="P32" s="2941"/>
      <c r="Q32" s="2941"/>
      <c r="R32" s="2941"/>
      <c r="S32" s="2941"/>
      <c r="T32" s="2941"/>
      <c r="U32" s="2941"/>
      <c r="V32" s="2941"/>
      <c r="W32" s="2941"/>
      <c r="X32" s="2941"/>
      <c r="Y32" s="2941"/>
      <c r="Z32" s="2941"/>
    </row>
    <row r="33" spans="1:26" s="1842" customFormat="1" ht="13.5" customHeight="1">
      <c r="A33" s="2502" t="s">
        <v>2108</v>
      </c>
      <c r="B33" s="2500" t="s">
        <v>2106</v>
      </c>
      <c r="C33" s="463">
        <f ca="1">C35</f>
        <v>4665</v>
      </c>
      <c r="D33" s="452">
        <f ca="1">C34</f>
        <v>0.1338</v>
      </c>
      <c r="E33" s="454" t="s">
        <v>455</v>
      </c>
      <c r="F33" s="464">
        <f ca="1">IF(B1="",'数据-取费表'!Q16,INDIRECT("'数据-取费表'!q"&amp;$K$1))</f>
        <v>0.13</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3" customFormat="1" ht="13.5" customHeight="1">
      <c r="A34" s="361" t="s">
        <v>1385</v>
      </c>
      <c r="B34" s="2340" t="s">
        <v>461</v>
      </c>
      <c r="C34" s="457">
        <f ca="1">ROUND((1+C25)*F33,4)</f>
        <v>0.1338</v>
      </c>
      <c r="D34" s="457"/>
      <c r="E34" s="458"/>
      <c r="F34" s="465"/>
      <c r="G34" s="251" t="s">
        <v>1648</v>
      </c>
      <c r="H34" s="2292"/>
      <c r="I34" s="2292"/>
      <c r="J34" s="2292"/>
      <c r="K34" s="269"/>
      <c r="L34" s="2944"/>
      <c r="M34" s="2944"/>
      <c r="N34" s="2944"/>
      <c r="O34" s="2944"/>
      <c r="P34" s="2944"/>
      <c r="Q34" s="2944"/>
      <c r="R34" s="2944"/>
      <c r="S34" s="2944"/>
      <c r="T34" s="2944"/>
      <c r="U34" s="2944"/>
      <c r="V34" s="2944"/>
      <c r="W34" s="2944"/>
      <c r="X34" s="2944"/>
      <c r="Y34" s="2944"/>
      <c r="Z34" s="2944"/>
    </row>
    <row r="35" spans="1:26" s="1843" customFormat="1" ht="13.5" customHeight="1" thickBot="1">
      <c r="A35" s="1440" t="s">
        <v>1386</v>
      </c>
      <c r="B35" s="2501" t="s">
        <v>2114</v>
      </c>
      <c r="C35" s="1432">
        <f ca="1">ROUND((C18+C19+C20+C23+C24)*F33,0)</f>
        <v>4665</v>
      </c>
      <c r="D35" s="1433"/>
      <c r="E35" s="2341"/>
      <c r="F35" s="1434"/>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5" customFormat="1" ht="13.5" customHeight="1" thickBot="1">
      <c r="A36" s="274" t="s">
        <v>1373</v>
      </c>
      <c r="B36" s="2303"/>
      <c r="C36" s="2342">
        <f ca="1">ROUND((C6-C30-C33)/(1+D30+D33),0)</f>
        <v>64115</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5" customFormat="1">
      <c r="A37" s="2945"/>
      <c r="C37" s="2946"/>
      <c r="E37" s="2945"/>
    </row>
    <row r="38" spans="1:26" s="1835" customFormat="1" ht="12.75" customHeight="1">
      <c r="A38" s="2945"/>
      <c r="C38" s="2946"/>
      <c r="E38" s="2945"/>
    </row>
    <row r="39" spans="1:26" s="1835" customFormat="1">
      <c r="A39" s="2945"/>
      <c r="C39" s="2946"/>
      <c r="E39" s="2945"/>
    </row>
    <row r="40" spans="1:26" s="1835" customFormat="1">
      <c r="A40" s="2945"/>
      <c r="C40" s="2946"/>
      <c r="E40" s="2945"/>
    </row>
    <row r="41" spans="1:26" s="1835" customFormat="1">
      <c r="A41" s="2945"/>
      <c r="C41" s="2946"/>
      <c r="E41" s="2945"/>
    </row>
    <row r="42" spans="1:26" s="1835" customFormat="1">
      <c r="A42" s="2945"/>
      <c r="C42" s="2946"/>
      <c r="E42" s="2945"/>
    </row>
    <row r="43" spans="1:26" s="1835" customFormat="1">
      <c r="A43" s="2945"/>
      <c r="C43" s="2946"/>
      <c r="E43" s="2945"/>
    </row>
    <row r="44" spans="1:26" s="1835" customFormat="1">
      <c r="A44" s="2945"/>
      <c r="C44" s="2946"/>
      <c r="E44" s="2945"/>
    </row>
    <row r="45" spans="1:26" s="1835" customFormat="1">
      <c r="A45" s="2945"/>
      <c r="C45" s="2946"/>
      <c r="E45" s="2945"/>
    </row>
    <row r="46" spans="1:26" s="1835" customFormat="1">
      <c r="A46" s="2945"/>
      <c r="C46" s="2946"/>
      <c r="E46" s="2945"/>
    </row>
    <row r="47" spans="1:26" s="1835" customFormat="1">
      <c r="A47" s="2945"/>
      <c r="C47" s="2946"/>
      <c r="E47" s="2945"/>
    </row>
    <row r="48" spans="1:26"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row r="212" spans="1:5" s="1835" customFormat="1">
      <c r="A212" s="2945"/>
      <c r="C212" s="2946"/>
      <c r="E212" s="2945"/>
    </row>
    <row r="213" spans="1:5" s="1835" customFormat="1">
      <c r="A213" s="2945"/>
      <c r="C213" s="2946"/>
      <c r="E213" s="2945"/>
    </row>
    <row r="214" spans="1:5" s="1835" customFormat="1">
      <c r="A214" s="2945"/>
      <c r="C214" s="2946"/>
      <c r="E214" s="2945"/>
    </row>
    <row r="215" spans="1:5" s="1835" customFormat="1">
      <c r="A215" s="2945"/>
      <c r="C215" s="2946"/>
      <c r="E215" s="2945"/>
    </row>
    <row r="216" spans="1:5" s="1835" customFormat="1">
      <c r="A216" s="2945"/>
      <c r="C216" s="2946"/>
      <c r="E216" s="2945"/>
    </row>
    <row r="217" spans="1:5" s="1835" customFormat="1">
      <c r="A217" s="2945"/>
      <c r="C217" s="2946"/>
      <c r="E217" s="2945"/>
    </row>
    <row r="218" spans="1:5" s="1835" customFormat="1">
      <c r="A218" s="2945"/>
      <c r="C218" s="2946"/>
      <c r="E218" s="2945"/>
    </row>
    <row r="219" spans="1:5" s="1835" customFormat="1">
      <c r="A219" s="2945"/>
      <c r="C219" s="2946"/>
      <c r="E219" s="2945"/>
    </row>
    <row r="220" spans="1:5" s="1835" customFormat="1">
      <c r="A220" s="2945"/>
      <c r="C220" s="2946"/>
      <c r="E220" s="2945"/>
    </row>
    <row r="221" spans="1:5" s="1835" customFormat="1">
      <c r="A221" s="2945"/>
      <c r="C221" s="2946"/>
      <c r="E221" s="2945"/>
    </row>
    <row r="222" spans="1:5" s="1835" customFormat="1">
      <c r="A222" s="2945"/>
      <c r="C222" s="2946"/>
      <c r="E222" s="2945"/>
    </row>
    <row r="223" spans="1:5" s="1835" customFormat="1">
      <c r="A223" s="2945"/>
      <c r="C223" s="2946"/>
      <c r="E223" s="2945"/>
    </row>
    <row r="224" spans="1:5" s="1835" customFormat="1">
      <c r="A224" s="2945"/>
      <c r="C224" s="2946"/>
      <c r="E224" s="2945"/>
    </row>
    <row r="225" spans="1:5" s="1835" customFormat="1">
      <c r="A225" s="2945"/>
      <c r="C225" s="2946"/>
      <c r="E225" s="2945"/>
    </row>
    <row r="226" spans="1:5" s="1835" customFormat="1">
      <c r="A226" s="2945"/>
      <c r="C226" s="2946"/>
      <c r="E226" s="2945"/>
    </row>
    <row r="227" spans="1:5" s="1835" customFormat="1">
      <c r="A227" s="2945"/>
      <c r="C227" s="2946"/>
      <c r="E227" s="2945"/>
    </row>
    <row r="228" spans="1:5" s="1835" customFormat="1">
      <c r="A228" s="2945"/>
      <c r="C228" s="2946"/>
      <c r="E228" s="2945"/>
    </row>
    <row r="229" spans="1:5" s="1835" customFormat="1">
      <c r="A229" s="2945"/>
      <c r="C229" s="2946"/>
      <c r="E229" s="2945"/>
    </row>
    <row r="230" spans="1:5" s="1835" customFormat="1">
      <c r="A230" s="2945"/>
      <c r="C230" s="2946"/>
      <c r="E230" s="2945"/>
    </row>
    <row r="231" spans="1:5" s="1835" customFormat="1">
      <c r="A231" s="2945"/>
      <c r="C231" s="2946"/>
      <c r="E231" s="2945"/>
    </row>
    <row r="232" spans="1:5" s="1835" customFormat="1">
      <c r="A232" s="2945"/>
      <c r="C232" s="2946"/>
      <c r="E232" s="2945"/>
    </row>
    <row r="233" spans="1:5" s="1835" customFormat="1">
      <c r="A233" s="2945"/>
      <c r="C233" s="2946"/>
      <c r="E233" s="2945"/>
    </row>
    <row r="234" spans="1:5" s="1835" customFormat="1">
      <c r="A234" s="2945"/>
      <c r="C234" s="2946"/>
      <c r="E234" s="2945"/>
    </row>
    <row r="235" spans="1:5" s="1835" customFormat="1">
      <c r="A235" s="2945"/>
      <c r="C235" s="2946"/>
      <c r="E235" s="2945"/>
    </row>
    <row r="236" spans="1:5" s="1835" customFormat="1">
      <c r="A236" s="2945"/>
      <c r="C236" s="2946"/>
      <c r="E236" s="2945"/>
    </row>
    <row r="237" spans="1:5" s="1835" customFormat="1">
      <c r="A237" s="2945"/>
      <c r="C237" s="2946"/>
      <c r="E237" s="2945"/>
    </row>
    <row r="238" spans="1:5" s="1835" customFormat="1">
      <c r="A238" s="2945"/>
      <c r="C238" s="2946"/>
      <c r="E238" s="2945"/>
    </row>
    <row r="239" spans="1:5" s="1835" customFormat="1">
      <c r="A239" s="2945"/>
      <c r="C239" s="2946"/>
      <c r="E239" s="2945"/>
    </row>
    <row r="240" spans="1:5" s="1835" customFormat="1">
      <c r="A240" s="2945"/>
      <c r="C240" s="2946"/>
      <c r="E240" s="2945"/>
    </row>
    <row r="241" spans="1:5" s="1835" customFormat="1">
      <c r="A241" s="2945"/>
      <c r="C241" s="2946"/>
      <c r="E241" s="2945"/>
    </row>
    <row r="242" spans="1:5" s="1835" customFormat="1">
      <c r="A242" s="2945"/>
      <c r="C242" s="2946"/>
      <c r="E242" s="2945"/>
    </row>
    <row r="243" spans="1:5" s="1835" customFormat="1">
      <c r="A243" s="2945"/>
      <c r="C243" s="2946"/>
      <c r="E243" s="2945"/>
    </row>
    <row r="244" spans="1:5" s="1835" customFormat="1">
      <c r="A244" s="2945"/>
      <c r="C244" s="2946"/>
      <c r="E244" s="2945"/>
    </row>
    <row r="245" spans="1:5" s="1835" customFormat="1">
      <c r="A245" s="2945"/>
      <c r="C245" s="2946"/>
      <c r="E245" s="2945"/>
    </row>
    <row r="246" spans="1:5" s="1835" customFormat="1">
      <c r="A246" s="2945"/>
      <c r="C246" s="2946"/>
      <c r="E246" s="2945"/>
    </row>
    <row r="247" spans="1:5" s="1835" customFormat="1">
      <c r="A247" s="2945"/>
      <c r="C247" s="2946"/>
      <c r="E247" s="2945"/>
    </row>
    <row r="248" spans="1:5" s="1835" customFormat="1">
      <c r="A248" s="2945"/>
      <c r="C248" s="2946"/>
      <c r="E248" s="2945"/>
    </row>
    <row r="249" spans="1:5" s="1835" customFormat="1">
      <c r="A249" s="2945"/>
      <c r="C249" s="2946"/>
      <c r="E249" s="2945"/>
    </row>
    <row r="250" spans="1:5" s="1835" customFormat="1">
      <c r="A250" s="2945"/>
      <c r="C250" s="2946"/>
      <c r="E250" s="2945"/>
    </row>
    <row r="251" spans="1:5" s="1835" customFormat="1">
      <c r="A251" s="2945"/>
      <c r="C251" s="2946"/>
      <c r="E251" s="2945"/>
    </row>
    <row r="252" spans="1:5" s="1835" customFormat="1">
      <c r="A252" s="2945"/>
      <c r="C252" s="2946"/>
      <c r="E252" s="2945"/>
    </row>
    <row r="253" spans="1:5" s="1835" customFormat="1">
      <c r="A253" s="2945"/>
      <c r="C253" s="2946"/>
      <c r="E253" s="2945"/>
    </row>
    <row r="254" spans="1:5" s="1835" customFormat="1">
      <c r="A254" s="2945"/>
      <c r="C254" s="2946"/>
      <c r="E254" s="2945"/>
    </row>
    <row r="255" spans="1:5" s="1835" customFormat="1">
      <c r="A255" s="2945"/>
      <c r="C255" s="2946"/>
      <c r="E255" s="2945"/>
    </row>
    <row r="256" spans="1:5" s="1835" customFormat="1">
      <c r="A256" s="2945"/>
      <c r="C256" s="2946"/>
      <c r="E256" s="2945"/>
    </row>
    <row r="257" spans="1:5" s="1835" customFormat="1">
      <c r="A257" s="2945"/>
      <c r="C257" s="2946"/>
      <c r="E257" s="2945"/>
    </row>
    <row r="258" spans="1:5" s="1835" customFormat="1">
      <c r="A258" s="2945"/>
      <c r="C258" s="2946"/>
      <c r="E258" s="2945"/>
    </row>
    <row r="259" spans="1:5" s="1835" customFormat="1">
      <c r="A259" s="2945"/>
      <c r="C259" s="2946"/>
      <c r="E259" s="2945"/>
    </row>
    <row r="260" spans="1:5" s="1835" customFormat="1">
      <c r="A260" s="2945"/>
      <c r="C260" s="2946"/>
      <c r="E260" s="2945"/>
    </row>
    <row r="261" spans="1:5" s="1835" customFormat="1">
      <c r="A261" s="2945"/>
      <c r="C261" s="2946"/>
      <c r="E261" s="2945"/>
    </row>
    <row r="262" spans="1:5" s="1835" customFormat="1">
      <c r="A262" s="2945"/>
      <c r="C262" s="2946"/>
      <c r="E262" s="2945"/>
    </row>
    <row r="263" spans="1:5" s="1835" customFormat="1">
      <c r="A263" s="2945"/>
      <c r="C263" s="2946"/>
      <c r="E263" s="2945"/>
    </row>
    <row r="264" spans="1:5" s="1835" customFormat="1">
      <c r="A264" s="2945"/>
      <c r="C264" s="2946"/>
      <c r="E264" s="2945"/>
    </row>
    <row r="265" spans="1:5" s="1835" customFormat="1">
      <c r="A265" s="2945"/>
      <c r="C265" s="2946"/>
      <c r="E265" s="2945"/>
    </row>
    <row r="266" spans="1:5" s="1835" customFormat="1">
      <c r="A266" s="2945"/>
      <c r="C266" s="2946"/>
      <c r="E266" s="2945"/>
    </row>
    <row r="267" spans="1:5" s="1835" customFormat="1">
      <c r="A267" s="2945"/>
      <c r="C267" s="2946"/>
      <c r="E267" s="2945"/>
    </row>
    <row r="268" spans="1:5" s="1835" customFormat="1">
      <c r="A268" s="2945"/>
      <c r="C268" s="2946"/>
      <c r="E268" s="2945"/>
    </row>
    <row r="269" spans="1:5" s="1835" customFormat="1">
      <c r="A269" s="2945"/>
      <c r="C269" s="2946"/>
      <c r="E269" s="2945"/>
    </row>
    <row r="270" spans="1:5" s="1835" customFormat="1">
      <c r="A270" s="2945"/>
      <c r="C270" s="2946"/>
      <c r="E270" s="2945"/>
    </row>
    <row r="271" spans="1:5" s="1835" customFormat="1">
      <c r="A271" s="2945"/>
      <c r="C271" s="2946"/>
      <c r="E271" s="2945"/>
    </row>
    <row r="272" spans="1:5" s="1835" customFormat="1">
      <c r="A272" s="2945"/>
      <c r="C272" s="2946"/>
      <c r="E272" s="2945"/>
    </row>
    <row r="273" spans="1:5" s="1835" customFormat="1">
      <c r="A273" s="2945"/>
      <c r="C273" s="2946"/>
      <c r="E273" s="2945"/>
    </row>
    <row r="274" spans="1:5" s="1835" customFormat="1">
      <c r="A274" s="2945"/>
      <c r="C274" s="2946"/>
      <c r="E274" s="2945"/>
    </row>
    <row r="275" spans="1:5" s="1835" customFormat="1">
      <c r="A275" s="2945"/>
      <c r="C275" s="2946"/>
      <c r="E275" s="2945"/>
    </row>
    <row r="276" spans="1:5" s="1835" customFormat="1">
      <c r="A276" s="2945"/>
      <c r="C276" s="2946"/>
      <c r="E276" s="2945"/>
    </row>
    <row r="277" spans="1:5" s="1835" customFormat="1">
      <c r="A277" s="2945"/>
      <c r="C277" s="2946"/>
      <c r="E277" s="2945"/>
    </row>
    <row r="278" spans="1:5" s="1835" customFormat="1">
      <c r="A278" s="2945"/>
      <c r="C278" s="2946"/>
      <c r="E278" s="2945"/>
    </row>
    <row r="279" spans="1:5" s="1835" customFormat="1">
      <c r="A279" s="2945"/>
      <c r="C279" s="2946"/>
      <c r="E279" s="2945"/>
    </row>
    <row r="280" spans="1:5" s="1835" customFormat="1">
      <c r="A280" s="2945"/>
      <c r="C280" s="2946"/>
      <c r="E280" s="2945"/>
    </row>
    <row r="281" spans="1:5" s="1835" customFormat="1">
      <c r="A281" s="2945"/>
      <c r="C281" s="2946"/>
      <c r="E281" s="2945"/>
    </row>
    <row r="282" spans="1:5" s="1835" customFormat="1">
      <c r="A282" s="2945"/>
      <c r="C282" s="2946"/>
      <c r="E282" s="2945"/>
    </row>
    <row r="283" spans="1:5" s="1835" customFormat="1">
      <c r="A283" s="2945"/>
      <c r="C283" s="2946"/>
      <c r="E283" s="2945"/>
    </row>
    <row r="284" spans="1:5" s="1835" customFormat="1">
      <c r="A284" s="2945"/>
      <c r="C284" s="2946"/>
      <c r="E284" s="2945"/>
    </row>
    <row r="285" spans="1:5" s="1835" customFormat="1">
      <c r="A285" s="2945"/>
      <c r="C285" s="2946"/>
      <c r="E285" s="2945"/>
    </row>
    <row r="286" spans="1:5" s="1835" customFormat="1">
      <c r="A286" s="2945"/>
      <c r="C286" s="2946"/>
      <c r="E286" s="2945"/>
    </row>
    <row r="287" spans="1:5" s="1835" customFormat="1">
      <c r="A287" s="2945"/>
      <c r="C287" s="2946"/>
      <c r="E287" s="2945"/>
    </row>
    <row r="288" spans="1:5" s="1835" customFormat="1">
      <c r="A288" s="2945"/>
      <c r="C288" s="2946"/>
      <c r="E288" s="2945"/>
    </row>
    <row r="289" spans="1:5" s="1835" customFormat="1">
      <c r="A289" s="2945"/>
      <c r="C289" s="2946"/>
      <c r="E289" s="2945"/>
    </row>
    <row r="290" spans="1:5" s="1835" customFormat="1">
      <c r="A290" s="2945"/>
      <c r="C290" s="2946"/>
      <c r="E290" s="2945"/>
    </row>
    <row r="291" spans="1:5" s="1835" customFormat="1">
      <c r="A291" s="2945"/>
      <c r="C291" s="2946"/>
      <c r="E291" s="2945"/>
    </row>
    <row r="292" spans="1:5" s="1835" customFormat="1">
      <c r="A292" s="2945"/>
      <c r="C292" s="2946"/>
      <c r="E292" s="2945"/>
    </row>
    <row r="293" spans="1:5" s="1835" customFormat="1">
      <c r="A293" s="2945"/>
      <c r="C293" s="2946"/>
      <c r="E293" s="2945"/>
    </row>
    <row r="294" spans="1:5" s="1835" customFormat="1">
      <c r="A294" s="2945"/>
      <c r="C294" s="2946"/>
      <c r="E294" s="2945"/>
    </row>
    <row r="295" spans="1:5" s="1835" customFormat="1">
      <c r="A295" s="2945"/>
      <c r="C295" s="2946"/>
      <c r="E295" s="2945"/>
    </row>
    <row r="296" spans="1:5" s="1835" customFormat="1">
      <c r="A296" s="2945"/>
      <c r="C296" s="2946"/>
      <c r="E296" s="2945"/>
    </row>
    <row r="297" spans="1:5" s="1835" customFormat="1">
      <c r="A297" s="2945"/>
      <c r="C297" s="2946"/>
      <c r="E297" s="2945"/>
    </row>
    <row r="298" spans="1:5" s="1835" customFormat="1">
      <c r="A298" s="2945"/>
      <c r="C298" s="2946"/>
      <c r="E298" s="2945"/>
    </row>
    <row r="299" spans="1:5" s="1835" customFormat="1">
      <c r="A299" s="2945"/>
      <c r="C299" s="2946"/>
      <c r="E299" s="2945"/>
    </row>
    <row r="300" spans="1:5" s="1835" customFormat="1">
      <c r="A300" s="2945"/>
      <c r="C300" s="2946"/>
      <c r="E300" s="2945"/>
    </row>
    <row r="301" spans="1:5" s="1835" customFormat="1">
      <c r="A301" s="2945"/>
      <c r="C301" s="2946"/>
      <c r="E301" s="2945"/>
    </row>
    <row r="302" spans="1:5" s="1835" customFormat="1">
      <c r="A302" s="2945"/>
      <c r="C302" s="2946"/>
      <c r="E302" s="2945"/>
    </row>
    <row r="303" spans="1:5" s="1835" customFormat="1">
      <c r="A303" s="2945"/>
      <c r="C303" s="2946"/>
      <c r="E303" s="2945"/>
    </row>
    <row r="304" spans="1:5" s="1835" customFormat="1">
      <c r="A304" s="2945"/>
      <c r="C304" s="2946"/>
      <c r="E304" s="2945"/>
    </row>
    <row r="305" spans="1:5" s="1835" customFormat="1">
      <c r="A305" s="2945"/>
      <c r="C305" s="2946"/>
      <c r="E305" s="2945"/>
    </row>
    <row r="306" spans="1:5" s="1835" customFormat="1">
      <c r="A306" s="2945"/>
      <c r="C306" s="2946"/>
      <c r="E306" s="2945"/>
    </row>
    <row r="307" spans="1:5" s="1835" customFormat="1">
      <c r="A307" s="2945"/>
      <c r="C307" s="2946"/>
      <c r="E307" s="2945"/>
    </row>
    <row r="308" spans="1:5" s="1835" customFormat="1">
      <c r="A308" s="2945"/>
      <c r="C308" s="2946"/>
      <c r="E308" s="2945"/>
    </row>
    <row r="309" spans="1:5" s="1835" customFormat="1">
      <c r="A309" s="2945"/>
      <c r="C309" s="2946"/>
      <c r="E309" s="2945"/>
    </row>
    <row r="310" spans="1:5" s="1835" customFormat="1">
      <c r="A310" s="2945"/>
      <c r="C310" s="2946"/>
      <c r="E310" s="2945"/>
    </row>
    <row r="311" spans="1:5" s="1835" customFormat="1">
      <c r="A311" s="2945"/>
      <c r="C311" s="2946"/>
      <c r="E311" s="2945"/>
    </row>
    <row r="312" spans="1:5" s="1835" customFormat="1">
      <c r="A312" s="2945"/>
      <c r="C312" s="2946"/>
      <c r="E312" s="2945"/>
    </row>
    <row r="313" spans="1:5" s="1835" customFormat="1">
      <c r="A313" s="2945"/>
      <c r="C313" s="2946"/>
      <c r="E313" s="2945"/>
    </row>
    <row r="314" spans="1:5" s="1835" customFormat="1">
      <c r="A314" s="2945"/>
      <c r="C314" s="2946"/>
      <c r="E314" s="2945"/>
    </row>
    <row r="315" spans="1:5" s="1835" customFormat="1">
      <c r="A315" s="2945"/>
      <c r="C315" s="2946"/>
      <c r="E315" s="2945"/>
    </row>
    <row r="316" spans="1:5" s="1835" customFormat="1">
      <c r="A316" s="2945"/>
      <c r="C316" s="2946"/>
      <c r="E316" s="2945"/>
    </row>
    <row r="317" spans="1:5" s="1835" customFormat="1">
      <c r="A317" s="2945"/>
      <c r="C317" s="2946"/>
      <c r="E317" s="2945"/>
    </row>
    <row r="318" spans="1:5" s="1835" customFormat="1">
      <c r="A318" s="2945"/>
      <c r="C318" s="2946"/>
      <c r="E318" s="2945"/>
    </row>
    <row r="319" spans="1:5" s="1835" customFormat="1">
      <c r="A319" s="2945"/>
      <c r="C319" s="2946"/>
      <c r="E319" s="2945"/>
    </row>
    <row r="320" spans="1:5" s="1835" customFormat="1">
      <c r="A320" s="2945"/>
      <c r="C320" s="2946"/>
      <c r="E320" s="2945"/>
    </row>
    <row r="321" spans="1:5" s="1835" customFormat="1">
      <c r="A321" s="2945"/>
      <c r="C321" s="2946"/>
      <c r="E321" s="2945"/>
    </row>
    <row r="322" spans="1:5" s="1835" customFormat="1">
      <c r="A322" s="2945"/>
      <c r="C322" s="2946"/>
      <c r="E322" s="2945"/>
    </row>
    <row r="323" spans="1:5" s="1835" customFormat="1">
      <c r="A323" s="2945"/>
      <c r="C323" s="2946"/>
      <c r="E323" s="2945"/>
    </row>
    <row r="324" spans="1:5" s="1835" customFormat="1">
      <c r="A324" s="2945"/>
      <c r="C324" s="2946"/>
      <c r="E324" s="2945"/>
    </row>
    <row r="325" spans="1:5" s="1835" customFormat="1">
      <c r="A325" s="2945"/>
      <c r="C325" s="2946"/>
      <c r="E325" s="2945"/>
    </row>
    <row r="326" spans="1:5" s="1835" customFormat="1">
      <c r="A326" s="2945"/>
      <c r="C326" s="2946"/>
      <c r="E326" s="2945"/>
    </row>
    <row r="327" spans="1:5" s="1835" customFormat="1">
      <c r="A327" s="2945"/>
      <c r="C327" s="2946"/>
      <c r="E327" s="2945"/>
    </row>
    <row r="328" spans="1:5" s="1835" customFormat="1">
      <c r="A328" s="2945"/>
      <c r="C328" s="2946"/>
      <c r="E328" s="2945"/>
    </row>
    <row r="329" spans="1:5" s="1835" customFormat="1">
      <c r="A329" s="2945"/>
      <c r="C329" s="2946"/>
      <c r="E329" s="2945"/>
    </row>
    <row r="330" spans="1:5" s="1835" customFormat="1">
      <c r="A330" s="2945"/>
      <c r="C330" s="2946"/>
      <c r="E330" s="2945"/>
    </row>
    <row r="331" spans="1:5" s="1835" customFormat="1">
      <c r="A331" s="2945"/>
      <c r="C331" s="2946"/>
      <c r="E331" s="2945"/>
    </row>
    <row r="332" spans="1:5" s="1835" customFormat="1">
      <c r="A332" s="2945"/>
      <c r="C332" s="2946"/>
      <c r="E332" s="2945"/>
    </row>
    <row r="333" spans="1:5" s="1835" customFormat="1">
      <c r="A333" s="2945"/>
      <c r="C333" s="2946"/>
      <c r="E333" s="2945"/>
    </row>
    <row r="334" spans="1:5" s="1835" customFormat="1">
      <c r="A334" s="2945"/>
      <c r="C334" s="2946"/>
      <c r="E334" s="2945"/>
    </row>
    <row r="335" spans="1:5" s="1835" customFormat="1">
      <c r="A335" s="2945"/>
      <c r="C335" s="2946"/>
      <c r="E335" s="2945"/>
    </row>
    <row r="336" spans="1:5" s="1835" customFormat="1">
      <c r="A336" s="2945"/>
      <c r="C336" s="2946"/>
      <c r="E336" s="2945"/>
    </row>
    <row r="337" spans="1:5" s="1835" customFormat="1">
      <c r="A337" s="2945"/>
      <c r="C337" s="2946"/>
      <c r="E337" s="2945"/>
    </row>
    <row r="338" spans="1:5" s="1835" customFormat="1">
      <c r="A338" s="2945"/>
      <c r="C338" s="2946"/>
      <c r="E338" s="2945"/>
    </row>
    <row r="339" spans="1:5" s="1835" customFormat="1">
      <c r="A339" s="2945"/>
      <c r="C339" s="2946"/>
      <c r="E339" s="2945"/>
    </row>
    <row r="340" spans="1:5" s="1835" customFormat="1">
      <c r="A340" s="2945"/>
      <c r="C340" s="2946"/>
      <c r="E340" s="2945"/>
    </row>
    <row r="341" spans="1:5" s="1835" customFormat="1">
      <c r="A341" s="2945"/>
      <c r="C341" s="2946"/>
      <c r="E341" s="2945"/>
    </row>
    <row r="342" spans="1:5" s="1835" customFormat="1">
      <c r="A342" s="2945"/>
      <c r="C342" s="2946"/>
      <c r="E342" s="2945"/>
    </row>
    <row r="343" spans="1:5" s="1835" customFormat="1">
      <c r="A343" s="2945"/>
      <c r="C343" s="2946"/>
      <c r="E343" s="2945"/>
    </row>
    <row r="344" spans="1:5" s="1835" customFormat="1">
      <c r="A344" s="2945"/>
      <c r="C344" s="2946"/>
      <c r="E344" s="2945"/>
    </row>
    <row r="345" spans="1:5" s="1835" customFormat="1">
      <c r="A345" s="2945"/>
      <c r="C345" s="2946"/>
      <c r="E345" s="2945"/>
    </row>
    <row r="346" spans="1:5" s="1835" customFormat="1">
      <c r="A346" s="2945"/>
      <c r="C346" s="2946"/>
      <c r="E346" s="2945"/>
    </row>
    <row r="347" spans="1:5" s="1835" customFormat="1">
      <c r="A347" s="2945"/>
      <c r="C347" s="2946"/>
      <c r="E347" s="2945"/>
    </row>
    <row r="348" spans="1:5" s="1835" customFormat="1">
      <c r="A348" s="2945"/>
      <c r="C348" s="2946"/>
      <c r="E348" s="2945"/>
    </row>
    <row r="349" spans="1:5" s="1835" customFormat="1">
      <c r="A349" s="2945"/>
      <c r="C349" s="2946"/>
      <c r="E349" s="2945"/>
    </row>
    <row r="350" spans="1:5" s="1835" customFormat="1">
      <c r="A350" s="2945"/>
      <c r="C350" s="2946"/>
      <c r="E350" s="2945"/>
    </row>
    <row r="351" spans="1:5" s="1835" customFormat="1">
      <c r="A351" s="2945"/>
      <c r="C351" s="2946"/>
      <c r="E351" s="2945"/>
    </row>
    <row r="352" spans="1:5" s="1835" customFormat="1">
      <c r="A352" s="2945"/>
      <c r="C352" s="2946"/>
      <c r="E352" s="2945"/>
    </row>
    <row r="353" spans="1:5" s="1835" customFormat="1">
      <c r="A353" s="2945"/>
      <c r="C353" s="2946"/>
      <c r="E353" s="2945"/>
    </row>
    <row r="354" spans="1:5" s="1835" customFormat="1">
      <c r="A354" s="2945"/>
      <c r="C354" s="2946"/>
      <c r="E354" s="2945"/>
    </row>
    <row r="355" spans="1:5" s="1835" customFormat="1">
      <c r="A355" s="2945"/>
      <c r="C355" s="2946"/>
      <c r="E355" s="2945"/>
    </row>
    <row r="356" spans="1:5" s="1835" customFormat="1">
      <c r="A356" s="2945"/>
      <c r="C356" s="2946"/>
      <c r="E356" s="2945"/>
    </row>
    <row r="357" spans="1:5" s="1835" customFormat="1">
      <c r="A357" s="2945"/>
      <c r="C357" s="2946"/>
      <c r="E357" s="2945"/>
    </row>
    <row r="358" spans="1:5" s="1835" customFormat="1">
      <c r="A358" s="2945"/>
      <c r="C358" s="2946"/>
      <c r="E358" s="2945"/>
    </row>
    <row r="359" spans="1:5" s="1835" customFormat="1">
      <c r="A359" s="2945"/>
      <c r="C359" s="2946"/>
      <c r="E359" s="2945"/>
    </row>
    <row r="360" spans="1:5" s="1835" customFormat="1">
      <c r="A360" s="2945"/>
      <c r="C360" s="2946"/>
      <c r="E360" s="2945"/>
    </row>
    <row r="361" spans="1:5" s="1835" customFormat="1">
      <c r="A361" s="2945"/>
      <c r="C361" s="2946"/>
      <c r="E361" s="2945"/>
    </row>
    <row r="362" spans="1:5" s="1835" customFormat="1">
      <c r="A362" s="2945"/>
      <c r="C362" s="2946"/>
      <c r="E362" s="2945"/>
    </row>
    <row r="363" spans="1:5" s="1835" customFormat="1">
      <c r="A363" s="2945"/>
      <c r="C363" s="2946"/>
      <c r="E363" s="2945"/>
    </row>
    <row r="364" spans="1:5" s="1835" customFormat="1">
      <c r="A364" s="2945"/>
      <c r="C364" s="2946"/>
      <c r="E364" s="2945"/>
    </row>
    <row r="365" spans="1:5" s="1835" customFormat="1">
      <c r="A365" s="2945"/>
      <c r="C365" s="2946"/>
      <c r="E365" s="2945"/>
    </row>
    <row r="366" spans="1:5" s="1835" customFormat="1">
      <c r="A366" s="2945"/>
      <c r="C366" s="2946"/>
      <c r="E366" s="2945"/>
    </row>
    <row r="367" spans="1:5" s="1835" customFormat="1">
      <c r="A367" s="2945"/>
      <c r="C367" s="2946"/>
      <c r="E367" s="2945"/>
    </row>
    <row r="368" spans="1:5" s="1835" customFormat="1">
      <c r="A368" s="2945"/>
      <c r="C368" s="2946"/>
      <c r="E368" s="2945"/>
    </row>
    <row r="369" spans="1:5" s="1835" customFormat="1">
      <c r="A369" s="2945"/>
      <c r="C369" s="2946"/>
      <c r="E369" s="2945"/>
    </row>
    <row r="370" spans="1:5" s="1835" customFormat="1">
      <c r="A370" s="2945"/>
      <c r="C370" s="2946"/>
      <c r="E370" s="2945"/>
    </row>
    <row r="371" spans="1:5" s="1835" customFormat="1">
      <c r="A371" s="2945"/>
      <c r="C371" s="2946"/>
      <c r="E371" s="2945"/>
    </row>
    <row r="372" spans="1:5" s="1835" customFormat="1">
      <c r="A372" s="2945"/>
      <c r="C372" s="2946"/>
      <c r="E372" s="2945"/>
    </row>
    <row r="373" spans="1:5" s="1835" customFormat="1">
      <c r="A373" s="2945"/>
      <c r="C373" s="2946"/>
      <c r="E373" s="2945"/>
    </row>
    <row r="374" spans="1:5" s="1835" customFormat="1">
      <c r="A374" s="2945"/>
      <c r="C374" s="2946"/>
      <c r="E374" s="2945"/>
    </row>
    <row r="375" spans="1:5" s="1835" customFormat="1">
      <c r="A375" s="2945"/>
      <c r="C375" s="2946"/>
      <c r="E375" s="2945"/>
    </row>
    <row r="376" spans="1:5" s="1835" customFormat="1">
      <c r="A376" s="2945"/>
      <c r="C376" s="2946"/>
      <c r="E376" s="2945"/>
    </row>
    <row r="377" spans="1:5" s="1835" customFormat="1">
      <c r="A377" s="2945"/>
      <c r="C377" s="2946"/>
      <c r="E377" s="2945"/>
    </row>
    <row r="378" spans="1:5" s="1835" customFormat="1">
      <c r="A378" s="2945"/>
      <c r="C378" s="2946"/>
      <c r="E378" s="2945"/>
    </row>
    <row r="379" spans="1:5" s="1835" customFormat="1">
      <c r="A379" s="2945"/>
      <c r="C379" s="2946"/>
      <c r="E379" s="2945"/>
    </row>
    <row r="380" spans="1:5" s="1835" customFormat="1">
      <c r="A380" s="2945"/>
      <c r="C380" s="2946"/>
      <c r="E380" s="2945"/>
    </row>
    <row r="381" spans="1:5" s="1835" customFormat="1">
      <c r="A381" s="2945"/>
      <c r="C381" s="2946"/>
      <c r="E381" s="2945"/>
    </row>
    <row r="382" spans="1:5" s="1835" customFormat="1">
      <c r="A382" s="2945"/>
      <c r="C382" s="2946"/>
      <c r="E382" s="2945"/>
    </row>
    <row r="383" spans="1:5" s="1835" customFormat="1">
      <c r="A383" s="2945"/>
      <c r="C383" s="2946"/>
      <c r="E383" s="2945"/>
    </row>
    <row r="384" spans="1:5" s="1835" customFormat="1">
      <c r="A384" s="2945"/>
      <c r="C384" s="2946"/>
      <c r="E384" s="2945"/>
    </row>
    <row r="385" spans="1:5" s="1835" customFormat="1">
      <c r="A385" s="2945"/>
      <c r="C385" s="2946"/>
      <c r="E385" s="2945"/>
    </row>
    <row r="386" spans="1:5" s="1835" customFormat="1">
      <c r="A386" s="2945"/>
      <c r="C386" s="2946"/>
      <c r="E386" s="2945"/>
    </row>
    <row r="387" spans="1:5" s="1835" customFormat="1">
      <c r="A387" s="2945"/>
      <c r="C387" s="2946"/>
      <c r="E387" s="2945"/>
    </row>
    <row r="388" spans="1:5" s="1835" customFormat="1">
      <c r="A388" s="2945"/>
      <c r="C388" s="2946"/>
      <c r="E388" s="2945"/>
    </row>
    <row r="389" spans="1:5" s="1835" customFormat="1">
      <c r="A389" s="2945"/>
      <c r="C389" s="2946"/>
      <c r="E389" s="2945"/>
    </row>
    <row r="390" spans="1:5" s="1835" customFormat="1">
      <c r="A390" s="2945"/>
      <c r="C390" s="2946"/>
      <c r="E390" s="2945"/>
    </row>
    <row r="391" spans="1:5" s="1835" customFormat="1">
      <c r="A391" s="2945"/>
      <c r="C391" s="2946"/>
      <c r="E391" s="2945"/>
    </row>
    <row r="392" spans="1:5" s="1835" customFormat="1">
      <c r="A392" s="2945"/>
      <c r="C392" s="2946"/>
      <c r="E392" s="2945"/>
    </row>
    <row r="393" spans="1:5" s="1835" customFormat="1">
      <c r="A393" s="2945"/>
      <c r="C393" s="2946"/>
      <c r="E393" s="2945"/>
    </row>
    <row r="394" spans="1:5" s="1835" customFormat="1">
      <c r="A394" s="2945"/>
      <c r="C394" s="2946"/>
      <c r="E394" s="2945"/>
    </row>
    <row r="395" spans="1:5" s="1835" customFormat="1">
      <c r="A395" s="2945"/>
      <c r="C395" s="2946"/>
      <c r="E395" s="2945"/>
    </row>
    <row r="396" spans="1:5" s="1835" customFormat="1">
      <c r="A396" s="2945"/>
      <c r="C396" s="2946"/>
      <c r="E396" s="2945"/>
    </row>
    <row r="397" spans="1:5" s="1835" customFormat="1">
      <c r="A397" s="2945"/>
      <c r="C397" s="2946"/>
      <c r="E397" s="2945"/>
    </row>
    <row r="398" spans="1:5" s="1835" customFormat="1">
      <c r="A398" s="2945"/>
      <c r="C398" s="2946"/>
      <c r="E398" s="2945"/>
    </row>
    <row r="399" spans="1:5" s="1835" customFormat="1">
      <c r="A399" s="2945"/>
      <c r="C399" s="2946"/>
      <c r="E399" s="2945"/>
    </row>
    <row r="400" spans="1:5" s="1835" customFormat="1">
      <c r="A400" s="2945"/>
      <c r="C400" s="2946"/>
      <c r="E400" s="2945"/>
    </row>
    <row r="401" spans="1:5" s="1835" customFormat="1">
      <c r="A401" s="2945"/>
      <c r="C401" s="2946"/>
      <c r="E401" s="2945"/>
    </row>
    <row r="402" spans="1:5" s="1835" customFormat="1">
      <c r="A402" s="2945"/>
      <c r="C402" s="2946"/>
      <c r="E402" s="2945"/>
    </row>
    <row r="403" spans="1:5" s="1835" customFormat="1">
      <c r="A403" s="2945"/>
      <c r="C403" s="2946"/>
      <c r="E403" s="2945"/>
    </row>
    <row r="404" spans="1:5" s="1835" customFormat="1">
      <c r="A404" s="2945"/>
      <c r="C404" s="2946"/>
      <c r="E404" s="2945"/>
    </row>
    <row r="405" spans="1:5" s="1835" customFormat="1">
      <c r="A405" s="2945"/>
      <c r="C405" s="2946"/>
      <c r="E405" s="2945"/>
    </row>
    <row r="406" spans="1:5" s="1835" customFormat="1">
      <c r="A406" s="2945"/>
      <c r="C406" s="2946"/>
      <c r="E406" s="2945"/>
    </row>
    <row r="407" spans="1:5" s="1835" customFormat="1">
      <c r="A407" s="2945"/>
      <c r="C407" s="2946"/>
      <c r="E407" s="2945"/>
    </row>
    <row r="408" spans="1:5" s="1835" customFormat="1">
      <c r="A408" s="2945"/>
      <c r="C408" s="2946"/>
      <c r="E408" s="2945"/>
    </row>
    <row r="409" spans="1:5" s="1835" customFormat="1">
      <c r="A409" s="2945"/>
      <c r="C409" s="2946"/>
      <c r="E409" s="2945"/>
    </row>
    <row r="410" spans="1:5" s="1835" customFormat="1">
      <c r="A410" s="2945"/>
      <c r="C410" s="2946"/>
      <c r="E410" s="2945"/>
    </row>
    <row r="411" spans="1:5" s="1835" customFormat="1">
      <c r="A411" s="2945"/>
      <c r="C411" s="2946"/>
      <c r="E411" s="2945"/>
    </row>
    <row r="412" spans="1:5" s="1835" customFormat="1">
      <c r="A412" s="2945"/>
      <c r="C412" s="2946"/>
      <c r="E412" s="2945"/>
    </row>
    <row r="413" spans="1:5" s="1835" customFormat="1">
      <c r="A413" s="2945"/>
      <c r="C413" s="2946"/>
      <c r="E413" s="2945"/>
    </row>
    <row r="414" spans="1:5" s="1835" customFormat="1">
      <c r="A414" s="2945"/>
      <c r="C414" s="2946"/>
      <c r="E414" s="2945"/>
    </row>
    <row r="415" spans="1:5" s="1835" customFormat="1">
      <c r="A415" s="2945"/>
      <c r="C415" s="2946"/>
      <c r="E415" s="2945"/>
    </row>
    <row r="416" spans="1:5" s="1835" customFormat="1">
      <c r="A416" s="2945"/>
      <c r="C416" s="2946"/>
      <c r="E416" s="2945"/>
    </row>
    <row r="417" spans="1:5" s="1835" customFormat="1">
      <c r="A417" s="2945"/>
      <c r="C417" s="2946"/>
      <c r="E417" s="2945"/>
    </row>
    <row r="418" spans="1:5" s="1835" customFormat="1">
      <c r="A418" s="2945"/>
      <c r="C418" s="2946"/>
      <c r="E418" s="2945"/>
    </row>
    <row r="419" spans="1:5" s="1835" customFormat="1">
      <c r="A419" s="2945"/>
      <c r="C419" s="2946"/>
      <c r="E419" s="2945"/>
    </row>
    <row r="420" spans="1:5" s="1835" customFormat="1">
      <c r="A420" s="2945"/>
      <c r="C420" s="2946"/>
      <c r="E420" s="2945"/>
    </row>
    <row r="421" spans="1:5" s="1835" customFormat="1">
      <c r="A421" s="2945"/>
      <c r="C421" s="2946"/>
      <c r="E421" s="2945"/>
    </row>
    <row r="422" spans="1:5" s="1835" customFormat="1">
      <c r="A422" s="2945"/>
      <c r="C422" s="2946"/>
      <c r="E422" s="2945"/>
    </row>
    <row r="423" spans="1:5" s="1835" customFormat="1">
      <c r="A423" s="2945"/>
      <c r="C423" s="2946"/>
      <c r="E423" s="2945"/>
    </row>
    <row r="424" spans="1:5" s="1835" customFormat="1">
      <c r="A424" s="2945"/>
      <c r="C424" s="2946"/>
      <c r="E424" s="2945"/>
    </row>
    <row r="425" spans="1:5" s="1835" customFormat="1">
      <c r="A425" s="2945"/>
      <c r="C425" s="2946"/>
      <c r="E425" s="2945"/>
    </row>
    <row r="426" spans="1:5" s="1835" customFormat="1">
      <c r="A426" s="2945"/>
      <c r="C426" s="2946"/>
      <c r="E426" s="2945"/>
    </row>
    <row r="427" spans="1:5" s="1835" customFormat="1">
      <c r="A427" s="2945"/>
      <c r="C427" s="2946"/>
      <c r="E427" s="2945"/>
    </row>
    <row r="428" spans="1:5" s="1835" customFormat="1">
      <c r="A428" s="2945"/>
      <c r="C428" s="2946"/>
      <c r="E428" s="2945"/>
    </row>
    <row r="429" spans="1:5" s="1835" customFormat="1">
      <c r="A429" s="2945"/>
      <c r="C429" s="2946"/>
      <c r="E429" s="2945"/>
    </row>
    <row r="430" spans="1:5" s="1835" customFormat="1">
      <c r="A430" s="2945"/>
      <c r="C430" s="2946"/>
      <c r="E430" s="2945"/>
    </row>
    <row r="431" spans="1:5" s="1835" customFormat="1">
      <c r="A431" s="2945"/>
      <c r="C431" s="2946"/>
      <c r="E431" s="2945"/>
    </row>
    <row r="432" spans="1:5" s="1835" customFormat="1">
      <c r="A432" s="2945"/>
      <c r="C432" s="2946"/>
      <c r="E432" s="2945"/>
    </row>
    <row r="433" spans="1:5" s="1835" customFormat="1">
      <c r="A433" s="2945"/>
      <c r="C433" s="2946"/>
      <c r="E433" s="2945"/>
    </row>
    <row r="434" spans="1:5" s="1835" customFormat="1">
      <c r="A434" s="2945"/>
      <c r="C434" s="2946"/>
      <c r="E434" s="2945"/>
    </row>
    <row r="435" spans="1:5" s="1835" customFormat="1">
      <c r="A435" s="2945"/>
      <c r="C435" s="2946"/>
      <c r="E435" s="2945"/>
    </row>
    <row r="436" spans="1:5" s="1835" customFormat="1">
      <c r="A436" s="2945"/>
      <c r="C436" s="2946"/>
      <c r="E436" s="2945"/>
    </row>
    <row r="437" spans="1:5" s="1835" customFormat="1">
      <c r="A437" s="2945"/>
      <c r="C437" s="2946"/>
      <c r="E437" s="2945"/>
    </row>
    <row r="438" spans="1:5" s="1835" customFormat="1">
      <c r="A438" s="2945"/>
      <c r="C438" s="2946"/>
      <c r="E438" s="2945"/>
    </row>
    <row r="439" spans="1:5" s="1835" customFormat="1">
      <c r="A439" s="2945"/>
      <c r="C439" s="2946"/>
      <c r="E439" s="2945"/>
    </row>
    <row r="440" spans="1:5" s="1835" customFormat="1">
      <c r="A440" s="2945"/>
      <c r="C440" s="2946"/>
      <c r="E440" s="2945"/>
    </row>
    <row r="441" spans="1:5" s="1835" customFormat="1">
      <c r="A441" s="2945"/>
      <c r="C441" s="2946"/>
      <c r="E441" s="2945"/>
    </row>
    <row r="442" spans="1:5" s="1835" customFormat="1">
      <c r="A442" s="2945"/>
      <c r="C442" s="2946"/>
      <c r="E442" s="2945"/>
    </row>
    <row r="443" spans="1:5" s="1835" customFormat="1">
      <c r="A443" s="2945"/>
      <c r="C443" s="2946"/>
      <c r="E443" s="2945"/>
    </row>
    <row r="444" spans="1:5" s="1835" customFormat="1">
      <c r="A444" s="2945"/>
      <c r="C444" s="2946"/>
      <c r="E444" s="2945"/>
    </row>
    <row r="445" spans="1:5" s="1835" customFormat="1">
      <c r="A445" s="2945"/>
      <c r="C445" s="2946"/>
      <c r="E445" s="2945"/>
    </row>
    <row r="446" spans="1:5" s="1835" customFormat="1">
      <c r="A446" s="2945"/>
      <c r="C446" s="2946"/>
      <c r="E446" s="2945"/>
    </row>
    <row r="447" spans="1:5" s="1835" customFormat="1">
      <c r="A447" s="2945"/>
      <c r="C447" s="2946"/>
      <c r="E447" s="2945"/>
    </row>
    <row r="448" spans="1:5" s="1835" customFormat="1">
      <c r="A448" s="2945"/>
      <c r="C448" s="2946"/>
      <c r="E448" s="2945"/>
    </row>
    <row r="449" spans="1:5" s="1835" customFormat="1">
      <c r="A449" s="2945"/>
      <c r="C449" s="2946"/>
      <c r="E449" s="2945"/>
    </row>
    <row r="450" spans="1:5" s="1835" customFormat="1">
      <c r="A450" s="2945"/>
      <c r="C450" s="2946"/>
      <c r="E450" s="2945"/>
    </row>
    <row r="451" spans="1:5" s="1835" customFormat="1">
      <c r="A451" s="2945"/>
      <c r="C451" s="2946"/>
      <c r="E451" s="2945"/>
    </row>
    <row r="452" spans="1:5" s="1835" customFormat="1">
      <c r="A452" s="2945"/>
      <c r="C452" s="2946"/>
      <c r="E452" s="2945"/>
    </row>
    <row r="453" spans="1:5" s="1835" customFormat="1">
      <c r="A453" s="2945"/>
      <c r="C453" s="2946"/>
      <c r="E453" s="2945"/>
    </row>
    <row r="454" spans="1:5" s="1835" customFormat="1">
      <c r="A454" s="2945"/>
      <c r="C454" s="2946"/>
      <c r="E454" s="2945"/>
    </row>
    <row r="455" spans="1:5" s="1835" customFormat="1">
      <c r="A455" s="2945"/>
      <c r="C455" s="2946"/>
      <c r="E455" s="2945"/>
    </row>
    <row r="456" spans="1:5" s="1835" customFormat="1">
      <c r="A456" s="2945"/>
      <c r="C456" s="2946"/>
      <c r="E456" s="2945"/>
    </row>
    <row r="457" spans="1:5" s="1835" customFormat="1">
      <c r="A457" s="2945"/>
      <c r="C457" s="2946"/>
      <c r="E457" s="2945"/>
    </row>
    <row r="458" spans="1:5" s="1835" customFormat="1">
      <c r="A458" s="2945"/>
      <c r="C458" s="2946"/>
      <c r="E458" s="2945"/>
    </row>
    <row r="459" spans="1:5" s="1835" customFormat="1">
      <c r="A459" s="2945"/>
      <c r="C459" s="2946"/>
      <c r="E459" s="2945"/>
    </row>
    <row r="460" spans="1:5" s="1835" customFormat="1">
      <c r="A460" s="2945"/>
      <c r="C460" s="2946"/>
      <c r="E460" s="2945"/>
    </row>
    <row r="461" spans="1:5" s="1835" customFormat="1">
      <c r="A461" s="2945"/>
      <c r="C461" s="2946"/>
      <c r="E461" s="2945"/>
    </row>
    <row r="462" spans="1:5" s="1835" customFormat="1">
      <c r="A462" s="2945"/>
      <c r="C462" s="2946"/>
      <c r="E462" s="2945"/>
    </row>
    <row r="463" spans="1:5" s="1835" customFormat="1">
      <c r="A463" s="2945"/>
      <c r="C463" s="2946"/>
      <c r="E463" s="2945"/>
    </row>
    <row r="464" spans="1:5" s="1835" customFormat="1">
      <c r="A464" s="2945"/>
      <c r="C464" s="2946"/>
      <c r="E464" s="2945"/>
    </row>
    <row r="465" spans="1:5" s="1835" customFormat="1">
      <c r="A465" s="2945"/>
      <c r="C465" s="2946"/>
      <c r="E465" s="2945"/>
    </row>
    <row r="466" spans="1:5" s="1835" customFormat="1">
      <c r="A466" s="2945"/>
      <c r="C466" s="2946"/>
      <c r="E466" s="2945"/>
    </row>
    <row r="467" spans="1:5" s="1835" customFormat="1">
      <c r="A467" s="2945"/>
      <c r="C467" s="2946"/>
      <c r="E467" s="2945"/>
    </row>
    <row r="468" spans="1:5" s="1835" customFormat="1">
      <c r="A468" s="2945"/>
      <c r="C468" s="2946"/>
      <c r="E468" s="2945"/>
    </row>
    <row r="469" spans="1:5" s="1835" customFormat="1">
      <c r="A469" s="2945"/>
      <c r="C469" s="2946"/>
      <c r="E469" s="2945"/>
    </row>
    <row r="470" spans="1:5" s="1835" customFormat="1">
      <c r="A470" s="2945"/>
      <c r="C470" s="2946"/>
      <c r="E470" s="2945"/>
    </row>
    <row r="471" spans="1:5" s="1835" customFormat="1">
      <c r="A471" s="2945"/>
      <c r="C471" s="2946"/>
      <c r="E471" s="2945"/>
    </row>
    <row r="472" spans="1:5" s="1835" customFormat="1">
      <c r="A472" s="2945"/>
      <c r="C472" s="2946"/>
      <c r="E472" s="2945"/>
    </row>
    <row r="473" spans="1:5" s="1835" customFormat="1">
      <c r="A473" s="2945"/>
      <c r="C473" s="2946"/>
      <c r="E473" s="2945"/>
    </row>
    <row r="474" spans="1:5" s="1835" customFormat="1">
      <c r="A474" s="2945"/>
      <c r="C474" s="2946"/>
      <c r="E474" s="2945"/>
    </row>
    <row r="475" spans="1:5" s="1835" customFormat="1">
      <c r="A475" s="2945"/>
      <c r="C475" s="2946"/>
      <c r="E475" s="2945"/>
    </row>
    <row r="476" spans="1:5" s="1835" customFormat="1">
      <c r="A476" s="2945"/>
      <c r="C476" s="2946"/>
      <c r="E476" s="2945"/>
    </row>
    <row r="477" spans="1:5" s="1835" customFormat="1">
      <c r="A477" s="2945"/>
      <c r="C477" s="2946"/>
      <c r="E477" s="2945"/>
    </row>
    <row r="478" spans="1:5" s="1835" customFormat="1">
      <c r="A478" s="2945"/>
      <c r="C478" s="2946"/>
      <c r="E478" s="2945"/>
    </row>
    <row r="479" spans="1:5" s="1835" customFormat="1">
      <c r="A479" s="2945"/>
      <c r="C479" s="2946"/>
      <c r="E479" s="2945"/>
    </row>
    <row r="480" spans="1:5" s="1835" customFormat="1">
      <c r="A480" s="2945"/>
      <c r="C480" s="2946"/>
      <c r="E480" s="2945"/>
    </row>
    <row r="481" spans="1:5" s="1835" customFormat="1">
      <c r="A481" s="2945"/>
      <c r="C481" s="2946"/>
      <c r="E481" s="2945"/>
    </row>
    <row r="482" spans="1:5" s="1835" customFormat="1">
      <c r="A482" s="2945"/>
      <c r="C482" s="2946"/>
      <c r="E482" s="2945"/>
    </row>
    <row r="483" spans="1:5" s="1835" customFormat="1">
      <c r="A483" s="2945"/>
      <c r="C483" s="2946"/>
      <c r="E483" s="2945"/>
    </row>
    <row r="484" spans="1:5" s="1835" customFormat="1">
      <c r="A484" s="2945"/>
      <c r="C484" s="2946"/>
      <c r="E484" s="2945"/>
    </row>
    <row r="485" spans="1:5" s="1835" customFormat="1">
      <c r="A485" s="2945"/>
      <c r="C485" s="2946"/>
      <c r="E485" s="2945"/>
    </row>
    <row r="486" spans="1:5" s="1835" customFormat="1">
      <c r="A486" s="2945"/>
      <c r="C486" s="2946"/>
      <c r="E486" s="2945"/>
    </row>
    <row r="487" spans="1:5" s="1835" customFormat="1">
      <c r="A487" s="2945"/>
      <c r="C487" s="2946"/>
      <c r="E487" s="2945"/>
    </row>
    <row r="488" spans="1:5" s="1835" customFormat="1">
      <c r="A488" s="2945"/>
      <c r="C488" s="2946"/>
      <c r="E488" s="2945"/>
    </row>
    <row r="489" spans="1:5" s="1835" customFormat="1">
      <c r="A489" s="2945"/>
      <c r="C489" s="2946"/>
      <c r="E489" s="2945"/>
    </row>
    <row r="490" spans="1:5" s="1835"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21" t="str">
        <f>项目基本情况!B1</f>
        <v>北京市房山区良乡镇FS04-0100-6084地块R2二类居住用地出让国有建设用地使用权抵押价格预评估</v>
      </c>
      <c r="C37" s="3721"/>
      <c r="D37" s="3721"/>
      <c r="E37" s="3721"/>
      <c r="F37" s="3721"/>
      <c r="G37" s="3721"/>
      <c r="H37" s="3721"/>
      <c r="I37" s="3721"/>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郑燚、崔锴</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7"/>
      <c r="M6" s="2937"/>
      <c r="N6" s="2937"/>
      <c r="O6" s="2937"/>
      <c r="P6" s="2937"/>
      <c r="Q6" s="2937"/>
      <c r="R6" s="2937"/>
      <c r="S6" s="2937"/>
      <c r="T6" s="2937"/>
      <c r="U6" s="2937"/>
      <c r="V6" s="2937"/>
      <c r="W6" s="2937"/>
      <c r="X6" s="2937"/>
      <c r="Y6" s="2937"/>
      <c r="Z6" s="2937"/>
    </row>
    <row r="7" spans="1:41" s="1833" customFormat="1" ht="15">
      <c r="A7" s="420" t="s">
        <v>430</v>
      </c>
      <c r="B7" s="421" t="s">
        <v>431</v>
      </c>
      <c r="C7" s="3054"/>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7"/>
      <c r="M11" s="2937"/>
      <c r="N11" s="2937"/>
      <c r="O11" s="2937"/>
      <c r="P11" s="2937"/>
      <c r="Q11" s="2937"/>
      <c r="R11" s="2937"/>
      <c r="S11" s="2937"/>
      <c r="T11" s="2937"/>
      <c r="U11" s="2937"/>
      <c r="V11" s="2937"/>
      <c r="W11" s="2937"/>
      <c r="X11" s="2937"/>
      <c r="Y11" s="2937"/>
      <c r="Z11" s="2937"/>
    </row>
    <row r="12" spans="1:41" s="1805" customFormat="1" ht="13.5" customHeight="1">
      <c r="A12" s="420" t="s">
        <v>430</v>
      </c>
      <c r="B12" s="429" t="s">
        <v>431</v>
      </c>
      <c r="C12" s="430" t="s">
        <v>435</v>
      </c>
      <c r="D12" s="431" t="s">
        <v>436</v>
      </c>
      <c r="E12" s="431" t="s">
        <v>437</v>
      </c>
      <c r="F12" s="431" t="s">
        <v>438</v>
      </c>
      <c r="G12" s="429"/>
      <c r="H12" s="432"/>
      <c r="I12" s="432"/>
      <c r="J12" s="432"/>
      <c r="K12" s="433"/>
      <c r="L12" s="2938"/>
      <c r="M12" s="2938"/>
      <c r="N12" s="2938"/>
      <c r="O12" s="2938"/>
      <c r="P12" s="2938"/>
      <c r="Q12" s="2938"/>
      <c r="R12" s="2938"/>
      <c r="S12" s="2938"/>
      <c r="T12" s="2938"/>
      <c r="U12" s="2938"/>
      <c r="V12" s="2938"/>
      <c r="W12" s="2938"/>
      <c r="X12" s="2938"/>
      <c r="Y12" s="2938"/>
      <c r="Z12" s="2938"/>
    </row>
    <row r="13" spans="1:41" s="1836" customFormat="1" ht="13.5" customHeight="1">
      <c r="A13" s="1437" t="s">
        <v>1377</v>
      </c>
      <c r="B13" s="434" t="s">
        <v>439</v>
      </c>
      <c r="C13" s="435">
        <f ca="1">IF(B1="",'数据-取费表'!M16,INDIRECT("'数据-取费表'!M"&amp;$K$1)+INDIRECT("'数据-取费表'!t"&amp;$K$1))</f>
        <v>28663</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860</v>
      </c>
      <c r="D14" s="436"/>
      <c r="E14" s="355"/>
      <c r="F14" s="441">
        <f>'数据-取费表'!B33</f>
        <v>0.03</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1144</v>
      </c>
      <c r="D15" s="436"/>
      <c r="E15" s="355"/>
      <c r="F15" s="441">
        <f>'数据-取费表'!B34</f>
        <v>0.05</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1374</v>
      </c>
      <c r="D16" s="436">
        <f ca="1">IF(B1="",'数据-汇总表'!E3,INDIRECT("'数据-取费表'!K"&amp;$K$1)+INDIRECT("'数据-取费表'!S"&amp;$K$1))</f>
        <v>68710.41</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430</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32471</v>
      </c>
      <c r="D18" s="446"/>
      <c r="E18" s="447"/>
      <c r="F18" s="447"/>
      <c r="G18" s="1192" t="s">
        <v>1783</v>
      </c>
      <c r="H18" s="432"/>
      <c r="I18" s="432"/>
      <c r="J18" s="432"/>
      <c r="K18" s="433"/>
      <c r="L18" s="2940"/>
      <c r="M18" s="2940"/>
      <c r="N18" s="2940"/>
      <c r="O18" s="2940"/>
      <c r="P18" s="2940"/>
      <c r="Q18" s="2940"/>
      <c r="R18" s="2940"/>
      <c r="S18" s="2940"/>
      <c r="T18" s="2940"/>
      <c r="U18" s="2940"/>
      <c r="V18" s="2940"/>
      <c r="W18" s="2940"/>
      <c r="X18" s="2940"/>
      <c r="Y18" s="2940"/>
      <c r="Z18" s="2940"/>
    </row>
    <row r="19" spans="1:26" s="1839" customFormat="1" ht="13.5" customHeight="1">
      <c r="A19" s="1438" t="s">
        <v>1383</v>
      </c>
      <c r="B19" s="444" t="s">
        <v>453</v>
      </c>
      <c r="C19" s="445">
        <f ca="1">ROUND(C18*F19,0)</f>
        <v>649</v>
      </c>
      <c r="D19" s="446"/>
      <c r="E19" s="447"/>
      <c r="F19" s="451">
        <f>'数据-取费表'!B37</f>
        <v>0.02</v>
      </c>
      <c r="G19" s="429" t="s">
        <v>463</v>
      </c>
      <c r="H19" s="432"/>
      <c r="I19" s="432"/>
      <c r="J19" s="432"/>
      <c r="K19" s="433"/>
      <c r="L19" s="2942"/>
      <c r="M19" s="2942"/>
      <c r="N19" s="2942"/>
      <c r="O19" s="2940"/>
      <c r="P19" s="2940"/>
      <c r="Q19" s="2940"/>
      <c r="R19" s="2940"/>
      <c r="S19" s="2940"/>
      <c r="T19" s="2940"/>
      <c r="U19" s="2940"/>
      <c r="V19" s="2940"/>
      <c r="W19" s="2940"/>
      <c r="X19" s="2940"/>
      <c r="Y19" s="2940"/>
      <c r="Z19" s="2940"/>
    </row>
    <row r="20" spans="1:26" s="1841" customFormat="1" ht="13.5" customHeight="1">
      <c r="A20" s="1438" t="s">
        <v>1384</v>
      </c>
      <c r="B20" s="446" t="s">
        <v>454</v>
      </c>
      <c r="C20" s="455">
        <f ca="1">ROUND(IF('数据-取费表'!B22&lt;=1,(C18+C19)*F20*'数据-取费表'!B20/2,(C18+C19)*(POWER((1+F20),'数据-取费表'!B20/2)-1)),0)</f>
        <v>1176</v>
      </c>
      <c r="D20" s="447">
        <f ca="1">ROUND(((1+F20)^'数据-取费表'!B20)-1,4)</f>
        <v>7.2300000000000003E-2</v>
      </c>
      <c r="E20" s="447"/>
      <c r="F20" s="456">
        <f ca="1">'数据-取费表'!B40</f>
        <v>3.5499999999999997E-2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8" t="s">
        <v>1800</v>
      </c>
      <c r="M20" s="2949"/>
      <c r="N20" s="2949"/>
      <c r="O20" s="2949"/>
      <c r="P20" s="2949"/>
      <c r="Q20" s="2942"/>
      <c r="R20" s="2942"/>
      <c r="S20" s="2942"/>
      <c r="T20" s="2942"/>
      <c r="U20" s="2942"/>
      <c r="V20" s="2942"/>
      <c r="W20" s="2942"/>
      <c r="X20" s="2942"/>
      <c r="Y20" s="2942"/>
      <c r="Z20" s="2942"/>
    </row>
    <row r="21" spans="1:26" s="1840" customFormat="1" ht="13.5" customHeight="1">
      <c r="A21" s="1438" t="s">
        <v>2288</v>
      </c>
      <c r="B21" s="2500" t="s">
        <v>2107</v>
      </c>
      <c r="C21" s="463">
        <f ca="1">ROUND((C18+C19)*F21,0)</f>
        <v>4306</v>
      </c>
      <c r="D21" s="3026"/>
      <c r="E21" s="447"/>
      <c r="F21" s="464">
        <f ca="1">IF(B1="",'数据-取费表'!Q16,INDIRECT("'数据-取费表'!q"&amp;$K$1))</f>
        <v>0.13</v>
      </c>
      <c r="G21" s="429"/>
      <c r="H21" s="432"/>
      <c r="I21" s="432"/>
      <c r="J21" s="432"/>
      <c r="K21" s="433"/>
      <c r="L21" s="2941"/>
      <c r="M21" s="2941"/>
      <c r="N21" s="2941"/>
      <c r="O21" s="2941"/>
      <c r="P21" s="2941"/>
      <c r="Q21" s="2941"/>
      <c r="R21" s="2941"/>
      <c r="S21" s="2941"/>
      <c r="T21" s="2941"/>
      <c r="U21" s="2941"/>
      <c r="V21" s="2941"/>
      <c r="W21" s="2941"/>
      <c r="X21" s="2941"/>
      <c r="Y21" s="2941"/>
      <c r="Z21" s="2941"/>
    </row>
    <row r="22" spans="1:26" s="1841" customFormat="1" ht="13.5" customHeight="1">
      <c r="A22" s="1438" t="s">
        <v>1388</v>
      </c>
      <c r="B22" s="461" t="s">
        <v>464</v>
      </c>
      <c r="C22" s="468"/>
      <c r="D22" s="468"/>
      <c r="E22" s="469"/>
      <c r="F22" s="3028">
        <f ca="1">IF(B1="",'数据-取费表'!N16,INDIRECT("'数据-取费表'!N"&amp;$K$1))</f>
        <v>0</v>
      </c>
      <c r="G22" s="429"/>
      <c r="H22" s="432"/>
      <c r="I22" s="432"/>
      <c r="J22" s="432"/>
      <c r="K22" s="433"/>
      <c r="L22" s="2942"/>
      <c r="M22" s="2942"/>
      <c r="N22" s="2942"/>
      <c r="O22" s="2942"/>
      <c r="P22" s="2942"/>
      <c r="Q22" s="2942"/>
      <c r="R22" s="2942"/>
      <c r="S22" s="2942"/>
      <c r="T22" s="2942"/>
      <c r="U22" s="2942"/>
      <c r="V22" s="2942"/>
      <c r="W22" s="2942"/>
      <c r="X22" s="2942"/>
      <c r="Y22" s="2942"/>
      <c r="Z22" s="2942"/>
    </row>
    <row r="23" spans="1:26" s="1841" customFormat="1" ht="13.5" customHeight="1" thickBot="1">
      <c r="A23" s="3029" t="s">
        <v>1389</v>
      </c>
      <c r="B23" s="3030" t="s">
        <v>2289</v>
      </c>
      <c r="C23" s="3031">
        <f ca="1">ROUND((C18+C19+C20+C21)*F22,0)</f>
        <v>0</v>
      </c>
      <c r="D23" s="3032"/>
      <c r="E23" s="3033"/>
      <c r="F23" s="470"/>
      <c r="G23" s="421"/>
      <c r="H23" s="3034"/>
      <c r="I23" s="3034"/>
      <c r="J23" s="3034"/>
      <c r="K23" s="3035"/>
      <c r="L23" s="2942"/>
      <c r="M23" s="2942"/>
      <c r="N23" s="2942"/>
      <c r="O23" s="2942"/>
      <c r="P23" s="2942"/>
      <c r="Q23" s="2942"/>
      <c r="R23" s="2942"/>
      <c r="S23" s="2942"/>
      <c r="T23" s="2942"/>
      <c r="U23" s="2942"/>
      <c r="V23" s="2942"/>
      <c r="W23" s="2942"/>
      <c r="X23" s="2942"/>
      <c r="Y23" s="2942"/>
      <c r="Z23" s="2942"/>
    </row>
    <row r="24" spans="1:26" s="1841" customFormat="1" ht="13.5" customHeight="1" thickBot="1">
      <c r="A24" s="3893" t="s">
        <v>1394</v>
      </c>
      <c r="B24" s="3894"/>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1" customFormat="1" ht="13.5" customHeight="1" thickBot="1">
      <c r="A25" s="3893" t="s">
        <v>2286</v>
      </c>
      <c r="B25" s="3894"/>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6" customFormat="1" ht="13.5" customHeight="1" thickBot="1">
      <c r="A26" s="3893" t="s">
        <v>2287</v>
      </c>
      <c r="B26" s="3894"/>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95" t="s">
        <v>2285</v>
      </c>
      <c r="B27" s="3896"/>
      <c r="C27" s="3044">
        <f ca="1">(C6-C23-C24-C25)/((1+F26)*(1+D20+F21))</f>
        <v>0</v>
      </c>
      <c r="D27" s="3045"/>
      <c r="E27" s="3045"/>
      <c r="F27" s="3045"/>
      <c r="G27" s="3046" t="s">
        <v>2221</v>
      </c>
      <c r="H27" s="3045"/>
      <c r="I27" s="3045"/>
      <c r="J27" s="3045"/>
      <c r="K27" s="3047"/>
    </row>
    <row r="28" spans="1:26" s="1835" customFormat="1">
      <c r="A28" s="2945"/>
      <c r="C28" s="2946"/>
      <c r="E28" s="2945"/>
    </row>
    <row r="29" spans="1:26" s="1835" customFormat="1" ht="12.75" customHeight="1">
      <c r="A29" s="2945"/>
      <c r="C29" s="2946"/>
      <c r="E29" s="2945"/>
    </row>
    <row r="30" spans="1:26" s="1835" customFormat="1">
      <c r="A30" s="2945"/>
      <c r="C30" s="2946"/>
      <c r="E30" s="2945"/>
    </row>
    <row r="31" spans="1:26" s="1835" customFormat="1">
      <c r="A31" s="2945"/>
      <c r="C31" s="2946"/>
      <c r="E31" s="2945"/>
    </row>
    <row r="32" spans="1:26" s="1835" customFormat="1">
      <c r="A32" s="2945"/>
      <c r="C32" s="2946"/>
      <c r="E32" s="2945"/>
    </row>
    <row r="33" spans="1:5" s="1835" customFormat="1">
      <c r="A33" s="2945"/>
      <c r="C33" s="2946"/>
      <c r="E33" s="2945"/>
    </row>
    <row r="34" spans="1:5" s="1835" customFormat="1">
      <c r="A34" s="2945"/>
      <c r="C34" s="2946"/>
      <c r="E34" s="2945"/>
    </row>
    <row r="35" spans="1:5" s="1835" customFormat="1">
      <c r="A35" s="2945"/>
      <c r="C35" s="2946"/>
      <c r="E35" s="2945"/>
    </row>
    <row r="36" spans="1:5" s="1835" customFormat="1">
      <c r="A36" s="2945"/>
      <c r="C36" s="2946"/>
      <c r="E36" s="2945"/>
    </row>
    <row r="37" spans="1:5" s="1835" customFormat="1">
      <c r="A37" s="2945"/>
      <c r="C37" s="2946"/>
      <c r="E37" s="2945"/>
    </row>
    <row r="38" spans="1:5" s="1835" customFormat="1">
      <c r="A38" s="2945"/>
      <c r="C38" s="2946"/>
      <c r="E38" s="2945"/>
    </row>
    <row r="39" spans="1:5" s="1835" customFormat="1">
      <c r="A39" s="2945"/>
      <c r="C39" s="2946"/>
      <c r="E39" s="2945"/>
    </row>
    <row r="40" spans="1:5" s="1835" customFormat="1">
      <c r="A40" s="2945"/>
      <c r="C40" s="2946"/>
      <c r="E40" s="2945"/>
    </row>
    <row r="41" spans="1:5" s="1835" customFormat="1">
      <c r="A41" s="2945"/>
      <c r="C41" s="2946"/>
      <c r="E41" s="2945"/>
    </row>
    <row r="42" spans="1:5" s="1835" customFormat="1">
      <c r="A42" s="2945"/>
      <c r="C42" s="2946"/>
      <c r="E42" s="2945"/>
    </row>
    <row r="43" spans="1:5" s="1835" customFormat="1">
      <c r="A43" s="2945"/>
      <c r="C43" s="2946"/>
      <c r="E43" s="2945"/>
    </row>
    <row r="44" spans="1:5" s="1835" customFormat="1">
      <c r="A44" s="2945"/>
      <c r="C44" s="2946"/>
      <c r="E44" s="2945"/>
    </row>
    <row r="45" spans="1:5" s="1835" customFormat="1">
      <c r="A45" s="2945"/>
      <c r="C45" s="2946"/>
      <c r="E45" s="2945"/>
    </row>
    <row r="46" spans="1:5" s="1835" customFormat="1">
      <c r="A46" s="2945"/>
      <c r="C46" s="2946"/>
      <c r="E46" s="2945"/>
    </row>
    <row r="47" spans="1:5" s="1835" customFormat="1">
      <c r="A47" s="2945"/>
      <c r="C47" s="2946"/>
      <c r="E47" s="2945"/>
    </row>
    <row r="48" spans="1:5"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7" zoomScaleNormal="95" zoomScaleSheetLayoutView="100" workbookViewId="0">
      <selection activeCell="C40" sqref="C40"/>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50"/>
      <c r="M1" s="2951"/>
      <c r="N1" s="2951"/>
      <c r="O1" s="2951"/>
      <c r="P1" s="1852"/>
      <c r="Q1" s="1852"/>
      <c r="R1" s="1852"/>
      <c r="S1" s="1852"/>
      <c r="T1" s="1852"/>
      <c r="U1" s="1852"/>
      <c r="V1" s="1852"/>
      <c r="W1" s="1852"/>
      <c r="X1" s="1852"/>
      <c r="Y1" s="1852"/>
      <c r="Z1" s="1852"/>
      <c r="AA1" s="1852"/>
      <c r="AB1" s="1852"/>
      <c r="AC1" s="2952"/>
      <c r="AD1" s="1193"/>
    </row>
    <row r="2" spans="1:30" s="1194" customFormat="1" ht="28.5" customHeight="1">
      <c r="A2" s="409" t="s">
        <v>427</v>
      </c>
      <c r="B2" s="477">
        <f>F67</f>
        <v>71893</v>
      </c>
      <c r="C2" s="2960"/>
      <c r="D2" s="2960"/>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c r="AD2" s="1193"/>
    </row>
    <row r="3" spans="1:30" s="1194" customFormat="1" ht="28.5" customHeight="1">
      <c r="A3" s="1234" t="s">
        <v>1217</v>
      </c>
      <c r="B3" s="479">
        <f>ROUND(B2*10000/'数据-汇总表'!E3,0)</f>
        <v>10463</v>
      </c>
      <c r="C3" s="2961"/>
      <c r="D3" s="2965"/>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2953"/>
      <c r="AC3" s="1782"/>
    </row>
    <row r="4" spans="1:30" s="1194" customFormat="1" ht="28.5" customHeight="1">
      <c r="A4" s="480" t="s">
        <v>469</v>
      </c>
      <c r="B4" s="413">
        <f>IF(B48="单位面积地价",C50,ROUND(B2*10000/'数据-汇总表'!D3,0))</f>
        <v>30770</v>
      </c>
      <c r="C4" s="2961"/>
      <c r="D4" s="2965"/>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30" s="1194" customFormat="1" ht="28.5" customHeight="1" thickBot="1">
      <c r="A5" s="415"/>
      <c r="B5" s="416">
        <f>ROUND(B2/('数据-汇总表'!D3/666.67),0)</f>
        <v>2051</v>
      </c>
      <c r="C5" s="417"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1852"/>
      <c r="AC5" s="1782"/>
    </row>
    <row r="6" spans="1:30" ht="20.25">
      <c r="A6" s="481" t="s">
        <v>470</v>
      </c>
      <c r="B6" s="482"/>
      <c r="C6" s="3904" t="s">
        <v>471</v>
      </c>
      <c r="D6" s="3905"/>
      <c r="E6" s="3904" t="s">
        <v>472</v>
      </c>
      <c r="F6" s="3905"/>
      <c r="G6" s="3904" t="s">
        <v>473</v>
      </c>
      <c r="H6" s="3905"/>
      <c r="I6" s="3904" t="s">
        <v>474</v>
      </c>
      <c r="J6" s="3905"/>
      <c r="K6" s="483" t="s">
        <v>475</v>
      </c>
      <c r="L6" s="1853"/>
      <c r="M6" s="1852"/>
      <c r="N6" s="1852"/>
      <c r="O6" s="1854"/>
      <c r="P6" s="3906" t="s">
        <v>476</v>
      </c>
      <c r="Q6" s="3907"/>
      <c r="R6" s="3912" t="s">
        <v>472</v>
      </c>
      <c r="S6" s="3913"/>
      <c r="T6" s="3912" t="s">
        <v>473</v>
      </c>
      <c r="U6" s="3913"/>
      <c r="V6" s="3899" t="s">
        <v>474</v>
      </c>
      <c r="W6" s="3899"/>
      <c r="X6" s="1377"/>
      <c r="Y6" s="3912" t="s">
        <v>476</v>
      </c>
      <c r="Z6" s="3913"/>
      <c r="AA6" s="3901" t="s">
        <v>472</v>
      </c>
      <c r="AB6" s="3902" t="s">
        <v>473</v>
      </c>
      <c r="AC6" s="3901" t="s">
        <v>474</v>
      </c>
    </row>
    <row r="7" spans="1:30" ht="55.5" customHeight="1">
      <c r="A7" s="484"/>
      <c r="B7" s="485"/>
      <c r="C7" s="3922" t="s">
        <v>3406</v>
      </c>
      <c r="D7" s="3921"/>
      <c r="E7" s="3920" t="str">
        <f>土地案例!A4</f>
        <v>北京市房山区西潞街道佳世苑三期FS00-0113-0008、0009地块R2二类居住用地、A33基础教育用地</v>
      </c>
      <c r="F7" s="3921"/>
      <c r="G7" s="3920" t="str">
        <f>土地案例!A5</f>
        <v>北京市房山区拱辰街道办事处FS00-LX05-0045地块R2二类居住用地</v>
      </c>
      <c r="H7" s="3921"/>
      <c r="I7" s="3920" t="str">
        <f>土地案例!A13</f>
        <v>北京市房山区良乡镇FS04-0100-6056等地块R2二类居住用地、B11零售商业用地</v>
      </c>
      <c r="J7" s="3921"/>
      <c r="K7" s="483"/>
      <c r="L7" s="1853"/>
      <c r="M7" s="1852"/>
      <c r="N7" s="1852"/>
      <c r="O7" s="1854"/>
      <c r="P7" s="3908"/>
      <c r="Q7" s="3909"/>
      <c r="R7" s="3914"/>
      <c r="S7" s="3915"/>
      <c r="T7" s="3914"/>
      <c r="U7" s="3915"/>
      <c r="V7" s="3899"/>
      <c r="W7" s="3899"/>
      <c r="X7" s="1377"/>
      <c r="Y7" s="3914"/>
      <c r="Z7" s="3915"/>
      <c r="AA7" s="3902"/>
      <c r="AB7" s="3902"/>
      <c r="AC7" s="3902"/>
    </row>
    <row r="8" spans="1:30" ht="21" thickBot="1">
      <c r="A8" s="484"/>
      <c r="B8" s="485"/>
      <c r="C8" s="3923" t="s">
        <v>2186</v>
      </c>
      <c r="D8" s="3924"/>
      <c r="E8" s="3923" t="s">
        <v>2186</v>
      </c>
      <c r="F8" s="3924"/>
      <c r="G8" s="3918" t="s">
        <v>2186</v>
      </c>
      <c r="H8" s="3919"/>
      <c r="I8" s="3918" t="s">
        <v>2186</v>
      </c>
      <c r="J8" s="3919"/>
      <c r="K8" s="483" t="s">
        <v>477</v>
      </c>
      <c r="L8" s="1853"/>
      <c r="M8" s="1852"/>
      <c r="N8" s="1852"/>
      <c r="O8" s="1854"/>
      <c r="P8" s="3910"/>
      <c r="Q8" s="3911"/>
      <c r="R8" s="3914"/>
      <c r="S8" s="3915"/>
      <c r="T8" s="3916"/>
      <c r="U8" s="3917"/>
      <c r="V8" s="3899"/>
      <c r="W8" s="3899"/>
      <c r="X8" s="1377"/>
      <c r="Y8" s="3916"/>
      <c r="Z8" s="3917"/>
      <c r="AA8" s="3903"/>
      <c r="AB8" s="3903"/>
      <c r="AC8" s="3903"/>
    </row>
    <row r="9" spans="1:30" s="1115" customFormat="1" ht="21" thickBot="1">
      <c r="A9" s="2389"/>
      <c r="B9" s="2396" t="s">
        <v>478</v>
      </c>
      <c r="C9" s="2388">
        <f>'数据-取费表'!B2</f>
        <v>45138</v>
      </c>
      <c r="D9" s="489">
        <v>100</v>
      </c>
      <c r="E9" s="490">
        <f>土地案例!L4</f>
        <v>44826.000497685185</v>
      </c>
      <c r="F9" s="491">
        <f>SUMIF(71:71,YEAR(E9)&amp;"-"&amp;INT((MONTH(E9)+2)/3),72:72)</f>
        <v>99.199999999999989</v>
      </c>
      <c r="G9" s="492">
        <f>土地案例!L5</f>
        <v>44608.000497685185</v>
      </c>
      <c r="H9" s="489">
        <f>SUMIF(71:71,YEAR(G9)&amp;"-"&amp;INT((MONTH(G9)+2)/3),72:72)</f>
        <v>98.799999999999983</v>
      </c>
      <c r="I9" s="492">
        <f>土地案例!L13</f>
        <v>43944.000497685185</v>
      </c>
      <c r="J9" s="489">
        <f>SUMIF(71:71,YEAR(I9)&amp;"-"&amp;INT((MONTH(I9)+2)/3),72:72)</f>
        <v>97.599999999999966</v>
      </c>
      <c r="K9" s="493"/>
      <c r="L9" s="1855"/>
      <c r="M9" s="1852"/>
      <c r="N9" s="1852"/>
      <c r="O9" s="1856"/>
      <c r="P9" s="3929" t="s">
        <v>479</v>
      </c>
      <c r="Q9" s="3931"/>
      <c r="R9" s="1378" t="s">
        <v>5</v>
      </c>
      <c r="S9" s="1379">
        <f t="shared" ref="S9:S17" si="0">F9</f>
        <v>99.199999999999989</v>
      </c>
      <c r="T9" s="1378" t="s">
        <v>5</v>
      </c>
      <c r="U9" s="1379">
        <f t="shared" ref="U9:U17" si="1">H9</f>
        <v>98.799999999999983</v>
      </c>
      <c r="V9" s="1378" t="s">
        <v>5</v>
      </c>
      <c r="W9" s="1379">
        <f t="shared" ref="W9:W17" si="2">J9</f>
        <v>97.599999999999966</v>
      </c>
      <c r="X9" s="1380"/>
      <c r="Y9" s="3929" t="s">
        <v>479</v>
      </c>
      <c r="Z9" s="3930"/>
      <c r="AA9" s="1381">
        <f>D9/F9</f>
        <v>1.0080645161290325</v>
      </c>
      <c r="AB9" s="1381">
        <f>D9/H9</f>
        <v>1.0121457489878545</v>
      </c>
      <c r="AC9" s="1381">
        <f>D9/J9</f>
        <v>1.0245901639344266</v>
      </c>
    </row>
    <row r="10" spans="1:30" s="1115" customFormat="1" ht="21" thickBot="1">
      <c r="A10" s="2390"/>
      <c r="B10" s="2397"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5"/>
      <c r="M10" s="1852"/>
      <c r="N10" s="1852"/>
      <c r="O10" s="1856"/>
      <c r="P10" s="3929" t="s">
        <v>482</v>
      </c>
      <c r="Q10" s="3930"/>
      <c r="R10" s="1378" t="s">
        <v>5</v>
      </c>
      <c r="S10" s="1379">
        <f t="shared" si="0"/>
        <v>100</v>
      </c>
      <c r="T10" s="1378" t="s">
        <v>5</v>
      </c>
      <c r="U10" s="1379">
        <f t="shared" si="1"/>
        <v>100</v>
      </c>
      <c r="V10" s="1378" t="s">
        <v>5</v>
      </c>
      <c r="W10" s="1379">
        <f t="shared" si="2"/>
        <v>100</v>
      </c>
      <c r="X10" s="1380"/>
      <c r="Y10" s="3929" t="s">
        <v>482</v>
      </c>
      <c r="Z10" s="3930"/>
      <c r="AA10" s="1381">
        <f t="shared" ref="AA10:AA47" si="3">D10/F10</f>
        <v>1</v>
      </c>
      <c r="AB10" s="1381">
        <f t="shared" ref="AB10:AB47" si="4">D10/H10</f>
        <v>1</v>
      </c>
      <c r="AC10" s="1381">
        <f t="shared" ref="AC10:AC47" si="5">D10/J10</f>
        <v>1</v>
      </c>
    </row>
    <row r="11" spans="1:30" s="1115" customFormat="1" ht="20.25">
      <c r="A11" s="2391"/>
      <c r="B11" s="2398" t="s">
        <v>2038</v>
      </c>
      <c r="C11" s="2385" t="s">
        <v>851</v>
      </c>
      <c r="D11" s="244">
        <v>100</v>
      </c>
      <c r="E11" s="2385" t="s">
        <v>3498</v>
      </c>
      <c r="F11" s="244">
        <f>SUMIF(76:76,E11,77:77)-SUMIF(76:76,C11,77:77)+100</f>
        <v>98</v>
      </c>
      <c r="G11" s="2385" t="s">
        <v>851</v>
      </c>
      <c r="H11" s="244">
        <f>SUMIF(76:76,G11,77:77)-SUMIF(76:76,C11,77:77)+100</f>
        <v>100</v>
      </c>
      <c r="I11" s="2385" t="s">
        <v>3553</v>
      </c>
      <c r="J11" s="244">
        <f>SUMIF(76:76,I11,77:77)-SUMIF(76:76,C11,77:77)+100</f>
        <v>95</v>
      </c>
      <c r="K11" s="493"/>
      <c r="L11" s="1855"/>
      <c r="M11" s="1852"/>
      <c r="N11" s="1852"/>
      <c r="O11" s="1857"/>
      <c r="P11" s="3898" t="s">
        <v>484</v>
      </c>
      <c r="Q11" s="1047" t="str">
        <f t="shared" ref="Q11:Q17" si="6">B11</f>
        <v>用途</v>
      </c>
      <c r="R11" s="1378" t="s">
        <v>5</v>
      </c>
      <c r="S11" s="1379">
        <f t="shared" si="0"/>
        <v>98</v>
      </c>
      <c r="T11" s="1378" t="s">
        <v>5</v>
      </c>
      <c r="U11" s="1379">
        <f t="shared" si="1"/>
        <v>100</v>
      </c>
      <c r="V11" s="1378" t="s">
        <v>5</v>
      </c>
      <c r="W11" s="1379">
        <f t="shared" si="2"/>
        <v>95</v>
      </c>
      <c r="X11" s="1380"/>
      <c r="Y11" s="3842" t="s">
        <v>485</v>
      </c>
      <c r="Z11" s="1046" t="str">
        <f t="shared" ref="Z11:Z17" si="7">Q11</f>
        <v>用途</v>
      </c>
      <c r="AA11" s="1381">
        <f t="shared" si="3"/>
        <v>1.0204081632653061</v>
      </c>
      <c r="AB11" s="1381">
        <f t="shared" si="4"/>
        <v>1</v>
      </c>
      <c r="AC11" s="1381">
        <f t="shared" si="5"/>
        <v>1.0526315789473684</v>
      </c>
    </row>
    <row r="12" spans="1:30" s="1196" customFormat="1" ht="27">
      <c r="A12" s="2392"/>
      <c r="B12" s="2397" t="s">
        <v>2039</v>
      </c>
      <c r="C12" s="870">
        <f>项目基本情况!C19</f>
        <v>66.459999999999994</v>
      </c>
      <c r="D12" s="245">
        <v>100</v>
      </c>
      <c r="E12" s="498" t="s">
        <v>3449</v>
      </c>
      <c r="F12" s="245">
        <f>ROUND(100/'数据-取费表'!G16,0)</f>
        <v>101</v>
      </c>
      <c r="G12" s="499" t="s">
        <v>3449</v>
      </c>
      <c r="H12" s="245">
        <f>ROUND(100/'数据-取费表'!G16,0)</f>
        <v>101</v>
      </c>
      <c r="I12" s="499" t="s">
        <v>3449</v>
      </c>
      <c r="J12" s="245">
        <f>ROUND(100/'数据-取费表'!G16,0)</f>
        <v>101</v>
      </c>
      <c r="K12" s="500"/>
      <c r="L12" s="1858"/>
      <c r="M12" s="1852"/>
      <c r="N12" s="1852"/>
      <c r="O12" s="1859"/>
      <c r="P12" s="3898"/>
      <c r="Q12" s="1047" t="str">
        <f t="shared" si="6"/>
        <v>土地使用年限（年）</v>
      </c>
      <c r="R12" s="1378" t="s">
        <v>5</v>
      </c>
      <c r="S12" s="1379">
        <f t="shared" si="0"/>
        <v>101</v>
      </c>
      <c r="T12" s="1378" t="s">
        <v>5</v>
      </c>
      <c r="U12" s="1379">
        <f t="shared" si="1"/>
        <v>101</v>
      </c>
      <c r="V12" s="1378" t="s">
        <v>5</v>
      </c>
      <c r="W12" s="1379">
        <f t="shared" si="2"/>
        <v>101</v>
      </c>
      <c r="X12" s="1380"/>
      <c r="Y12" s="3842"/>
      <c r="Z12" s="1046" t="str">
        <f t="shared" si="7"/>
        <v>土地使用年限（年）</v>
      </c>
      <c r="AA12" s="1381">
        <f t="shared" si="3"/>
        <v>0.99009900990099009</v>
      </c>
      <c r="AB12" s="1381">
        <f t="shared" si="4"/>
        <v>0.99009900990099009</v>
      </c>
      <c r="AC12" s="1381">
        <f t="shared" si="5"/>
        <v>0.99009900990099009</v>
      </c>
    </row>
    <row r="13" spans="1:30" ht="20.25">
      <c r="A13" s="2393"/>
      <c r="B13" s="2397" t="s">
        <v>2040</v>
      </c>
      <c r="C13" s="503">
        <v>2.2000000000000002</v>
      </c>
      <c r="D13" s="245">
        <v>100</v>
      </c>
      <c r="E13" s="502">
        <v>2.4</v>
      </c>
      <c r="F13" s="245">
        <f>LOOKUP(E13,81:81,82:82)-LOOKUP(C13,81:81,82:82)+100</f>
        <v>100</v>
      </c>
      <c r="G13" s="503">
        <v>1.6</v>
      </c>
      <c r="H13" s="245">
        <f>LOOKUP(G13,81:81,82:82)-LOOKUP(C13,81:81,82:82)+100</f>
        <v>103</v>
      </c>
      <c r="I13" s="502">
        <v>2.5</v>
      </c>
      <c r="J13" s="245">
        <f>LOOKUP(I13,81:81,82:82)-LOOKUP(C13,81:81,82:82)+100</f>
        <v>100</v>
      </c>
      <c r="K13" s="504">
        <v>3</v>
      </c>
      <c r="L13" s="1860"/>
      <c r="M13" s="1852"/>
      <c r="N13" s="1852"/>
      <c r="O13" s="1861"/>
      <c r="P13" s="3898"/>
      <c r="Q13" s="1047" t="str">
        <f t="shared" si="6"/>
        <v>容积率</v>
      </c>
      <c r="R13" s="1378" t="s">
        <v>5</v>
      </c>
      <c r="S13" s="1379">
        <f t="shared" si="0"/>
        <v>100</v>
      </c>
      <c r="T13" s="1378" t="s">
        <v>5</v>
      </c>
      <c r="U13" s="1379">
        <f t="shared" si="1"/>
        <v>103</v>
      </c>
      <c r="V13" s="1378" t="s">
        <v>5</v>
      </c>
      <c r="W13" s="1379">
        <f t="shared" si="2"/>
        <v>100</v>
      </c>
      <c r="X13" s="1380"/>
      <c r="Y13" s="3842"/>
      <c r="Z13" s="1046" t="str">
        <f t="shared" si="7"/>
        <v>容积率</v>
      </c>
      <c r="AA13" s="1381">
        <f t="shared" si="3"/>
        <v>1</v>
      </c>
      <c r="AB13" s="1381">
        <f t="shared" si="4"/>
        <v>0.970873786407767</v>
      </c>
      <c r="AC13" s="1381">
        <f t="shared" si="5"/>
        <v>1</v>
      </c>
    </row>
    <row r="14" spans="1:30" s="1115" customFormat="1" ht="20.25">
      <c r="A14" s="2390"/>
      <c r="B14" s="2399" t="s">
        <v>2041</v>
      </c>
      <c r="C14" s="2386" t="s">
        <v>3443</v>
      </c>
      <c r="D14" s="507">
        <v>100</v>
      </c>
      <c r="E14" s="1229" t="s">
        <v>3444</v>
      </c>
      <c r="F14" s="245">
        <f>SUMIF(83:83,E14,84:84)-SUMIF(83:83,C14,84:84)+100</f>
        <v>100</v>
      </c>
      <c r="G14" s="3678" t="s">
        <v>3445</v>
      </c>
      <c r="H14" s="245">
        <f>SUMIF(83:83,G14,84:84)-SUMIF(83:83,C14,84:84)+100</f>
        <v>95</v>
      </c>
      <c r="I14" s="3679" t="s">
        <v>3444</v>
      </c>
      <c r="J14" s="245">
        <f>SUMIF(83:83,I14,84:84)-SUMIF(83:83,C14,84:84)+100</f>
        <v>100</v>
      </c>
      <c r="K14" s="500"/>
      <c r="L14" s="1855"/>
      <c r="M14" s="1852"/>
      <c r="N14" s="1852"/>
      <c r="O14" s="1857"/>
      <c r="P14" s="3898"/>
      <c r="Q14" s="1047" t="str">
        <f t="shared" si="6"/>
        <v>配建</v>
      </c>
      <c r="R14" s="1378" t="s">
        <v>5</v>
      </c>
      <c r="S14" s="1379">
        <f t="shared" si="0"/>
        <v>100</v>
      </c>
      <c r="T14" s="1378" t="s">
        <v>5</v>
      </c>
      <c r="U14" s="1379">
        <f t="shared" si="1"/>
        <v>95</v>
      </c>
      <c r="V14" s="1378" t="s">
        <v>5</v>
      </c>
      <c r="W14" s="1379">
        <f t="shared" si="2"/>
        <v>100</v>
      </c>
      <c r="X14" s="1380"/>
      <c r="Y14" s="3842"/>
      <c r="Z14" s="1046" t="str">
        <f t="shared" si="7"/>
        <v>配建</v>
      </c>
      <c r="AA14" s="1381">
        <f>D14/F14</f>
        <v>1</v>
      </c>
      <c r="AB14" s="1381">
        <f>D14/H14</f>
        <v>1.0526315789473684</v>
      </c>
      <c r="AC14" s="1381">
        <f>D14/J14</f>
        <v>1</v>
      </c>
    </row>
    <row r="15" spans="1:30" ht="21" thickBot="1">
      <c r="A15" s="2394"/>
      <c r="B15" s="3680" t="s">
        <v>3446</v>
      </c>
      <c r="C15" s="3681" t="s">
        <v>3444</v>
      </c>
      <c r="D15" s="509">
        <v>100</v>
      </c>
      <c r="E15" s="3682" t="s">
        <v>3444</v>
      </c>
      <c r="F15" s="245">
        <f>SUMIF(85:85,E15,86:86)-SUMIF(85:85,C15,86:86)+100</f>
        <v>100</v>
      </c>
      <c r="G15" s="3683" t="s">
        <v>3444</v>
      </c>
      <c r="H15" s="509">
        <f>SUMIF(85:85,G15,86:86)-SUMIF(85:85,C15,86:86)+100</f>
        <v>100</v>
      </c>
      <c r="I15" s="3683" t="s">
        <v>3443</v>
      </c>
      <c r="J15" s="509">
        <f>SUMIF(85:85,I15,86:86)-SUMIF(85:85,C15,86:86)+100</f>
        <v>100</v>
      </c>
      <c r="K15" s="500"/>
      <c r="L15" s="1862"/>
      <c r="M15" s="1852"/>
      <c r="N15" s="1852"/>
      <c r="O15" s="1861"/>
      <c r="P15" s="3898"/>
      <c r="Q15" s="1047" t="str">
        <f t="shared" si="6"/>
        <v>是否有自持</v>
      </c>
      <c r="R15" s="1378" t="s">
        <v>5</v>
      </c>
      <c r="S15" s="1379">
        <f t="shared" si="0"/>
        <v>100</v>
      </c>
      <c r="T15" s="1378" t="s">
        <v>5</v>
      </c>
      <c r="U15" s="1379">
        <f t="shared" si="1"/>
        <v>100</v>
      </c>
      <c r="V15" s="1378" t="s">
        <v>5</v>
      </c>
      <c r="W15" s="1379">
        <f t="shared" si="2"/>
        <v>100</v>
      </c>
      <c r="X15" s="1380"/>
      <c r="Y15" s="3842"/>
      <c r="Z15" s="1046" t="str">
        <f t="shared" si="7"/>
        <v>是否有自持</v>
      </c>
      <c r="AA15" s="1381">
        <f>D15/F15</f>
        <v>1</v>
      </c>
      <c r="AB15" s="1381">
        <f>D15/H15</f>
        <v>1</v>
      </c>
      <c r="AC15" s="1381">
        <f>D15/J15</f>
        <v>1</v>
      </c>
    </row>
    <row r="16" spans="1:30" ht="21" hidden="1" thickBot="1">
      <c r="A16" s="2395"/>
      <c r="B16" s="2401">
        <v>111</v>
      </c>
      <c r="C16" s="875"/>
      <c r="D16" s="515">
        <v>100</v>
      </c>
      <c r="E16" s="510"/>
      <c r="F16" s="515">
        <f>SUMIF(87:87,E16,88:88)-SUMIF(87:87,C16,88:88)+100</f>
        <v>100</v>
      </c>
      <c r="G16" s="511"/>
      <c r="H16" s="515">
        <f>SUMIF(87:87,G16,88:88)-SUMIF(87:87,C16,88:88)+100</f>
        <v>100</v>
      </c>
      <c r="I16" s="511"/>
      <c r="J16" s="515">
        <f>SUMIF(87:87,I16,88:88)-SUMIF(87:87,C16,88:88)+100</f>
        <v>100</v>
      </c>
      <c r="K16" s="500"/>
      <c r="L16" s="1862"/>
      <c r="M16" s="1852"/>
      <c r="N16" s="1852"/>
      <c r="O16" s="1861"/>
      <c r="P16" s="3898"/>
      <c r="Q16" s="1047">
        <f t="shared" si="6"/>
        <v>111</v>
      </c>
      <c r="R16" s="1378" t="s">
        <v>5</v>
      </c>
      <c r="S16" s="1379">
        <f t="shared" si="0"/>
        <v>100</v>
      </c>
      <c r="T16" s="1378" t="s">
        <v>5</v>
      </c>
      <c r="U16" s="1379">
        <f t="shared" si="1"/>
        <v>100</v>
      </c>
      <c r="V16" s="1378" t="s">
        <v>5</v>
      </c>
      <c r="W16" s="1379">
        <f t="shared" si="2"/>
        <v>100</v>
      </c>
      <c r="X16" s="1380"/>
      <c r="Y16" s="3842"/>
      <c r="Z16" s="1046">
        <f t="shared" si="7"/>
        <v>111</v>
      </c>
      <c r="AA16" s="1381">
        <f>D16/F16</f>
        <v>1</v>
      </c>
      <c r="AB16" s="1381">
        <f>D16/H16</f>
        <v>1</v>
      </c>
      <c r="AC16" s="1381">
        <f>D16/J16</f>
        <v>1</v>
      </c>
    </row>
    <row r="17" spans="1:29" ht="20.25">
      <c r="A17" s="2387" t="s">
        <v>2036</v>
      </c>
      <c r="B17" s="547" t="s">
        <v>261</v>
      </c>
      <c r="C17" s="517">
        <f>估价对象房地状况!C15</f>
        <v>0</v>
      </c>
      <c r="D17" s="520">
        <v>100</v>
      </c>
      <c r="E17" s="521"/>
      <c r="F17" s="518">
        <f>SUMIF(89:89,E18,90:90)-SUMIF(89:89,C18,90:90)+100</f>
        <v>105</v>
      </c>
      <c r="G17" s="519"/>
      <c r="H17" s="518">
        <f>SUMIF(89:89,G18,90:90)-SUMIF(89:89,C18,90:90)+100</f>
        <v>105</v>
      </c>
      <c r="I17" s="521"/>
      <c r="J17" s="518">
        <f>SUMIF(89:89,I18,90:90)-SUMIF(89:89,C18,90:90)+100</f>
        <v>100</v>
      </c>
      <c r="K17" s="504">
        <v>5</v>
      </c>
      <c r="L17" s="1862"/>
      <c r="M17" s="1852"/>
      <c r="N17" s="1852"/>
      <c r="O17" s="1861"/>
      <c r="P17" s="3932" t="s">
        <v>489</v>
      </c>
      <c r="Q17" s="1382" t="str">
        <f t="shared" si="6"/>
        <v>居住社区成熟度</v>
      </c>
      <c r="R17" s="1383" t="s">
        <v>5</v>
      </c>
      <c r="S17" s="1384">
        <f t="shared" si="0"/>
        <v>105</v>
      </c>
      <c r="T17" s="1383" t="s">
        <v>5</v>
      </c>
      <c r="U17" s="1384">
        <f t="shared" si="1"/>
        <v>105</v>
      </c>
      <c r="V17" s="1383" t="s">
        <v>5</v>
      </c>
      <c r="W17" s="1384">
        <f t="shared" si="2"/>
        <v>100</v>
      </c>
      <c r="X17" s="1377"/>
      <c r="Y17" s="3932" t="s">
        <v>489</v>
      </c>
      <c r="Z17" s="1385" t="str">
        <f t="shared" si="7"/>
        <v>居住社区成熟度</v>
      </c>
      <c r="AA17" s="1386">
        <f t="shared" si="3"/>
        <v>0.95238095238095233</v>
      </c>
      <c r="AB17" s="1386">
        <f t="shared" si="4"/>
        <v>0.95238095238095233</v>
      </c>
      <c r="AC17" s="1386">
        <f t="shared" si="5"/>
        <v>1</v>
      </c>
    </row>
    <row r="18" spans="1:29" ht="20.25">
      <c r="A18" s="501"/>
      <c r="B18" s="522"/>
      <c r="C18" s="523" t="s">
        <v>3411</v>
      </c>
      <c r="D18" s="526"/>
      <c r="E18" s="523" t="s">
        <v>3412</v>
      </c>
      <c r="F18" s="524"/>
      <c r="G18" s="523" t="s">
        <v>3412</v>
      </c>
      <c r="H18" s="528"/>
      <c r="I18" s="523" t="s">
        <v>3411</v>
      </c>
      <c r="J18" s="524"/>
      <c r="K18" s="500"/>
      <c r="L18" s="1862"/>
      <c r="M18" s="1852"/>
      <c r="N18" s="1852"/>
      <c r="O18" s="1861"/>
      <c r="P18" s="3933"/>
      <c r="Q18" s="1382"/>
      <c r="R18" s="1383"/>
      <c r="S18" s="1384"/>
      <c r="T18" s="1383"/>
      <c r="U18" s="1384"/>
      <c r="V18" s="1383"/>
      <c r="W18" s="1384"/>
      <c r="X18" s="1377"/>
      <c r="Y18" s="3933"/>
      <c r="Z18" s="1385"/>
      <c r="AA18" s="1386">
        <v>1</v>
      </c>
      <c r="AB18" s="1386">
        <v>1</v>
      </c>
      <c r="AC18" s="1386">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2"/>
      <c r="M19" s="1852"/>
      <c r="N19" s="1852"/>
      <c r="O19" s="1861"/>
      <c r="P19" s="3933"/>
      <c r="Q19" s="1382" t="str">
        <f>B19</f>
        <v>商业繁华度</v>
      </c>
      <c r="R19" s="1383" t="s">
        <v>5</v>
      </c>
      <c r="S19" s="1384">
        <f>F19</f>
        <v>100</v>
      </c>
      <c r="T19" s="1383" t="s">
        <v>5</v>
      </c>
      <c r="U19" s="1384">
        <f>H19</f>
        <v>100</v>
      </c>
      <c r="V19" s="1383" t="s">
        <v>5</v>
      </c>
      <c r="W19" s="1384">
        <f>J19</f>
        <v>100</v>
      </c>
      <c r="X19" s="1377"/>
      <c r="Y19" s="3933"/>
      <c r="Z19" s="1385" t="str">
        <f>Q19</f>
        <v>商业繁华度</v>
      </c>
      <c r="AA19" s="1386">
        <f t="shared" si="3"/>
        <v>1</v>
      </c>
      <c r="AB19" s="1386">
        <f t="shared" si="4"/>
        <v>1</v>
      </c>
      <c r="AC19" s="1386">
        <f t="shared" si="5"/>
        <v>1</v>
      </c>
    </row>
    <row r="20" spans="1:29" ht="20.25" hidden="1">
      <c r="A20" s="501"/>
      <c r="B20" s="535"/>
      <c r="C20" s="536"/>
      <c r="D20" s="532"/>
      <c r="E20" s="538"/>
      <c r="F20" s="528"/>
      <c r="G20" s="537"/>
      <c r="H20" s="524"/>
      <c r="I20" s="538"/>
      <c r="J20" s="524"/>
      <c r="K20" s="500"/>
      <c r="L20" s="1862"/>
      <c r="M20" s="1852"/>
      <c r="N20" s="1852"/>
      <c r="O20" s="1861"/>
      <c r="P20" s="3933"/>
      <c r="Q20" s="1382"/>
      <c r="R20" s="1383"/>
      <c r="S20" s="1384"/>
      <c r="T20" s="1383"/>
      <c r="U20" s="1384"/>
      <c r="V20" s="1383"/>
      <c r="W20" s="1384"/>
      <c r="X20" s="1377"/>
      <c r="Y20" s="3933"/>
      <c r="Z20" s="1385"/>
      <c r="AA20" s="1386">
        <v>1</v>
      </c>
      <c r="AB20" s="1386">
        <v>1</v>
      </c>
      <c r="AC20" s="1386">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33"/>
      <c r="Q21" s="1382" t="str">
        <f>B21</f>
        <v>办公集聚程度</v>
      </c>
      <c r="R21" s="1383" t="s">
        <v>5</v>
      </c>
      <c r="S21" s="1384">
        <f>F21</f>
        <v>100</v>
      </c>
      <c r="T21" s="1383" t="s">
        <v>5</v>
      </c>
      <c r="U21" s="1384">
        <f>H21</f>
        <v>100</v>
      </c>
      <c r="V21" s="1383" t="s">
        <v>5</v>
      </c>
      <c r="W21" s="1384">
        <f>J21</f>
        <v>100</v>
      </c>
      <c r="X21" s="1377"/>
      <c r="Y21" s="3933"/>
      <c r="Z21" s="1385" t="str">
        <f>Q21</f>
        <v>办公集聚程度</v>
      </c>
      <c r="AA21" s="1386">
        <f t="shared" si="3"/>
        <v>1</v>
      </c>
      <c r="AB21" s="1386">
        <f t="shared" si="4"/>
        <v>1</v>
      </c>
      <c r="AC21" s="1386">
        <f t="shared" si="5"/>
        <v>1</v>
      </c>
    </row>
    <row r="22" spans="1:29" ht="20.25" hidden="1">
      <c r="A22" s="501"/>
      <c r="B22" s="535"/>
      <c r="C22" s="523"/>
      <c r="D22" s="526"/>
      <c r="E22" s="527"/>
      <c r="F22" s="524"/>
      <c r="G22" s="525"/>
      <c r="H22" s="524"/>
      <c r="I22" s="527"/>
      <c r="J22" s="524"/>
      <c r="K22" s="500"/>
      <c r="L22" s="1862"/>
      <c r="M22" s="1852"/>
      <c r="N22" s="1852"/>
      <c r="O22" s="1861"/>
      <c r="P22" s="3933"/>
      <c r="Q22" s="1382"/>
      <c r="R22" s="1383"/>
      <c r="S22" s="1384"/>
      <c r="T22" s="1383"/>
      <c r="U22" s="1384"/>
      <c r="V22" s="1383"/>
      <c r="W22" s="1384"/>
      <c r="X22" s="1377"/>
      <c r="Y22" s="3933"/>
      <c r="Z22" s="1385"/>
      <c r="AA22" s="1386">
        <v>1</v>
      </c>
      <c r="AB22" s="1386">
        <v>1</v>
      </c>
      <c r="AC22" s="1386">
        <v>1</v>
      </c>
    </row>
    <row r="23" spans="1:29" ht="20.25">
      <c r="A23" s="501"/>
      <c r="B23" s="529" t="s">
        <v>492</v>
      </c>
      <c r="C23" s="542">
        <f>估价对象房地状况!C18</f>
        <v>0</v>
      </c>
      <c r="D23" s="532">
        <v>100</v>
      </c>
      <c r="E23" s="533"/>
      <c r="F23" s="534">
        <f>SUMIF(95:95,E24,96:96)-SUMIF(95:95,C24,96:96)+100</f>
        <v>105</v>
      </c>
      <c r="G23" s="531"/>
      <c r="H23" s="528">
        <f>SUMIF(95:95,G24,96:96)-SUMIF(95:95,C24,96:96)+100</f>
        <v>105</v>
      </c>
      <c r="I23" s="533"/>
      <c r="J23" s="528">
        <f>SUMIF(95:95,I24,96:96)-SUMIF(95:95,C24,96:96)+100</f>
        <v>100</v>
      </c>
      <c r="K23" s="504">
        <v>5</v>
      </c>
      <c r="L23" s="1862"/>
      <c r="M23" s="1852"/>
      <c r="N23" s="1852"/>
      <c r="O23" s="1861"/>
      <c r="P23" s="3933"/>
      <c r="Q23" s="1382" t="str">
        <f>B23</f>
        <v>交通便捷度</v>
      </c>
      <c r="R23" s="1383" t="s">
        <v>5</v>
      </c>
      <c r="S23" s="1384">
        <f>F23</f>
        <v>105</v>
      </c>
      <c r="T23" s="1383" t="s">
        <v>5</v>
      </c>
      <c r="U23" s="1384">
        <f>H23</f>
        <v>105</v>
      </c>
      <c r="V23" s="1383" t="s">
        <v>5</v>
      </c>
      <c r="W23" s="1384">
        <f>J23</f>
        <v>100</v>
      </c>
      <c r="X23" s="1377"/>
      <c r="Y23" s="3933"/>
      <c r="Z23" s="1385" t="str">
        <f>Q23</f>
        <v>交通便捷度</v>
      </c>
      <c r="AA23" s="1386">
        <f t="shared" si="3"/>
        <v>0.95238095238095233</v>
      </c>
      <c r="AB23" s="1386">
        <f t="shared" si="4"/>
        <v>0.95238095238095233</v>
      </c>
      <c r="AC23" s="1386">
        <f t="shared" si="5"/>
        <v>1</v>
      </c>
    </row>
    <row r="24" spans="1:29" ht="20.25">
      <c r="A24" s="501"/>
      <c r="B24" s="547"/>
      <c r="C24" s="523" t="s">
        <v>3411</v>
      </c>
      <c r="D24" s="526"/>
      <c r="E24" s="527" t="s">
        <v>3412</v>
      </c>
      <c r="F24" s="524"/>
      <c r="G24" s="525" t="s">
        <v>3412</v>
      </c>
      <c r="H24" s="524"/>
      <c r="I24" s="527" t="s">
        <v>3411</v>
      </c>
      <c r="J24" s="524"/>
      <c r="K24" s="500"/>
      <c r="L24" s="1862"/>
      <c r="M24" s="1852"/>
      <c r="N24" s="1852"/>
      <c r="O24" s="1861"/>
      <c r="P24" s="3933"/>
      <c r="Q24" s="1382"/>
      <c r="R24" s="1383"/>
      <c r="S24" s="1384"/>
      <c r="T24" s="1383"/>
      <c r="U24" s="1384"/>
      <c r="V24" s="1383"/>
      <c r="W24" s="1384"/>
      <c r="X24" s="1377"/>
      <c r="Y24" s="3933"/>
      <c r="Z24" s="1385"/>
      <c r="AA24" s="1386">
        <v>1</v>
      </c>
      <c r="AB24" s="1386">
        <v>1</v>
      </c>
      <c r="AC24" s="1386">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1</v>
      </c>
      <c r="L25" s="1862"/>
      <c r="M25" s="1852"/>
      <c r="N25" s="1852"/>
      <c r="O25" s="1861"/>
      <c r="P25" s="3933"/>
      <c r="Q25" s="1382" t="str">
        <f t="shared" ref="Q25:Q39" si="8">B25</f>
        <v>区域土地利用方向</v>
      </c>
      <c r="R25" s="1383" t="s">
        <v>5</v>
      </c>
      <c r="S25" s="1384">
        <f>F25</f>
        <v>100</v>
      </c>
      <c r="T25" s="1383" t="s">
        <v>5</v>
      </c>
      <c r="U25" s="1384">
        <f>H25</f>
        <v>100</v>
      </c>
      <c r="V25" s="1383" t="s">
        <v>5</v>
      </c>
      <c r="W25" s="1384">
        <f>J25</f>
        <v>100</v>
      </c>
      <c r="X25" s="1377"/>
      <c r="Y25" s="3933"/>
      <c r="Z25" s="1385" t="str">
        <f>Q25</f>
        <v>区域土地利用方向</v>
      </c>
      <c r="AA25" s="1386">
        <f t="shared" si="3"/>
        <v>1</v>
      </c>
      <c r="AB25" s="1386">
        <f t="shared" si="4"/>
        <v>1</v>
      </c>
      <c r="AC25" s="1386">
        <f t="shared" si="5"/>
        <v>1</v>
      </c>
    </row>
    <row r="26" spans="1:29" ht="20.25">
      <c r="A26" s="484"/>
      <c r="B26" s="965"/>
      <c r="C26" s="523" t="s">
        <v>3412</v>
      </c>
      <c r="D26" s="526"/>
      <c r="E26" s="523" t="s">
        <v>3412</v>
      </c>
      <c r="F26" s="524"/>
      <c r="G26" s="523" t="s">
        <v>3412</v>
      </c>
      <c r="H26" s="524"/>
      <c r="I26" s="523" t="s">
        <v>3412</v>
      </c>
      <c r="J26" s="524"/>
      <c r="K26" s="500"/>
      <c r="L26" s="1862"/>
      <c r="M26" s="1852"/>
      <c r="N26" s="1852"/>
      <c r="O26" s="1861"/>
      <c r="P26" s="3933"/>
      <c r="Q26" s="1382"/>
      <c r="R26" s="1383"/>
      <c r="S26" s="1384"/>
      <c r="T26" s="1383"/>
      <c r="U26" s="1384"/>
      <c r="V26" s="1383"/>
      <c r="W26" s="1384"/>
      <c r="X26" s="1377"/>
      <c r="Y26" s="3933"/>
      <c r="Z26" s="1385"/>
      <c r="AA26" s="1386"/>
      <c r="AB26" s="1386"/>
      <c r="AC26" s="1386"/>
    </row>
    <row r="27" spans="1:29" ht="27">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33"/>
      <c r="Q27" s="1382" t="str">
        <f t="shared" si="8"/>
        <v>自然及人文环境状况</v>
      </c>
      <c r="R27" s="1383" t="s">
        <v>5</v>
      </c>
      <c r="S27" s="1384">
        <f>F27</f>
        <v>100</v>
      </c>
      <c r="T27" s="1383" t="s">
        <v>5</v>
      </c>
      <c r="U27" s="1384">
        <f>H27</f>
        <v>100</v>
      </c>
      <c r="V27" s="1383" t="s">
        <v>5</v>
      </c>
      <c r="W27" s="1384">
        <f>J27</f>
        <v>100</v>
      </c>
      <c r="X27" s="1377"/>
      <c r="Y27" s="3933"/>
      <c r="Z27" s="1385" t="str">
        <f>Q27</f>
        <v>自然及人文环境状况</v>
      </c>
      <c r="AA27" s="1386">
        <f t="shared" si="3"/>
        <v>1</v>
      </c>
      <c r="AB27" s="1386">
        <f t="shared" si="4"/>
        <v>1</v>
      </c>
      <c r="AC27" s="1386">
        <f t="shared" si="5"/>
        <v>1</v>
      </c>
    </row>
    <row r="28" spans="1:29" ht="20.25">
      <c r="A28" s="484"/>
      <c r="B28" s="535"/>
      <c r="C28" s="523" t="s">
        <v>3411</v>
      </c>
      <c r="D28" s="526"/>
      <c r="E28" s="523" t="s">
        <v>3411</v>
      </c>
      <c r="F28" s="524"/>
      <c r="G28" s="523" t="s">
        <v>3411</v>
      </c>
      <c r="H28" s="524"/>
      <c r="I28" s="523" t="s">
        <v>3411</v>
      </c>
      <c r="J28" s="524"/>
      <c r="K28" s="500"/>
      <c r="L28" s="1862"/>
      <c r="M28" s="1852"/>
      <c r="N28" s="1852"/>
      <c r="O28" s="1861"/>
      <c r="P28" s="3933"/>
      <c r="Q28" s="1382"/>
      <c r="R28" s="1383"/>
      <c r="S28" s="1384"/>
      <c r="T28" s="1383"/>
      <c r="U28" s="1384"/>
      <c r="V28" s="1383"/>
      <c r="W28" s="1384"/>
      <c r="X28" s="1377"/>
      <c r="Y28" s="3933"/>
      <c r="Z28" s="1385"/>
      <c r="AA28" s="1386">
        <v>1</v>
      </c>
      <c r="AB28" s="1386">
        <v>1</v>
      </c>
      <c r="AC28" s="1386">
        <v>1</v>
      </c>
    </row>
    <row r="29" spans="1:29" s="1115" customFormat="1" ht="20.25">
      <c r="A29" s="546"/>
      <c r="B29" s="2196" t="s">
        <v>1831</v>
      </c>
      <c r="C29" s="542">
        <f>估价对象房地状况!C21</f>
        <v>0</v>
      </c>
      <c r="D29" s="532">
        <v>100</v>
      </c>
      <c r="E29" s="533"/>
      <c r="F29" s="528">
        <f>SUMIF(101:101,E30,102:102)-SUMIF(101:101,C30,102:102)+100</f>
        <v>105</v>
      </c>
      <c r="G29" s="531"/>
      <c r="H29" s="528">
        <f>SUMIF(101:101,G30,102:102)-SUMIF(101:101,C30,102:102)+100</f>
        <v>105</v>
      </c>
      <c r="I29" s="533"/>
      <c r="J29" s="528">
        <f>SUMIF(101:101,I30,102:102)-SUMIF(101:101,C30,102:102)+100</f>
        <v>100</v>
      </c>
      <c r="K29" s="504">
        <v>5</v>
      </c>
      <c r="L29" s="1855"/>
      <c r="M29" s="1852"/>
      <c r="N29" s="1852"/>
      <c r="O29" s="1857"/>
      <c r="P29" s="3933"/>
      <c r="Q29" s="1047" t="str">
        <f t="shared" si="8"/>
        <v>公共配套设施</v>
      </c>
      <c r="R29" s="1378" t="s">
        <v>5</v>
      </c>
      <c r="S29" s="1379">
        <f>F29</f>
        <v>105</v>
      </c>
      <c r="T29" s="1378" t="s">
        <v>5</v>
      </c>
      <c r="U29" s="1379">
        <f>H29</f>
        <v>105</v>
      </c>
      <c r="V29" s="1378" t="s">
        <v>5</v>
      </c>
      <c r="W29" s="1379">
        <f>J29</f>
        <v>100</v>
      </c>
      <c r="X29" s="1380"/>
      <c r="Y29" s="3933"/>
      <c r="Z29" s="1046" t="str">
        <f>Q29</f>
        <v>公共配套设施</v>
      </c>
      <c r="AA29" s="1386">
        <f>D29/F29</f>
        <v>0.95238095238095233</v>
      </c>
      <c r="AB29" s="1386">
        <f>D29/H29</f>
        <v>0.95238095238095233</v>
      </c>
      <c r="AC29" s="1386">
        <f>D29/J29</f>
        <v>1</v>
      </c>
    </row>
    <row r="30" spans="1:29" s="1115" customFormat="1" ht="20.25">
      <c r="A30" s="546"/>
      <c r="B30" s="535"/>
      <c r="C30" s="548" t="s">
        <v>3411</v>
      </c>
      <c r="D30" s="526"/>
      <c r="E30" s="527" t="s">
        <v>3412</v>
      </c>
      <c r="F30" s="524"/>
      <c r="G30" s="527" t="s">
        <v>3412</v>
      </c>
      <c r="H30" s="524"/>
      <c r="I30" s="548" t="s">
        <v>3411</v>
      </c>
      <c r="J30" s="524"/>
      <c r="K30" s="500"/>
      <c r="L30" s="1855"/>
      <c r="M30" s="1852"/>
      <c r="N30" s="1852"/>
      <c r="O30" s="1857"/>
      <c r="P30" s="3933"/>
      <c r="Q30" s="1047"/>
      <c r="R30" s="1378"/>
      <c r="S30" s="1379"/>
      <c r="T30" s="1378"/>
      <c r="U30" s="1379"/>
      <c r="V30" s="1378"/>
      <c r="W30" s="1379"/>
      <c r="X30" s="1380"/>
      <c r="Y30" s="3933"/>
      <c r="Z30" s="1046"/>
      <c r="AA30" s="1386">
        <v>1</v>
      </c>
      <c r="AB30" s="1386">
        <v>1</v>
      </c>
      <c r="AC30" s="1386">
        <v>1</v>
      </c>
    </row>
    <row r="31" spans="1:29" s="1115" customFormat="1" ht="20.25">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0.5</v>
      </c>
      <c r="L31" s="1855"/>
      <c r="M31" s="1852"/>
      <c r="N31" s="1852"/>
      <c r="O31" s="1857"/>
      <c r="P31" s="3933"/>
      <c r="Q31" s="2189" t="str">
        <f>B31</f>
        <v>基础设施水平</v>
      </c>
      <c r="R31" s="1378" t="s">
        <v>5</v>
      </c>
      <c r="S31" s="1379">
        <f>F31</f>
        <v>100</v>
      </c>
      <c r="T31" s="1378" t="s">
        <v>5</v>
      </c>
      <c r="U31" s="1379">
        <f>H31</f>
        <v>100</v>
      </c>
      <c r="V31" s="1378" t="s">
        <v>5</v>
      </c>
      <c r="W31" s="1379">
        <f>J31</f>
        <v>100</v>
      </c>
      <c r="X31" s="1380"/>
      <c r="Y31" s="3933"/>
      <c r="Z31" s="2188" t="str">
        <f>Q31</f>
        <v>基础设施水平</v>
      </c>
      <c r="AA31" s="1386">
        <f>D31/F31</f>
        <v>1</v>
      </c>
      <c r="AB31" s="1386">
        <f>D31/H31</f>
        <v>1</v>
      </c>
      <c r="AC31" s="1386">
        <f>D31/J31</f>
        <v>1</v>
      </c>
    </row>
    <row r="32" spans="1:29" s="1115" customFormat="1" ht="21" thickBot="1">
      <c r="A32" s="546"/>
      <c r="B32" s="535"/>
      <c r="C32" s="548" t="s">
        <v>3413</v>
      </c>
      <c r="D32" s="526"/>
      <c r="E32" s="548" t="s">
        <v>3413</v>
      </c>
      <c r="F32" s="524"/>
      <c r="G32" s="548" t="s">
        <v>3413</v>
      </c>
      <c r="H32" s="524"/>
      <c r="I32" s="548" t="s">
        <v>3413</v>
      </c>
      <c r="J32" s="524"/>
      <c r="K32" s="500"/>
      <c r="L32" s="1855"/>
      <c r="M32" s="1852"/>
      <c r="N32" s="1852"/>
      <c r="O32" s="1857"/>
      <c r="P32" s="3933"/>
      <c r="Q32" s="2189"/>
      <c r="R32" s="1378"/>
      <c r="S32" s="1379"/>
      <c r="T32" s="1378"/>
      <c r="U32" s="1379"/>
      <c r="V32" s="1378"/>
      <c r="W32" s="1379"/>
      <c r="X32" s="1380"/>
      <c r="Y32" s="3933"/>
      <c r="Z32" s="2188"/>
      <c r="AA32" s="1386">
        <v>1</v>
      </c>
      <c r="AB32" s="1386">
        <v>1</v>
      </c>
      <c r="AC32" s="1386">
        <v>1</v>
      </c>
    </row>
    <row r="33" spans="1:29" ht="20.25"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33"/>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33"/>
      <c r="Z33" s="1385" t="str">
        <f t="shared" ref="Z33:Z47" si="12">Q33</f>
        <v>临街状况</v>
      </c>
      <c r="AA33" s="1386">
        <f t="shared" si="3"/>
        <v>1</v>
      </c>
      <c r="AB33" s="1386">
        <f t="shared" si="4"/>
        <v>1</v>
      </c>
      <c r="AC33" s="1386">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33"/>
      <c r="Q34" s="1382" t="str">
        <f t="shared" si="8"/>
        <v>毗邻道路的类型与等级</v>
      </c>
      <c r="R34" s="1383" t="s">
        <v>5</v>
      </c>
      <c r="S34" s="1384">
        <f t="shared" si="9"/>
        <v>100</v>
      </c>
      <c r="T34" s="1383" t="s">
        <v>5</v>
      </c>
      <c r="U34" s="1384">
        <f t="shared" si="10"/>
        <v>100</v>
      </c>
      <c r="V34" s="1383" t="s">
        <v>5</v>
      </c>
      <c r="W34" s="1384">
        <f t="shared" si="11"/>
        <v>100</v>
      </c>
      <c r="X34" s="1377"/>
      <c r="Y34" s="3933"/>
      <c r="Z34" s="1385" t="str">
        <f t="shared" si="12"/>
        <v>毗邻道路的类型与等级</v>
      </c>
      <c r="AA34" s="1386">
        <f t="shared" si="3"/>
        <v>1</v>
      </c>
      <c r="AB34" s="1386">
        <f t="shared" si="4"/>
        <v>1</v>
      </c>
      <c r="AC34" s="1386">
        <f t="shared" si="5"/>
        <v>1</v>
      </c>
    </row>
    <row r="35" spans="1:29" ht="20.25" hidden="1">
      <c r="A35" s="501"/>
      <c r="B35" s="535"/>
      <c r="C35" s="523"/>
      <c r="D35" s="526"/>
      <c r="E35" s="545"/>
      <c r="F35" s="524"/>
      <c r="G35" s="523"/>
      <c r="H35" s="524"/>
      <c r="I35" s="545"/>
      <c r="J35" s="524"/>
      <c r="K35" s="550"/>
      <c r="L35" s="1862"/>
      <c r="M35" s="1852"/>
      <c r="N35" s="1852"/>
      <c r="O35" s="1861"/>
      <c r="P35" s="3933"/>
      <c r="Q35" s="1382"/>
      <c r="R35" s="1383"/>
      <c r="S35" s="1384"/>
      <c r="T35" s="1383"/>
      <c r="U35" s="1384"/>
      <c r="V35" s="1383"/>
      <c r="W35" s="1384"/>
      <c r="X35" s="1377"/>
      <c r="Y35" s="3933"/>
      <c r="Z35" s="1385"/>
      <c r="AA35" s="1386">
        <v>1</v>
      </c>
      <c r="AB35" s="1386">
        <v>1</v>
      </c>
      <c r="AC35" s="1386">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33"/>
      <c r="Q36" s="1382" t="str">
        <f t="shared" si="8"/>
        <v>土地级别</v>
      </c>
      <c r="R36" s="1383" t="s">
        <v>5</v>
      </c>
      <c r="S36" s="1384">
        <f t="shared" si="9"/>
        <v>100</v>
      </c>
      <c r="T36" s="1383" t="s">
        <v>5</v>
      </c>
      <c r="U36" s="1384">
        <f t="shared" si="10"/>
        <v>100</v>
      </c>
      <c r="V36" s="1383" t="s">
        <v>5</v>
      </c>
      <c r="W36" s="1384">
        <f t="shared" si="11"/>
        <v>100</v>
      </c>
      <c r="X36" s="1377"/>
      <c r="Y36" s="3933"/>
      <c r="Z36" s="1385" t="str">
        <f t="shared" si="12"/>
        <v>土地级别</v>
      </c>
      <c r="AA36" s="1386">
        <f t="shared" si="3"/>
        <v>1</v>
      </c>
      <c r="AB36" s="1386">
        <f t="shared" si="4"/>
        <v>1</v>
      </c>
      <c r="AC36" s="1386">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33"/>
      <c r="Q37" s="1382">
        <f t="shared" si="8"/>
        <v>111</v>
      </c>
      <c r="R37" s="1383" t="s">
        <v>5</v>
      </c>
      <c r="S37" s="1384">
        <f t="shared" si="9"/>
        <v>100</v>
      </c>
      <c r="T37" s="1383" t="s">
        <v>5</v>
      </c>
      <c r="U37" s="1384">
        <f t="shared" si="10"/>
        <v>100</v>
      </c>
      <c r="V37" s="1383" t="s">
        <v>5</v>
      </c>
      <c r="W37" s="1384">
        <f t="shared" si="11"/>
        <v>100</v>
      </c>
      <c r="X37" s="1377"/>
      <c r="Y37" s="3933"/>
      <c r="Z37" s="1385">
        <f t="shared" si="12"/>
        <v>111</v>
      </c>
      <c r="AA37" s="1386">
        <f t="shared" si="3"/>
        <v>1</v>
      </c>
      <c r="AB37" s="1386">
        <f t="shared" si="4"/>
        <v>1</v>
      </c>
      <c r="AC37" s="1386">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34" t="s">
        <v>499</v>
      </c>
      <c r="Q38" s="1382">
        <f t="shared" si="8"/>
        <v>111</v>
      </c>
      <c r="R38" s="1383" t="s">
        <v>5</v>
      </c>
      <c r="S38" s="1384">
        <f t="shared" si="9"/>
        <v>100</v>
      </c>
      <c r="T38" s="1383" t="s">
        <v>5</v>
      </c>
      <c r="U38" s="1384">
        <f t="shared" si="10"/>
        <v>100</v>
      </c>
      <c r="V38" s="1383" t="s">
        <v>5</v>
      </c>
      <c r="W38" s="1384">
        <f t="shared" si="11"/>
        <v>100</v>
      </c>
      <c r="X38" s="1377"/>
      <c r="Y38" s="3935" t="s">
        <v>499</v>
      </c>
      <c r="Z38" s="1385">
        <f t="shared" si="12"/>
        <v>111</v>
      </c>
      <c r="AA38" s="1386">
        <f t="shared" si="3"/>
        <v>1</v>
      </c>
      <c r="AB38" s="1386">
        <f t="shared" si="4"/>
        <v>1</v>
      </c>
      <c r="AC38" s="1386">
        <f t="shared" si="5"/>
        <v>1</v>
      </c>
    </row>
    <row r="39" spans="1:29" s="1197"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35"/>
      <c r="Q39" s="1382">
        <f t="shared" si="8"/>
        <v>111</v>
      </c>
      <c r="R39" s="1387" t="s">
        <v>5</v>
      </c>
      <c r="S39" s="1388">
        <f t="shared" si="9"/>
        <v>100</v>
      </c>
      <c r="T39" s="1387" t="s">
        <v>5</v>
      </c>
      <c r="U39" s="1388">
        <f t="shared" si="10"/>
        <v>100</v>
      </c>
      <c r="V39" s="1387" t="s">
        <v>5</v>
      </c>
      <c r="W39" s="1388">
        <f t="shared" si="11"/>
        <v>100</v>
      </c>
      <c r="X39" s="1389"/>
      <c r="Y39" s="3935"/>
      <c r="Z39" s="1390">
        <f t="shared" si="12"/>
        <v>111</v>
      </c>
      <c r="AA39" s="1386">
        <f t="shared" si="3"/>
        <v>1</v>
      </c>
      <c r="AB39" s="1386">
        <f t="shared" si="4"/>
        <v>1</v>
      </c>
      <c r="AC39" s="1386">
        <f t="shared" si="5"/>
        <v>1</v>
      </c>
    </row>
    <row r="40" spans="1:29" ht="20.25">
      <c r="A40" s="2384" t="s">
        <v>2037</v>
      </c>
      <c r="B40" s="564" t="s">
        <v>501</v>
      </c>
      <c r="C40" s="565">
        <f>经济技术指标!D7</f>
        <v>23364.85</v>
      </c>
      <c r="D40" s="566">
        <v>100</v>
      </c>
      <c r="E40" s="565">
        <f>土地案例!E4</f>
        <v>48701.2</v>
      </c>
      <c r="F40" s="566">
        <f>LOOKUP(E40,118:118,119:119)-LOOKUP(C40,118:118,119:119)+100</f>
        <v>101</v>
      </c>
      <c r="G40" s="565">
        <f>土地案例!E5</f>
        <v>32057.19</v>
      </c>
      <c r="H40" s="566">
        <f>LOOKUP(G40,118:118,119:119)-LOOKUP(C40,118:118,119:119)+100</f>
        <v>100</v>
      </c>
      <c r="I40" s="567">
        <f>土地案例!E13</f>
        <v>56727.74</v>
      </c>
      <c r="J40" s="566">
        <f>LOOKUP(I40,118:118,119:119)-LOOKUP(C40,118:118,119:119)+100</f>
        <v>101</v>
      </c>
      <c r="K40" s="550"/>
      <c r="L40" s="1862"/>
      <c r="M40" s="1852"/>
      <c r="N40" s="1852"/>
      <c r="O40" s="1861"/>
      <c r="P40" s="3935"/>
      <c r="Q40" s="1382" t="str">
        <f>B40</f>
        <v>宗地面积</v>
      </c>
      <c r="R40" s="1383" t="s">
        <v>5</v>
      </c>
      <c r="S40" s="1384">
        <f t="shared" si="9"/>
        <v>101</v>
      </c>
      <c r="T40" s="1383" t="s">
        <v>5</v>
      </c>
      <c r="U40" s="1384">
        <f t="shared" si="10"/>
        <v>100</v>
      </c>
      <c r="V40" s="1383" t="s">
        <v>5</v>
      </c>
      <c r="W40" s="1384">
        <f t="shared" si="11"/>
        <v>101</v>
      </c>
      <c r="X40" s="1377"/>
      <c r="Y40" s="3935"/>
      <c r="Z40" s="1385" t="str">
        <f t="shared" si="12"/>
        <v>宗地面积</v>
      </c>
      <c r="AA40" s="1386">
        <f t="shared" si="3"/>
        <v>0.99009900990099009</v>
      </c>
      <c r="AB40" s="1386">
        <f t="shared" si="4"/>
        <v>1</v>
      </c>
      <c r="AC40" s="1386">
        <f t="shared" si="5"/>
        <v>0.99009900990099009</v>
      </c>
    </row>
    <row r="41" spans="1:29" ht="20.25">
      <c r="A41" s="563"/>
      <c r="B41" s="496" t="s">
        <v>502</v>
      </c>
      <c r="C41" s="568" t="s">
        <v>3434</v>
      </c>
      <c r="D41" s="509">
        <v>100</v>
      </c>
      <c r="E41" s="568" t="s">
        <v>3434</v>
      </c>
      <c r="F41" s="509">
        <f>SUMIF(120:120,E41,121:121)-SUMIF(120:120,C41,121:121)+100</f>
        <v>100</v>
      </c>
      <c r="G41" s="568" t="s">
        <v>3434</v>
      </c>
      <c r="H41" s="509">
        <f>SUMIF(120:120,G41,121:121)-SUMIF(120:120,C41,121:121)+100</f>
        <v>100</v>
      </c>
      <c r="I41" s="568" t="s">
        <v>3437</v>
      </c>
      <c r="J41" s="509">
        <f>SUMIF(120:120,I41,121:121)-SUMIF(120:120,C41,121:121)+100</f>
        <v>99.5</v>
      </c>
      <c r="K41" s="553">
        <v>0.5</v>
      </c>
      <c r="L41" s="1862"/>
      <c r="M41" s="1852"/>
      <c r="N41" s="1852"/>
      <c r="O41" s="1861"/>
      <c r="P41" s="3935"/>
      <c r="Q41" s="1382" t="str">
        <f t="shared" ref="Q41:Q47" si="13">B41</f>
        <v>宗地形状</v>
      </c>
      <c r="R41" s="1383" t="s">
        <v>5</v>
      </c>
      <c r="S41" s="1384">
        <f t="shared" si="9"/>
        <v>100</v>
      </c>
      <c r="T41" s="1383" t="s">
        <v>5</v>
      </c>
      <c r="U41" s="1384">
        <f t="shared" si="10"/>
        <v>100</v>
      </c>
      <c r="V41" s="1383" t="s">
        <v>5</v>
      </c>
      <c r="W41" s="1384">
        <f t="shared" si="11"/>
        <v>99.5</v>
      </c>
      <c r="X41" s="1377"/>
      <c r="Y41" s="3935"/>
      <c r="Z41" s="1385" t="str">
        <f t="shared" si="12"/>
        <v>宗地形状</v>
      </c>
      <c r="AA41" s="1386">
        <f t="shared" si="3"/>
        <v>1</v>
      </c>
      <c r="AB41" s="1386">
        <f t="shared" si="4"/>
        <v>1</v>
      </c>
      <c r="AC41" s="1386">
        <f t="shared" si="5"/>
        <v>1.0050251256281406</v>
      </c>
    </row>
    <row r="42" spans="1:29" ht="20.25">
      <c r="A42" s="563"/>
      <c r="B42" s="496" t="s">
        <v>503</v>
      </c>
      <c r="C42" s="568" t="s">
        <v>3450</v>
      </c>
      <c r="D42" s="509">
        <v>100</v>
      </c>
      <c r="E42" s="568" t="s">
        <v>3450</v>
      </c>
      <c r="F42" s="509">
        <f>SUMIF(122:122,E42,123:123)-SUMIF(122:122,C42,123:123)+100</f>
        <v>100</v>
      </c>
      <c r="G42" s="568" t="s">
        <v>3450</v>
      </c>
      <c r="H42" s="509">
        <f>SUMIF(122:122,G42,123:123)-SUMIF(122:122,C42,123:123)+100</f>
        <v>100</v>
      </c>
      <c r="I42" s="568" t="s">
        <v>3450</v>
      </c>
      <c r="J42" s="509">
        <f>SUMIF(122:122,I42,123:123)-SUMIF(122:122,C42,123:123)+100</f>
        <v>100</v>
      </c>
      <c r="K42" s="553">
        <v>1</v>
      </c>
      <c r="L42" s="1862"/>
      <c r="M42" s="1852"/>
      <c r="N42" s="1852"/>
      <c r="O42" s="1861"/>
      <c r="P42" s="3935"/>
      <c r="Q42" s="1382" t="str">
        <f t="shared" si="13"/>
        <v>临街宽度及深度</v>
      </c>
      <c r="R42" s="1383" t="s">
        <v>5</v>
      </c>
      <c r="S42" s="1384">
        <f t="shared" si="9"/>
        <v>100</v>
      </c>
      <c r="T42" s="1383" t="s">
        <v>5</v>
      </c>
      <c r="U42" s="1384">
        <f t="shared" si="10"/>
        <v>100</v>
      </c>
      <c r="V42" s="1383" t="s">
        <v>5</v>
      </c>
      <c r="W42" s="1384">
        <f t="shared" si="11"/>
        <v>100</v>
      </c>
      <c r="X42" s="1377"/>
      <c r="Y42" s="3935"/>
      <c r="Z42" s="1385" t="str">
        <f t="shared" si="12"/>
        <v>临街宽度及深度</v>
      </c>
      <c r="AA42" s="1386">
        <f t="shared" si="3"/>
        <v>1</v>
      </c>
      <c r="AB42" s="1386">
        <f t="shared" si="4"/>
        <v>1</v>
      </c>
      <c r="AC42" s="1386">
        <f t="shared" si="5"/>
        <v>1</v>
      </c>
    </row>
    <row r="43" spans="1:29" s="1115" customFormat="1" ht="20.25">
      <c r="A43" s="569"/>
      <c r="B43" s="1648" t="s">
        <v>1776</v>
      </c>
      <c r="C43" s="570" t="s">
        <v>3427</v>
      </c>
      <c r="D43" s="245">
        <v>100</v>
      </c>
      <c r="E43" s="570" t="s">
        <v>3430</v>
      </c>
      <c r="F43" s="509">
        <f>SUMIF(124:124,E43,125:125)-SUMIF(124:124,C43,125:125)+100</f>
        <v>99.25</v>
      </c>
      <c r="G43" s="570" t="s">
        <v>3430</v>
      </c>
      <c r="H43" s="509">
        <f>SUMIF(124:124,G43,125:125)-SUMIF(124:124,C43,125:125)+100</f>
        <v>99.25</v>
      </c>
      <c r="I43" s="570" t="s">
        <v>3427</v>
      </c>
      <c r="J43" s="509">
        <f>SUMIF(124:124,I43,125:125)-SUMIF(124:124,C43,125:125)+100</f>
        <v>100</v>
      </c>
      <c r="K43" s="553">
        <v>0.25</v>
      </c>
      <c r="L43" s="1855"/>
      <c r="M43" s="1852"/>
      <c r="N43" s="1852"/>
      <c r="O43" s="1857"/>
      <c r="P43" s="3935"/>
      <c r="Q43" s="1382" t="str">
        <f t="shared" si="13"/>
        <v>宗地开发程度</v>
      </c>
      <c r="R43" s="1378" t="s">
        <v>5</v>
      </c>
      <c r="S43" s="1379">
        <f t="shared" si="9"/>
        <v>99.25</v>
      </c>
      <c r="T43" s="1378" t="s">
        <v>5</v>
      </c>
      <c r="U43" s="1379">
        <f t="shared" si="10"/>
        <v>99.25</v>
      </c>
      <c r="V43" s="1378" t="s">
        <v>5</v>
      </c>
      <c r="W43" s="1379">
        <f t="shared" si="11"/>
        <v>100</v>
      </c>
      <c r="X43" s="1380"/>
      <c r="Y43" s="3935"/>
      <c r="Z43" s="1046" t="str">
        <f t="shared" si="12"/>
        <v>宗地开发程度</v>
      </c>
      <c r="AA43" s="1381">
        <f t="shared" si="3"/>
        <v>1.0075566750629723</v>
      </c>
      <c r="AB43" s="1381">
        <f t="shared" si="4"/>
        <v>1.0075566750629723</v>
      </c>
      <c r="AC43" s="1381">
        <f t="shared" si="5"/>
        <v>1</v>
      </c>
    </row>
    <row r="44" spans="1:29" ht="21" thickBot="1">
      <c r="A44" s="563"/>
      <c r="B44" s="496" t="s">
        <v>504</v>
      </c>
      <c r="C44" s="568" t="s">
        <v>3412</v>
      </c>
      <c r="D44" s="509">
        <v>100</v>
      </c>
      <c r="E44" s="568" t="s">
        <v>3412</v>
      </c>
      <c r="F44" s="509">
        <f>SUMIF(126:126,E44,127:127)-SUMIF(126:126,C44,127:127)+100</f>
        <v>100</v>
      </c>
      <c r="G44" s="568" t="s">
        <v>3412</v>
      </c>
      <c r="H44" s="509">
        <f>SUMIF(126:126,G44,127:127)-SUMIF(126:126,C44,127:127)+100</f>
        <v>100</v>
      </c>
      <c r="I44" s="568" t="s">
        <v>3412</v>
      </c>
      <c r="J44" s="509">
        <f>SUMIF(126:126,I44,127:127)-SUMIF(126:126,C44,127:127)+100</f>
        <v>100</v>
      </c>
      <c r="K44" s="553">
        <v>1</v>
      </c>
      <c r="L44" s="1862"/>
      <c r="M44" s="1852"/>
      <c r="N44" s="1852"/>
      <c r="O44" s="1861"/>
      <c r="P44" s="3935" t="s">
        <v>499</v>
      </c>
      <c r="Q44" s="1382" t="str">
        <f t="shared" si="13"/>
        <v>工程地质条件</v>
      </c>
      <c r="R44" s="1383" t="s">
        <v>5</v>
      </c>
      <c r="S44" s="1384">
        <f t="shared" si="9"/>
        <v>100</v>
      </c>
      <c r="T44" s="1383" t="s">
        <v>5</v>
      </c>
      <c r="U44" s="1384">
        <f t="shared" si="10"/>
        <v>100</v>
      </c>
      <c r="V44" s="1383" t="s">
        <v>5</v>
      </c>
      <c r="W44" s="1384">
        <f t="shared" si="11"/>
        <v>100</v>
      </c>
      <c r="X44" s="1377"/>
      <c r="Y44" s="3935" t="s">
        <v>499</v>
      </c>
      <c r="Z44" s="1385" t="str">
        <f t="shared" si="12"/>
        <v>工程地质条件</v>
      </c>
      <c r="AA44" s="1386">
        <f t="shared" si="3"/>
        <v>1</v>
      </c>
      <c r="AB44" s="1386">
        <f t="shared" si="4"/>
        <v>1</v>
      </c>
      <c r="AC44" s="1386">
        <f t="shared" si="5"/>
        <v>1</v>
      </c>
    </row>
    <row r="45" spans="1:29" ht="20.25"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2"/>
      <c r="M45" s="1852"/>
      <c r="N45" s="1852"/>
      <c r="O45" s="1861"/>
      <c r="P45" s="3935"/>
      <c r="Q45" s="1382">
        <f t="shared" si="13"/>
        <v>111</v>
      </c>
      <c r="R45" s="1383" t="s">
        <v>5</v>
      </c>
      <c r="S45" s="1384">
        <f t="shared" si="9"/>
        <v>100</v>
      </c>
      <c r="T45" s="1383" t="s">
        <v>5</v>
      </c>
      <c r="U45" s="1384">
        <f t="shared" si="10"/>
        <v>100</v>
      </c>
      <c r="V45" s="1383" t="s">
        <v>5</v>
      </c>
      <c r="W45" s="1384">
        <f t="shared" si="11"/>
        <v>100</v>
      </c>
      <c r="X45" s="1377"/>
      <c r="Y45" s="3935"/>
      <c r="Z45" s="1385">
        <f t="shared" si="12"/>
        <v>111</v>
      </c>
      <c r="AA45" s="1386">
        <f t="shared" si="3"/>
        <v>1</v>
      </c>
      <c r="AB45" s="1386">
        <f t="shared" si="4"/>
        <v>1</v>
      </c>
      <c r="AC45" s="1386">
        <f t="shared" si="5"/>
        <v>1</v>
      </c>
    </row>
    <row r="46" spans="1:29" ht="20.25"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2"/>
      <c r="M46" s="1852"/>
      <c r="N46" s="1852"/>
      <c r="O46" s="1861"/>
      <c r="P46" s="3935"/>
      <c r="Q46" s="1382">
        <f t="shared" si="13"/>
        <v>111</v>
      </c>
      <c r="R46" s="1383" t="s">
        <v>5</v>
      </c>
      <c r="S46" s="1384">
        <f t="shared" si="9"/>
        <v>100</v>
      </c>
      <c r="T46" s="1383" t="s">
        <v>5</v>
      </c>
      <c r="U46" s="1384">
        <f t="shared" si="10"/>
        <v>100</v>
      </c>
      <c r="V46" s="1383" t="s">
        <v>5</v>
      </c>
      <c r="W46" s="1384">
        <f t="shared" si="11"/>
        <v>100</v>
      </c>
      <c r="X46" s="1377"/>
      <c r="Y46" s="3935"/>
      <c r="Z46" s="1385">
        <f t="shared" si="12"/>
        <v>111</v>
      </c>
      <c r="AA46" s="1386">
        <f t="shared" si="3"/>
        <v>1</v>
      </c>
      <c r="AB46" s="1386">
        <f t="shared" si="4"/>
        <v>1</v>
      </c>
      <c r="AC46" s="1386">
        <f t="shared" si="5"/>
        <v>1</v>
      </c>
    </row>
    <row r="47" spans="1:29" s="1197" customFormat="1" ht="21"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35"/>
      <c r="Q47" s="1382">
        <f t="shared" si="13"/>
        <v>111</v>
      </c>
      <c r="R47" s="1387" t="s">
        <v>5</v>
      </c>
      <c r="S47" s="1388">
        <f t="shared" si="9"/>
        <v>100</v>
      </c>
      <c r="T47" s="1387" t="s">
        <v>5</v>
      </c>
      <c r="U47" s="1388">
        <f t="shared" si="10"/>
        <v>100</v>
      </c>
      <c r="V47" s="1387" t="s">
        <v>5</v>
      </c>
      <c r="W47" s="1388">
        <f t="shared" si="11"/>
        <v>100</v>
      </c>
      <c r="X47" s="1389"/>
      <c r="Y47" s="3935"/>
      <c r="Z47" s="1390">
        <f t="shared" si="12"/>
        <v>111</v>
      </c>
      <c r="AA47" s="1386">
        <f t="shared" si="3"/>
        <v>1</v>
      </c>
      <c r="AB47" s="1386">
        <f t="shared" si="4"/>
        <v>1</v>
      </c>
      <c r="AC47" s="1386">
        <f t="shared" si="5"/>
        <v>1</v>
      </c>
    </row>
    <row r="48" spans="1:29" ht="20.25">
      <c r="A48" s="576" t="s">
        <v>505</v>
      </c>
      <c r="B48" s="577" t="s">
        <v>3440</v>
      </c>
      <c r="C48" s="578" t="s">
        <v>0</v>
      </c>
      <c r="D48" s="579"/>
      <c r="E48" s="580">
        <f>土地案例!R4</f>
        <v>14933</v>
      </c>
      <c r="F48" s="581"/>
      <c r="G48" s="582">
        <f>土地案例!R5</f>
        <v>15792</v>
      </c>
      <c r="H48" s="583"/>
      <c r="I48" s="580">
        <f>土地案例!R13</f>
        <v>13818</v>
      </c>
      <c r="J48" s="583"/>
      <c r="K48" s="1198"/>
      <c r="L48" s="1864"/>
      <c r="M48" s="1852"/>
      <c r="N48" s="1852"/>
      <c r="O48" s="1865"/>
      <c r="P48" s="3898" t="str">
        <f>A48</f>
        <v>成交单价</v>
      </c>
      <c r="Q48" s="3898"/>
      <c r="R48" s="3899">
        <f>E48</f>
        <v>14933</v>
      </c>
      <c r="S48" s="3899"/>
      <c r="T48" s="3899">
        <f>G48</f>
        <v>15792</v>
      </c>
      <c r="U48" s="3899"/>
      <c r="V48" s="3899">
        <f>I48</f>
        <v>13818</v>
      </c>
      <c r="W48" s="3899"/>
      <c r="X48" s="1372"/>
      <c r="Y48" s="1391"/>
      <c r="Z48" s="1372"/>
      <c r="AA48" s="1372"/>
      <c r="AB48" s="1372"/>
      <c r="AC48" s="1372"/>
    </row>
    <row r="49" spans="1:29" ht="21" thickBot="1">
      <c r="A49" s="584" t="s">
        <v>1975</v>
      </c>
      <c r="B49" s="585"/>
      <c r="C49" s="586">
        <f>R50</f>
        <v>13955</v>
      </c>
      <c r="D49" s="2754" t="s">
        <v>2251</v>
      </c>
      <c r="E49" s="586">
        <f>R49</f>
        <v>13106</v>
      </c>
      <c r="F49" s="2755"/>
      <c r="G49" s="587">
        <f>T49</f>
        <v>14077</v>
      </c>
      <c r="H49" s="2755"/>
      <c r="I49" s="586">
        <f>V49</f>
        <v>14683</v>
      </c>
      <c r="J49" s="2755"/>
      <c r="K49" s="2756">
        <f>F49+H49+J49</f>
        <v>0</v>
      </c>
      <c r="L49" s="1864"/>
      <c r="M49" s="1852"/>
      <c r="N49" s="1852"/>
      <c r="O49" s="1865"/>
      <c r="P49" s="3898" t="str">
        <f>A49</f>
        <v>比较价格（元/平方米）</v>
      </c>
      <c r="Q49" s="3898"/>
      <c r="R49" s="3900">
        <f>ROUND(PRODUCT(R48,AA9:AA47),0)</f>
        <v>13106</v>
      </c>
      <c r="S49" s="3900"/>
      <c r="T49" s="3900">
        <f>ROUND(PRODUCT(T48,AB9:AB47),0)</f>
        <v>14077</v>
      </c>
      <c r="U49" s="3900"/>
      <c r="V49" s="3900">
        <f>ROUND(PRODUCT(V48,AC9:AC47),0)</f>
        <v>14683</v>
      </c>
      <c r="W49" s="3900"/>
      <c r="X49" s="1372"/>
      <c r="Y49" s="1372"/>
      <c r="Z49" s="1372"/>
      <c r="AA49" s="1372"/>
      <c r="AB49" s="1372"/>
      <c r="AC49" s="1372"/>
    </row>
    <row r="50" spans="1:29" ht="21" thickBot="1">
      <c r="A50" s="588" t="s">
        <v>2188</v>
      </c>
      <c r="B50" s="589"/>
      <c r="C50" s="590">
        <f>R50</f>
        <v>13955</v>
      </c>
      <c r="D50" s="590"/>
      <c r="E50" s="590"/>
      <c r="F50" s="590"/>
      <c r="G50" s="590"/>
      <c r="H50" s="590"/>
      <c r="I50" s="590"/>
      <c r="J50" s="590"/>
      <c r="K50" s="1199"/>
      <c r="L50" s="1864"/>
      <c r="M50" s="1852"/>
      <c r="N50" s="1852"/>
      <c r="O50" s="1865"/>
      <c r="P50" s="3936" t="str">
        <f>A50</f>
        <v>估价对象XX用房的比较价格（楼面单价，元/平方米）</v>
      </c>
      <c r="Q50" s="3937"/>
      <c r="R50" s="3897">
        <f>ROUND(IF(D49="简单平均",AVERAGE(R49:W49),R49*F49+T49*H49+V49*J49),0)</f>
        <v>13955</v>
      </c>
      <c r="S50" s="3897"/>
      <c r="T50" s="3897"/>
      <c r="U50" s="3897"/>
      <c r="V50" s="3897"/>
      <c r="W50" s="3897"/>
      <c r="X50" s="1372"/>
      <c r="Y50" s="1372"/>
      <c r="Z50" s="1372"/>
      <c r="AA50" s="1372"/>
      <c r="AB50" s="1372"/>
      <c r="AC50" s="1372"/>
    </row>
    <row r="51" spans="1:29" ht="20.25">
      <c r="A51" s="2954"/>
      <c r="B51" s="2954"/>
      <c r="C51" s="2954"/>
      <c r="D51" s="2954"/>
      <c r="E51" s="2954"/>
      <c r="F51" s="2954"/>
      <c r="G51" s="2956"/>
      <c r="H51" s="2954"/>
      <c r="I51" s="2954"/>
      <c r="J51" s="2954"/>
      <c r="K51" s="2957"/>
      <c r="L51" s="1869"/>
      <c r="M51" s="1852"/>
      <c r="N51" s="1852"/>
      <c r="O51" s="1865"/>
      <c r="P51" s="1865"/>
      <c r="Q51" s="1865"/>
      <c r="R51" s="1865"/>
      <c r="S51" s="1865"/>
      <c r="T51" s="1865"/>
      <c r="U51" s="1865"/>
      <c r="V51" s="1865"/>
      <c r="W51" s="1865"/>
      <c r="X51" s="1865"/>
      <c r="Y51" s="1865"/>
      <c r="Z51" s="1865"/>
      <c r="AA51" s="1865"/>
      <c r="AB51" s="1865"/>
      <c r="AC51" s="1865"/>
    </row>
    <row r="52" spans="1:29" ht="20.25">
      <c r="A52" s="2954"/>
      <c r="B52" s="2954"/>
      <c r="C52" s="2954"/>
      <c r="D52" s="2954"/>
      <c r="E52" s="2954"/>
      <c r="F52" s="2954"/>
      <c r="G52" s="2954"/>
      <c r="H52" s="2954"/>
      <c r="I52" s="2954"/>
      <c r="J52" s="2954"/>
      <c r="K52" s="2957"/>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506</v>
      </c>
      <c r="D53" s="592"/>
      <c r="E53" s="593">
        <f>IF(E48&lt;E49,E49/E48-1,E48/E49-1)</f>
        <v>0.13940180070196861</v>
      </c>
      <c r="F53" s="594" t="str">
        <f>IF(OR(E53&gt;=0.3,E53&lt;=-0.3),"超过30%","")</f>
        <v/>
      </c>
      <c r="G53" s="593">
        <f>IF(G48&lt;G49,G49/G48-1,G48/G49-1)</f>
        <v>0.12182993535554454</v>
      </c>
      <c r="H53" s="594" t="str">
        <f>IF(OR(G53&gt;=0.3,G53&lt;=-0.3),"超过30%","")</f>
        <v/>
      </c>
      <c r="I53" s="593">
        <f>IF(I48&lt;I49,I49/I48-1,I48/I49-1)</f>
        <v>6.2599507888261741E-2</v>
      </c>
      <c r="J53" s="594" t="str">
        <f>IF(OR(I53&gt;=0.3,I53&lt;=-0.3),"超过30%","")</f>
        <v/>
      </c>
      <c r="K53" s="2957"/>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4"/>
      <c r="B54" s="2954"/>
      <c r="C54" s="591" t="s">
        <v>507</v>
      </c>
      <c r="D54" s="595"/>
      <c r="E54" s="593">
        <f>IF(E49&lt;G49,G49/E49-1,E49/G49-1)</f>
        <v>7.4088203876087277E-2</v>
      </c>
      <c r="F54" s="594" t="str">
        <f>IF(OR(E54&gt;=0.2,E54&lt;=-0.2),"超过20%","")</f>
        <v/>
      </c>
      <c r="G54" s="593">
        <f>IF(G49&lt;I49,I49/G49-1,G49/I49-1)</f>
        <v>4.3048945087731827E-2</v>
      </c>
      <c r="H54" s="594" t="str">
        <f>IF(OR(G54&gt;=0.2,G54&lt;=-0.2),"超过20%","")</f>
        <v/>
      </c>
      <c r="I54" s="593">
        <f>IF(I49&lt;E49,E49/I49-1,I49/E49-1)</f>
        <v>0.12032656798412944</v>
      </c>
      <c r="J54" s="594" t="str">
        <f>IF(OR(I54&gt;=0.2,I54&lt;=-0.2),"超过20%","")</f>
        <v/>
      </c>
      <c r="K54" s="2957"/>
      <c r="L54" s="1869"/>
      <c r="M54" s="1852"/>
      <c r="N54" s="1852"/>
      <c r="O54" s="1865"/>
      <c r="P54" s="1865"/>
      <c r="Q54" s="1865"/>
      <c r="R54" s="1865"/>
      <c r="S54" s="1865"/>
      <c r="T54" s="1865"/>
      <c r="U54" s="1865"/>
      <c r="V54" s="1865"/>
      <c r="W54" s="1865"/>
      <c r="X54" s="1865"/>
      <c r="Y54" s="1865"/>
      <c r="Z54" s="1865"/>
      <c r="AA54" s="1865"/>
      <c r="AB54" s="1865"/>
      <c r="AC54" s="1865"/>
    </row>
    <row r="55" spans="1:29" s="1202" customFormat="1" ht="13.5" customHeight="1">
      <c r="A55" s="2955"/>
      <c r="B55" s="2955"/>
      <c r="C55" s="591" t="s">
        <v>508</v>
      </c>
      <c r="D55" s="595"/>
      <c r="E55" s="593">
        <f>IF(E48&lt;G48,G48/E48-1,E48/G48-1)</f>
        <v>5.7523605437621361E-2</v>
      </c>
      <c r="F55" s="594" t="str">
        <f>IF(OR(E55&gt;=0.3,E55&lt;=-0.3),"超过30%","")</f>
        <v/>
      </c>
      <c r="G55" s="593">
        <f>IF(G48&lt;I48,I48/G48-1,G48/I48-1)</f>
        <v>0.14285714285714279</v>
      </c>
      <c r="H55" s="594" t="str">
        <f>IF(OR(G55&gt;=0.3,G55&lt;=-0.3),"超过30%","")</f>
        <v/>
      </c>
      <c r="I55" s="593">
        <f>IF(I48&lt;E48,E48/I48-1,I48/E48-1)</f>
        <v>8.0691851208568588E-2</v>
      </c>
      <c r="J55" s="594" t="str">
        <f>IF(OR(I55&gt;=0.3,I55&lt;=-0.3),"超过30%","")</f>
        <v/>
      </c>
      <c r="K55" s="2958"/>
      <c r="L55" s="1872"/>
      <c r="M55" s="1852"/>
      <c r="N55" s="1852"/>
      <c r="O55" s="1866"/>
      <c r="P55" s="1866"/>
      <c r="Q55" s="1866"/>
      <c r="R55" s="1866"/>
      <c r="S55" s="1866"/>
      <c r="T55" s="1866"/>
      <c r="U55" s="1866"/>
      <c r="V55" s="1866"/>
      <c r="W55" s="1866"/>
      <c r="X55" s="1866"/>
      <c r="Y55" s="1866"/>
      <c r="Z55" s="1866"/>
      <c r="AA55" s="1866"/>
      <c r="AB55" s="1866"/>
      <c r="AC55" s="1866"/>
    </row>
    <row r="56" spans="1:29" s="1202" customFormat="1" ht="21" thickBot="1">
      <c r="A56" s="1866"/>
      <c r="B56" s="1867"/>
      <c r="C56" s="1870"/>
      <c r="D56" s="1866"/>
      <c r="E56" s="1866"/>
      <c r="F56" s="1866"/>
      <c r="G56" s="1866"/>
      <c r="H56" s="1866"/>
      <c r="I56" s="1866"/>
      <c r="J56" s="1866"/>
      <c r="K56" s="2958"/>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925" t="s">
        <v>1639</v>
      </c>
      <c r="H57" s="3926"/>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3" customFormat="1" ht="12.75">
      <c r="A58" s="600" t="s">
        <v>513</v>
      </c>
      <c r="B58" s="601">
        <f>C50</f>
        <v>13955</v>
      </c>
      <c r="C58" s="602">
        <v>1</v>
      </c>
      <c r="D58" s="1944">
        <v>1</v>
      </c>
      <c r="E58" s="602">
        <f>'数据-汇总表'!E8+'数据-汇总表'!E9</f>
        <v>50963.340000000004</v>
      </c>
      <c r="F58" s="603">
        <f t="shared" ref="F58:F66" si="14">ROUND(B58*E58/10000,0)</f>
        <v>71119</v>
      </c>
      <c r="G58" s="3927"/>
      <c r="H58" s="3928"/>
      <c r="I58" s="1370">
        <v>1</v>
      </c>
      <c r="J58" s="1370">
        <v>1</v>
      </c>
      <c r="K58" s="2959"/>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4" t="s">
        <v>514</v>
      </c>
      <c r="B59" s="605">
        <f>ROUND($C$50*C59*D59,0)</f>
        <v>1744</v>
      </c>
      <c r="C59" s="364">
        <f t="shared" ref="C59:C66" si="15">IF($C$57="北京市系数",I59,J59)</f>
        <v>0.5</v>
      </c>
      <c r="D59" s="1945">
        <v>0.25</v>
      </c>
      <c r="E59" s="606">
        <v>0</v>
      </c>
      <c r="F59" s="603">
        <f t="shared" si="14"/>
        <v>0</v>
      </c>
      <c r="G59" s="3274" t="s">
        <v>1640</v>
      </c>
      <c r="H59" s="1701" t="str">
        <f>项目基本情况!B43</f>
        <v>九级</v>
      </c>
      <c r="I59" s="1370">
        <f>SUMIF(修正!$A$57:$A$68,H59,修正!B57:B68)</f>
        <v>0.5</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4" t="s">
        <v>515</v>
      </c>
      <c r="B60" s="605">
        <f t="shared" ref="B60:B66" si="16">ROUND($C$50*C60*D60,0)</f>
        <v>698</v>
      </c>
      <c r="C60" s="364">
        <f t="shared" si="15"/>
        <v>0.2</v>
      </c>
      <c r="D60" s="1945">
        <v>0.25</v>
      </c>
      <c r="E60" s="606">
        <v>0</v>
      </c>
      <c r="F60" s="603">
        <f t="shared" si="14"/>
        <v>0</v>
      </c>
      <c r="G60" s="3275"/>
      <c r="H60" s="1701" t="str">
        <f>项目基本情况!B43</f>
        <v>九级</v>
      </c>
      <c r="I60" s="1370">
        <f>SUMIF(修正!$A$57:$A$68,H60,修正!C57:C68)</f>
        <v>0.2</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2.75">
      <c r="A61" s="604" t="s">
        <v>516</v>
      </c>
      <c r="B61" s="605">
        <f t="shared" si="16"/>
        <v>698</v>
      </c>
      <c r="C61" s="364">
        <f t="shared" si="15"/>
        <v>0.2</v>
      </c>
      <c r="D61" s="1945">
        <v>0.25</v>
      </c>
      <c r="E61" s="606">
        <v>0</v>
      </c>
      <c r="F61" s="603">
        <f t="shared" si="14"/>
        <v>0</v>
      </c>
      <c r="G61" s="3275"/>
      <c r="H61" s="1701" t="str">
        <f>项目基本情况!B43</f>
        <v>九级</v>
      </c>
      <c r="I61" s="1370">
        <f>SUMIF(修正!$A$57:$A$68,H61,修正!D57:D68)</f>
        <v>0.2</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2.75">
      <c r="A62" s="2047" t="s">
        <v>1685</v>
      </c>
      <c r="B62" s="605">
        <f t="shared" si="16"/>
        <v>698</v>
      </c>
      <c r="C62" s="364">
        <f t="shared" si="15"/>
        <v>0.2</v>
      </c>
      <c r="D62" s="1945">
        <v>0.25</v>
      </c>
      <c r="E62" s="608">
        <f>'数据-汇总表'!E11</f>
        <v>409</v>
      </c>
      <c r="F62" s="603">
        <f t="shared" si="14"/>
        <v>29</v>
      </c>
      <c r="G62" s="1698" t="s">
        <v>1641</v>
      </c>
      <c r="H62" s="1701" t="str">
        <f>项目基本情况!C43</f>
        <v>九级</v>
      </c>
      <c r="I62" s="1370">
        <f>SUMIF(修正!$A$57:$A$68,H62,修正!E57:E68)</f>
        <v>0.2</v>
      </c>
      <c r="J62" s="1371"/>
      <c r="K62" s="2959"/>
      <c r="L62" s="1874"/>
      <c r="M62" s="1874"/>
      <c r="N62" s="1874"/>
      <c r="O62" s="1874"/>
      <c r="P62" s="1874"/>
      <c r="Q62" s="1874"/>
      <c r="R62" s="1874"/>
      <c r="S62" s="1874"/>
      <c r="T62" s="1874"/>
      <c r="U62" s="1874"/>
      <c r="V62" s="1874"/>
      <c r="W62" s="1874"/>
      <c r="X62" s="1874"/>
      <c r="Y62" s="1874"/>
      <c r="Z62" s="1874"/>
      <c r="AA62" s="1874"/>
      <c r="AB62" s="1874"/>
      <c r="AC62" s="1874"/>
    </row>
    <row r="63" spans="1:29" s="1203" customFormat="1" ht="12.75">
      <c r="A63" s="604" t="s">
        <v>517</v>
      </c>
      <c r="B63" s="605">
        <f t="shared" si="16"/>
        <v>698</v>
      </c>
      <c r="C63" s="364">
        <f t="shared" si="15"/>
        <v>0.2</v>
      </c>
      <c r="D63" s="1945">
        <v>0.25</v>
      </c>
      <c r="E63" s="608">
        <f>'数据-汇总表'!E12</f>
        <v>6934.37</v>
      </c>
      <c r="F63" s="603">
        <f t="shared" si="14"/>
        <v>484</v>
      </c>
      <c r="G63" s="1699" t="s">
        <v>1212</v>
      </c>
      <c r="H63" s="1697" t="str">
        <f>IF(G63="商业",项目基本情况!B43,IF(G63="办公",项目基本情况!C43,IF(G63="住宅",项目基本情况!D43,项目基本情况!E43)))</f>
        <v>九级</v>
      </c>
      <c r="I63" s="1370">
        <f>SUMIF(修正!$A$57:$A$68,H63,修正!F57:F68)</f>
        <v>0.2</v>
      </c>
      <c r="J63" s="1371"/>
      <c r="K63" s="2959"/>
      <c r="L63" s="1874"/>
      <c r="M63" s="1874"/>
      <c r="N63" s="1874"/>
      <c r="O63" s="1874"/>
      <c r="P63" s="1874"/>
      <c r="Q63" s="1874"/>
      <c r="R63" s="1874"/>
      <c r="S63" s="1874"/>
      <c r="T63" s="1874"/>
      <c r="U63" s="1874"/>
      <c r="V63" s="1874"/>
      <c r="W63" s="1874"/>
      <c r="X63" s="1874"/>
      <c r="Y63" s="1874"/>
      <c r="Z63" s="1874"/>
      <c r="AA63" s="1874"/>
      <c r="AB63" s="1874"/>
      <c r="AC63" s="1874"/>
    </row>
    <row r="64" spans="1:29" s="1203" customFormat="1" ht="12.75">
      <c r="A64" s="604" t="s">
        <v>518</v>
      </c>
      <c r="B64" s="605">
        <f t="shared" si="16"/>
        <v>349</v>
      </c>
      <c r="C64" s="364">
        <f t="shared" si="15"/>
        <v>0.1</v>
      </c>
      <c r="D64" s="1945">
        <v>0.25</v>
      </c>
      <c r="E64" s="608">
        <f>'数据-汇总表'!E13</f>
        <v>7480.41</v>
      </c>
      <c r="F64" s="603">
        <f t="shared" si="14"/>
        <v>261</v>
      </c>
      <c r="G64" s="1699" t="s">
        <v>851</v>
      </c>
      <c r="H64" s="1697" t="str">
        <f>IF(G64="商业",项目基本情况!B43,IF(G64="办公",项目基本情况!C43,IF(G64="住宅",项目基本情况!D43,项目基本情况!E43)))</f>
        <v>九级</v>
      </c>
      <c r="I64" s="1370">
        <f>SUMIF(修正!$A$57:$A$68,H64,修正!G57:G68)</f>
        <v>0.1</v>
      </c>
      <c r="J64" s="1371"/>
      <c r="K64" s="2959"/>
      <c r="L64" s="1874"/>
      <c r="M64" s="1874"/>
      <c r="N64" s="1874"/>
      <c r="O64" s="1874"/>
      <c r="P64" s="1874"/>
      <c r="Q64" s="1874"/>
      <c r="R64" s="1874"/>
      <c r="S64" s="1874"/>
      <c r="T64" s="1874"/>
      <c r="U64" s="1874"/>
      <c r="V64" s="1874"/>
      <c r="W64" s="1874"/>
      <c r="X64" s="1874"/>
      <c r="Y64" s="1874"/>
      <c r="Z64" s="1874"/>
      <c r="AA64" s="1874"/>
      <c r="AB64" s="1874"/>
      <c r="AC64" s="1874"/>
    </row>
    <row r="65" spans="1:29" s="1203" customFormat="1" ht="12.75">
      <c r="A65" s="604" t="s">
        <v>519</v>
      </c>
      <c r="B65" s="605">
        <f t="shared" si="16"/>
        <v>349</v>
      </c>
      <c r="C65" s="364">
        <f t="shared" si="15"/>
        <v>0.1</v>
      </c>
      <c r="D65" s="1945">
        <v>0.25</v>
      </c>
      <c r="E65" s="608">
        <f>'数据-汇总表'!E14</f>
        <v>0</v>
      </c>
      <c r="F65" s="603">
        <f t="shared" si="14"/>
        <v>0</v>
      </c>
      <c r="G65" s="1698" t="s">
        <v>1640</v>
      </c>
      <c r="H65" s="1701" t="str">
        <f>项目基本情况!B43</f>
        <v>九级</v>
      </c>
      <c r="I65" s="1370">
        <f>SUMIF(修正!$A$57:$A$68,H65,修正!G57:G68)</f>
        <v>0.1</v>
      </c>
      <c r="J65" s="1371"/>
      <c r="K65" s="2959"/>
      <c r="L65" s="1874"/>
      <c r="M65" s="1874"/>
      <c r="N65" s="1874"/>
      <c r="O65" s="1874"/>
      <c r="P65" s="1874"/>
      <c r="Q65" s="1874"/>
      <c r="R65" s="1874"/>
      <c r="S65" s="1874"/>
      <c r="T65" s="1874"/>
      <c r="U65" s="1874"/>
      <c r="V65" s="1874"/>
      <c r="W65" s="1874"/>
      <c r="X65" s="1874"/>
      <c r="Y65" s="1874"/>
      <c r="Z65" s="1874"/>
      <c r="AA65" s="1874"/>
      <c r="AB65" s="1874"/>
      <c r="AC65" s="1874"/>
    </row>
    <row r="66" spans="1:29" s="1203" customFormat="1" ht="13.5" thickBot="1">
      <c r="A66" s="604" t="s">
        <v>520</v>
      </c>
      <c r="B66" s="605">
        <f t="shared" si="16"/>
        <v>349</v>
      </c>
      <c r="C66" s="364">
        <f t="shared" si="15"/>
        <v>0.1</v>
      </c>
      <c r="D66" s="1945">
        <v>0.25</v>
      </c>
      <c r="E66" s="608">
        <f>'数据-汇总表'!E15</f>
        <v>0</v>
      </c>
      <c r="F66" s="603">
        <f t="shared" si="14"/>
        <v>0</v>
      </c>
      <c r="G66" s="1700" t="s">
        <v>1641</v>
      </c>
      <c r="H66" s="1702" t="str">
        <f>项目基本情况!C43</f>
        <v>九级</v>
      </c>
      <c r="I66" s="1370">
        <f>SUMIF(修正!$A$57:$A$68,H66,修正!G57:G68)</f>
        <v>0.1</v>
      </c>
      <c r="J66" s="1371"/>
      <c r="K66" s="2959"/>
      <c r="L66" s="1874"/>
      <c r="M66" s="1874"/>
      <c r="N66" s="1874"/>
      <c r="O66" s="1874"/>
      <c r="P66" s="1874"/>
      <c r="Q66" s="1874"/>
      <c r="R66" s="1874"/>
      <c r="S66" s="1874"/>
      <c r="T66" s="1874"/>
      <c r="U66" s="1874"/>
      <c r="V66" s="1874"/>
      <c r="W66" s="1874"/>
      <c r="X66" s="1874"/>
      <c r="Y66" s="1874"/>
      <c r="Z66" s="1874"/>
      <c r="AA66" s="1874"/>
      <c r="AB66" s="1874"/>
      <c r="AC66" s="1874"/>
    </row>
    <row r="67" spans="1:29" s="1203" customFormat="1" ht="13.5" thickBot="1">
      <c r="A67" s="609" t="s">
        <v>521</v>
      </c>
      <c r="B67" s="610" t="s">
        <v>11</v>
      </c>
      <c r="C67" s="610" t="s">
        <v>12</v>
      </c>
      <c r="D67" s="610" t="s">
        <v>1651</v>
      </c>
      <c r="E67" s="610">
        <f>IF(B48="楼面地价",SUM(E58:E66),'数据-汇总表'!D3)</f>
        <v>65787.12000000001</v>
      </c>
      <c r="F67" s="611">
        <f>IF(B48="楼面地价",SUM(F58:F66),ROUND(C50*E67/10000,0))</f>
        <v>71893</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2023-7-1</v>
      </c>
      <c r="D69" s="2276">
        <f>EDATE(C69,-3)</f>
        <v>45017</v>
      </c>
      <c r="E69" s="2276">
        <f t="shared" ref="E69:N69" si="17">EDATE(D69,-3)</f>
        <v>44927</v>
      </c>
      <c r="F69" s="2276">
        <f t="shared" si="17"/>
        <v>44835</v>
      </c>
      <c r="G69" s="2276">
        <f t="shared" si="17"/>
        <v>44743</v>
      </c>
      <c r="H69" s="2276">
        <f t="shared" si="17"/>
        <v>44652</v>
      </c>
      <c r="I69" s="2276">
        <f t="shared" si="17"/>
        <v>44562</v>
      </c>
      <c r="J69" s="2276">
        <f t="shared" si="17"/>
        <v>44470</v>
      </c>
      <c r="K69" s="2276">
        <f t="shared" si="17"/>
        <v>44378</v>
      </c>
      <c r="L69" s="2276">
        <f t="shared" si="17"/>
        <v>44287</v>
      </c>
      <c r="M69" s="2276">
        <f t="shared" si="17"/>
        <v>44197</v>
      </c>
      <c r="N69" s="2276">
        <f t="shared" si="17"/>
        <v>44105</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4" customFormat="1" ht="15">
      <c r="A71" s="2182" t="s">
        <v>1815</v>
      </c>
      <c r="B71" s="2183"/>
      <c r="C71" s="2273" t="str">
        <f>YEAR(C69)&amp;"-"&amp;ROUNDUP(MONTH(C69)/3,0)</f>
        <v>2023-3</v>
      </c>
      <c r="D71" s="2278" t="str">
        <f>YEAR(D69)&amp;"-"&amp;ROUNDUP(MONTH(D69)/3,0)</f>
        <v>2023-2</v>
      </c>
      <c r="E71" s="2278" t="str">
        <f t="shared" ref="E71:N71" si="18">YEAR(E69)&amp;"-"&amp;ROUNDUP(MONTH(E69)/3,0)</f>
        <v>2023-1</v>
      </c>
      <c r="F71" s="2278" t="str">
        <f t="shared" si="18"/>
        <v>2022-4</v>
      </c>
      <c r="G71" s="2278" t="str">
        <f t="shared" si="18"/>
        <v>2022-3</v>
      </c>
      <c r="H71" s="2278" t="str">
        <f t="shared" si="18"/>
        <v>2022-2</v>
      </c>
      <c r="I71" s="2278" t="str">
        <f t="shared" si="18"/>
        <v>2022-1</v>
      </c>
      <c r="J71" s="2278" t="str">
        <f t="shared" si="18"/>
        <v>2021-4</v>
      </c>
      <c r="K71" s="2278" t="str">
        <f t="shared" si="18"/>
        <v>2021-3</v>
      </c>
      <c r="L71" s="2278" t="str">
        <f t="shared" si="18"/>
        <v>2021-2</v>
      </c>
      <c r="M71" s="2278" t="str">
        <f t="shared" si="18"/>
        <v>2021-1</v>
      </c>
      <c r="N71" s="2278" t="str">
        <f t="shared" si="18"/>
        <v>2020-4</v>
      </c>
      <c r="O71" s="3716">
        <v>43862</v>
      </c>
      <c r="P71" s="1879"/>
      <c r="Q71" s="1880"/>
      <c r="R71" s="1880"/>
      <c r="S71" s="1880"/>
      <c r="T71" s="1880"/>
      <c r="U71" s="1880"/>
      <c r="V71" s="1880"/>
      <c r="W71" s="1880"/>
      <c r="X71" s="1880"/>
      <c r="Y71" s="1880"/>
      <c r="Z71" s="1880"/>
      <c r="AA71" s="1880"/>
      <c r="AB71" s="1880"/>
      <c r="AC71" s="1880"/>
    </row>
    <row r="72" spans="1:29" s="1115" customFormat="1" ht="27" customHeight="1">
      <c r="A72" s="2283" t="s">
        <v>1929</v>
      </c>
      <c r="B72" s="464" t="str">
        <f>"北京市平均增长率"&amp;TEXT(SUMIF(基准地价!N25:N29,A72,基准地价!P25:P29),"0.00%")</f>
        <v>北京市平均增长率0.00%</v>
      </c>
      <c r="C72" s="854">
        <v>100</v>
      </c>
      <c r="D72" s="697">
        <f>C72-0.2</f>
        <v>99.8</v>
      </c>
      <c r="E72" s="697">
        <f t="shared" ref="E72:O72" si="19">D72-0.2</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697">
        <f t="shared" si="19"/>
        <v>97.599999999999966</v>
      </c>
      <c r="P72" s="1877"/>
      <c r="Q72" s="1743"/>
      <c r="R72" s="1743"/>
      <c r="S72" s="1743"/>
      <c r="T72" s="1743"/>
      <c r="U72" s="1743"/>
      <c r="V72" s="1743"/>
      <c r="W72" s="1743"/>
      <c r="X72" s="1743"/>
      <c r="Y72" s="1743"/>
      <c r="Z72" s="1743"/>
      <c r="AA72" s="1743"/>
      <c r="AB72" s="1743"/>
      <c r="AC72" s="1743"/>
    </row>
    <row r="73" spans="1:29" s="1115"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5" customFormat="1" ht="15">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5" customFormat="1" ht="15.75"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c r="A76" s="631" t="s">
        <v>525</v>
      </c>
      <c r="B76" s="632" t="s">
        <v>483</v>
      </c>
      <c r="C76" s="3677" t="s">
        <v>3426</v>
      </c>
      <c r="D76" s="3677" t="s">
        <v>3499</v>
      </c>
      <c r="E76" s="3677" t="s">
        <v>3554</v>
      </c>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5.75" thickBot="1">
      <c r="A77" s="636"/>
      <c r="B77" s="637"/>
      <c r="C77" s="638">
        <v>100</v>
      </c>
      <c r="D77" s="638">
        <v>98</v>
      </c>
      <c r="E77" s="638">
        <v>95</v>
      </c>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7.75"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v>
      </c>
      <c r="K80" s="649" t="str">
        <f t="shared" si="20"/>
        <v>（含）-</v>
      </c>
      <c r="L80" s="649" t="str">
        <f t="shared" si="20"/>
        <v>（含）-</v>
      </c>
      <c r="M80" s="524"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6"/>
      <c r="B81" s="650"/>
      <c r="C81" s="510">
        <v>0</v>
      </c>
      <c r="D81" s="510">
        <v>1</v>
      </c>
      <c r="E81" s="510">
        <v>2</v>
      </c>
      <c r="F81" s="510">
        <v>3</v>
      </c>
      <c r="G81" s="510">
        <v>4</v>
      </c>
      <c r="H81" s="510">
        <v>5</v>
      </c>
      <c r="I81" s="510">
        <v>6</v>
      </c>
      <c r="J81" s="510">
        <v>7</v>
      </c>
      <c r="K81" s="651"/>
      <c r="L81" s="652"/>
      <c r="M81" s="653"/>
      <c r="N81" s="1883"/>
      <c r="O81" s="1883"/>
      <c r="P81" s="1884"/>
      <c r="Q81" s="1877"/>
      <c r="R81" s="1865"/>
      <c r="S81" s="1865"/>
      <c r="T81" s="1865"/>
      <c r="U81" s="1865"/>
      <c r="V81" s="1865"/>
      <c r="W81" s="1865"/>
      <c r="X81" s="1865"/>
      <c r="Y81" s="1865"/>
      <c r="Z81" s="1865"/>
      <c r="AA81" s="1865"/>
      <c r="AB81" s="1865"/>
      <c r="AC81" s="1865"/>
    </row>
    <row r="82" spans="1:29" ht="15.75" thickBot="1">
      <c r="A82" s="636"/>
      <c r="B82" s="637"/>
      <c r="C82" s="646">
        <v>100</v>
      </c>
      <c r="D82" s="646">
        <f t="shared" ref="D82:M82" si="21">IF($B$48="单位面积地价",C82+$K13,C82-$K13)</f>
        <v>97</v>
      </c>
      <c r="E82" s="646">
        <f t="shared" si="21"/>
        <v>94</v>
      </c>
      <c r="F82" s="646">
        <f t="shared" si="21"/>
        <v>91</v>
      </c>
      <c r="G82" s="646">
        <f t="shared" si="21"/>
        <v>88</v>
      </c>
      <c r="H82" s="646">
        <f t="shared" si="21"/>
        <v>85</v>
      </c>
      <c r="I82" s="646">
        <f t="shared" si="21"/>
        <v>82</v>
      </c>
      <c r="J82" s="646">
        <f t="shared" si="21"/>
        <v>79</v>
      </c>
      <c r="K82" s="646">
        <f t="shared" si="21"/>
        <v>76</v>
      </c>
      <c r="L82" s="646">
        <f t="shared" si="21"/>
        <v>73</v>
      </c>
      <c r="M82" s="646">
        <f t="shared" si="21"/>
        <v>70</v>
      </c>
      <c r="N82" s="1885"/>
      <c r="O82" s="1885"/>
      <c r="P82" s="1884"/>
      <c r="Q82" s="1877"/>
      <c r="R82" s="1865"/>
      <c r="S82" s="1865"/>
      <c r="T82" s="1865"/>
      <c r="U82" s="1865"/>
      <c r="V82" s="1865"/>
      <c r="W82" s="1865"/>
      <c r="X82" s="1865"/>
      <c r="Y82" s="1865"/>
      <c r="Z82" s="1865"/>
      <c r="AA82" s="1865"/>
      <c r="AB82" s="1865"/>
      <c r="AC82" s="1865"/>
    </row>
    <row r="83" spans="1:29" s="1197" customFormat="1" ht="15.75" thickTop="1">
      <c r="A83" s="654"/>
      <c r="B83" s="640" t="str">
        <f>B14</f>
        <v>配建</v>
      </c>
      <c r="C83" s="3675" t="s">
        <v>3444</v>
      </c>
      <c r="D83" s="1230" t="s">
        <v>3445</v>
      </c>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7" customFormat="1" ht="15.75" thickBot="1">
      <c r="A84" s="654"/>
      <c r="B84" s="645"/>
      <c r="C84" s="659">
        <v>100</v>
      </c>
      <c r="D84" s="638">
        <v>95</v>
      </c>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7" customFormat="1" ht="15.75" thickTop="1">
      <c r="A85" s="654"/>
      <c r="B85" s="640" t="str">
        <f>B15</f>
        <v>是否有自持</v>
      </c>
      <c r="C85" s="3675" t="s">
        <v>3444</v>
      </c>
      <c r="D85" s="3675" t="s">
        <v>3448</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7" customFormat="1" ht="15.75" thickBot="1">
      <c r="A86" s="654"/>
      <c r="B86" s="645"/>
      <c r="C86" s="659">
        <v>100</v>
      </c>
      <c r="D86" s="659">
        <v>95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7" customFormat="1" ht="15.75" thickTop="1">
      <c r="A87" s="654"/>
      <c r="B87" s="648">
        <f>B16</f>
        <v>111</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7" customFormat="1" ht="15.75"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5.75" thickBot="1">
      <c r="A90" s="636"/>
      <c r="B90" s="645"/>
      <c r="C90" s="646">
        <v>100</v>
      </c>
      <c r="D90" s="646">
        <f>C90-$K17</f>
        <v>95</v>
      </c>
      <c r="E90" s="646">
        <f>D90-$K17</f>
        <v>90</v>
      </c>
      <c r="F90" s="646">
        <f>E90-$K17</f>
        <v>85</v>
      </c>
      <c r="G90" s="646">
        <f>F90-$K17</f>
        <v>80</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7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7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7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C96-$K23</f>
        <v>95</v>
      </c>
      <c r="E96" s="646">
        <f>D96-$K23</f>
        <v>90</v>
      </c>
      <c r="F96" s="646">
        <f>E96-$K23</f>
        <v>85</v>
      </c>
      <c r="G96" s="646">
        <f>F96-$K23</f>
        <v>80</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5" customFormat="1" ht="27.75"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5" customFormat="1" ht="15.75" thickBot="1">
      <c r="A98" s="676"/>
      <c r="B98" s="645"/>
      <c r="C98" s="679">
        <v>100</v>
      </c>
      <c r="D98" s="646">
        <f>C98-$K25</f>
        <v>99</v>
      </c>
      <c r="E98" s="646">
        <f>D98-$K25</f>
        <v>98</v>
      </c>
      <c r="F98" s="646">
        <f>E98-$K25</f>
        <v>97</v>
      </c>
      <c r="G98" s="646">
        <f>F98-$K25</f>
        <v>96</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5" customFormat="1" ht="27.75"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5"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7" customFormat="1" ht="15.7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7" customFormat="1" ht="15.75" thickBot="1">
      <c r="A102" s="654"/>
      <c r="B102" s="645"/>
      <c r="C102" s="646">
        <v>100</v>
      </c>
      <c r="D102" s="646">
        <f>C102-$K29</f>
        <v>95</v>
      </c>
      <c r="E102" s="646">
        <f>D102-$K29</f>
        <v>90</v>
      </c>
      <c r="F102" s="646">
        <f>E102-$K29</f>
        <v>85</v>
      </c>
      <c r="G102" s="646">
        <f>F102-$K29</f>
        <v>80</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7" customFormat="1" ht="15.7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4"/>
      <c r="B104" s="648"/>
      <c r="C104" s="646">
        <v>100</v>
      </c>
      <c r="D104" s="646">
        <f>C104-$K31</f>
        <v>99.5</v>
      </c>
      <c r="E104" s="646">
        <f>D104-$K31</f>
        <v>99</v>
      </c>
      <c r="F104" s="646">
        <f>E104-$K31</f>
        <v>98.5</v>
      </c>
      <c r="G104" s="646">
        <f>F104-$K31</f>
        <v>98</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5.75"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5"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5.75"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7" customFormat="1" ht="15"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7" customFormat="1" ht="15.75"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8.5">
      <c r="A117" s="631" t="s">
        <v>500</v>
      </c>
      <c r="B117" s="632" t="s">
        <v>541</v>
      </c>
      <c r="C117" s="671" t="str">
        <f t="shared" ref="C117:L117" si="25">C118&amp;"(含)"&amp;"-"&amp;D118</f>
        <v>0(含)-20000</v>
      </c>
      <c r="D117" s="671" t="str">
        <f t="shared" si="25"/>
        <v>20000(含)-40000</v>
      </c>
      <c r="E117" s="671" t="str">
        <f t="shared" si="25"/>
        <v>40000(含)-60000</v>
      </c>
      <c r="F117" s="671" t="str">
        <f t="shared" si="25"/>
        <v>60000(含)-80000</v>
      </c>
      <c r="G117" s="671" t="str">
        <f t="shared" si="25"/>
        <v>80000(含)-100000</v>
      </c>
      <c r="H117" s="671" t="str">
        <f t="shared" si="25"/>
        <v>100000(含)-</v>
      </c>
      <c r="I117" s="671" t="str">
        <f t="shared" si="25"/>
        <v>(含)-</v>
      </c>
      <c r="J117" s="2534" t="str">
        <f t="shared" si="25"/>
        <v>(含)-</v>
      </c>
      <c r="K117" s="2534" t="str">
        <f t="shared" si="25"/>
        <v>(含)-</v>
      </c>
      <c r="L117" s="2535" t="str">
        <f t="shared" si="25"/>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6"/>
      <c r="B118" s="648"/>
      <c r="C118" s="697">
        <v>0</v>
      </c>
      <c r="D118" s="697">
        <f>C118+20000</f>
        <v>20000</v>
      </c>
      <c r="E118" s="697">
        <f t="shared" ref="E118:H118" si="26">D118+20000</f>
        <v>40000</v>
      </c>
      <c r="F118" s="697">
        <f t="shared" si="26"/>
        <v>60000</v>
      </c>
      <c r="G118" s="697">
        <f t="shared" si="26"/>
        <v>80000</v>
      </c>
      <c r="H118" s="697">
        <f t="shared" si="26"/>
        <v>100000</v>
      </c>
      <c r="I118" s="697"/>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67">
        <v>100</v>
      </c>
      <c r="D119" s="693">
        <f>C119+1</f>
        <v>101</v>
      </c>
      <c r="E119" s="693">
        <f t="shared" ref="E119:H119" si="27">D119+1</f>
        <v>102</v>
      </c>
      <c r="F119" s="693">
        <f t="shared" si="27"/>
        <v>103</v>
      </c>
      <c r="G119" s="693">
        <f t="shared" si="27"/>
        <v>104</v>
      </c>
      <c r="H119" s="693">
        <f t="shared" si="27"/>
        <v>105</v>
      </c>
      <c r="I119" s="693"/>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76" t="s">
        <v>3435</v>
      </c>
      <c r="D120" s="3676" t="s">
        <v>3438</v>
      </c>
      <c r="E120" s="3676" t="s">
        <v>3436</v>
      </c>
      <c r="F120" s="3676" t="s">
        <v>3439</v>
      </c>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5.75" thickBot="1">
      <c r="A121" s="636"/>
      <c r="B121" s="645"/>
      <c r="C121" s="646">
        <v>100</v>
      </c>
      <c r="D121" s="646">
        <f t="shared" ref="D121:M121" si="28">C121-$K41</f>
        <v>99.5</v>
      </c>
      <c r="E121" s="646">
        <f t="shared" si="28"/>
        <v>99</v>
      </c>
      <c r="F121" s="646">
        <f t="shared" si="28"/>
        <v>98.5</v>
      </c>
      <c r="G121" s="646">
        <f t="shared" si="28"/>
        <v>98</v>
      </c>
      <c r="H121" s="646">
        <f t="shared" si="28"/>
        <v>97.5</v>
      </c>
      <c r="I121" s="646">
        <f t="shared" si="28"/>
        <v>97</v>
      </c>
      <c r="J121" s="646">
        <f t="shared" si="28"/>
        <v>96.5</v>
      </c>
      <c r="K121" s="646">
        <f t="shared" si="28"/>
        <v>96</v>
      </c>
      <c r="L121" s="646">
        <f t="shared" si="28"/>
        <v>95.5</v>
      </c>
      <c r="M121" s="647">
        <f t="shared" si="28"/>
        <v>95</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75" t="s">
        <v>3452</v>
      </c>
      <c r="D122" s="3675" t="s">
        <v>3451</v>
      </c>
      <c r="E122" s="3675" t="s">
        <v>3453</v>
      </c>
      <c r="F122" s="3676" t="s">
        <v>3454</v>
      </c>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9">C123-$K42</f>
        <v>99</v>
      </c>
      <c r="E123" s="646">
        <f t="shared" si="29"/>
        <v>98</v>
      </c>
      <c r="F123" s="646">
        <f t="shared" si="29"/>
        <v>97</v>
      </c>
      <c r="G123" s="646">
        <f t="shared" si="29"/>
        <v>96</v>
      </c>
      <c r="H123" s="646">
        <f t="shared" si="29"/>
        <v>95</v>
      </c>
      <c r="I123" s="646">
        <f t="shared" si="29"/>
        <v>94</v>
      </c>
      <c r="J123" s="646">
        <f t="shared" si="29"/>
        <v>93</v>
      </c>
      <c r="K123" s="646">
        <f t="shared" si="29"/>
        <v>92</v>
      </c>
      <c r="L123" s="646">
        <f t="shared" si="29"/>
        <v>91</v>
      </c>
      <c r="M123" s="647">
        <f t="shared" si="29"/>
        <v>90</v>
      </c>
      <c r="N123" s="1885"/>
      <c r="O123" s="1885"/>
      <c r="P123" s="1884"/>
      <c r="Q123" s="1877"/>
      <c r="R123" s="1865"/>
      <c r="S123" s="1865"/>
      <c r="T123" s="1865"/>
      <c r="U123" s="1865"/>
      <c r="V123" s="1865"/>
      <c r="W123" s="1865"/>
      <c r="X123" s="1865"/>
      <c r="Y123" s="1865"/>
      <c r="Z123" s="1865"/>
      <c r="AA123" s="1865"/>
      <c r="AB123" s="1865"/>
      <c r="AC123" s="1865"/>
    </row>
    <row r="124" spans="1:29" s="1197" customFormat="1" ht="15" thickTop="1">
      <c r="A124" s="695"/>
      <c r="B124" s="1649" t="s">
        <v>1777</v>
      </c>
      <c r="C124" s="1230" t="s">
        <v>3413</v>
      </c>
      <c r="D124" s="1230" t="s">
        <v>3427</v>
      </c>
      <c r="E124" s="1230" t="s">
        <v>3428</v>
      </c>
      <c r="F124" s="1230" t="s">
        <v>3429</v>
      </c>
      <c r="G124" s="1230" t="s">
        <v>3430</v>
      </c>
      <c r="H124" s="685"/>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7" customFormat="1" ht="15.75" thickBot="1">
      <c r="A125" s="654"/>
      <c r="B125" s="645"/>
      <c r="C125" s="646">
        <v>100</v>
      </c>
      <c r="D125" s="646">
        <f t="shared" ref="D125:M125" si="30">C125-$K43</f>
        <v>99.75</v>
      </c>
      <c r="E125" s="646">
        <f t="shared" si="30"/>
        <v>99.5</v>
      </c>
      <c r="F125" s="646">
        <f t="shared" si="30"/>
        <v>99.25</v>
      </c>
      <c r="G125" s="646">
        <f t="shared" si="30"/>
        <v>99</v>
      </c>
      <c r="H125" s="646">
        <f t="shared" si="30"/>
        <v>98.75</v>
      </c>
      <c r="I125" s="646">
        <f t="shared" si="30"/>
        <v>98.5</v>
      </c>
      <c r="J125" s="646">
        <f t="shared" si="30"/>
        <v>98.25</v>
      </c>
      <c r="K125" s="646">
        <f t="shared" si="30"/>
        <v>98</v>
      </c>
      <c r="L125" s="646">
        <f t="shared" si="30"/>
        <v>97.75</v>
      </c>
      <c r="M125" s="647">
        <f t="shared" si="30"/>
        <v>97.5</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655" t="s">
        <v>3431</v>
      </c>
      <c r="D126" s="655" t="s">
        <v>3412</v>
      </c>
      <c r="E126" s="685" t="s">
        <v>3411</v>
      </c>
      <c r="F126" s="685" t="s">
        <v>3432</v>
      </c>
      <c r="G126" s="685" t="s">
        <v>3433</v>
      </c>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5.75" thickBot="1">
      <c r="A127" s="636"/>
      <c r="B127" s="645"/>
      <c r="C127" s="646">
        <v>100</v>
      </c>
      <c r="D127" s="646">
        <f t="shared" ref="D127:M127" si="31">C127-$K44</f>
        <v>99</v>
      </c>
      <c r="E127" s="646">
        <f t="shared" si="31"/>
        <v>98</v>
      </c>
      <c r="F127" s="646">
        <f t="shared" si="31"/>
        <v>97</v>
      </c>
      <c r="G127" s="646">
        <f t="shared" si="31"/>
        <v>96</v>
      </c>
      <c r="H127" s="646">
        <f t="shared" si="31"/>
        <v>95</v>
      </c>
      <c r="I127" s="646">
        <f t="shared" si="31"/>
        <v>94</v>
      </c>
      <c r="J127" s="646">
        <f t="shared" si="31"/>
        <v>93</v>
      </c>
      <c r="K127" s="646">
        <f t="shared" si="31"/>
        <v>92</v>
      </c>
      <c r="L127" s="646">
        <f t="shared" si="31"/>
        <v>91</v>
      </c>
      <c r="M127" s="647">
        <f t="shared" si="31"/>
        <v>90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2"/>
      <c r="B128" s="640">
        <f>B45</f>
        <v>111</v>
      </c>
      <c r="C128" s="655"/>
      <c r="D128" s="655"/>
      <c r="E128" s="655"/>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5.75"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7" customFormat="1" ht="15"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7" customFormat="1" ht="15.75"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427</v>
      </c>
      <c r="B2" s="477" t="e">
        <f>F62</f>
        <v>#DIV/0!</v>
      </c>
      <c r="C2" s="2962"/>
      <c r="D2" s="2962"/>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c r="A3" s="1235" t="s">
        <v>1218</v>
      </c>
      <c r="B3" s="479" t="e">
        <f>ROUND(B2*10000/'数据-汇总表'!E3,0)</f>
        <v>#DIV/0!</v>
      </c>
      <c r="C3" s="2961"/>
      <c r="D3" s="2961"/>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1782"/>
      <c r="AC3" s="1782"/>
    </row>
    <row r="4" spans="1:29" s="1194" customFormat="1" ht="28.5" customHeight="1">
      <c r="A4" s="480" t="s">
        <v>469</v>
      </c>
      <c r="B4" s="413" t="e">
        <f>IF(B43="单位面积地价",C45,ROUND(B2*10000/'数据-汇总表'!D3,0))</f>
        <v>#DIV/0!</v>
      </c>
      <c r="C4" s="2961"/>
      <c r="D4" s="2961"/>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29" s="1194" customFormat="1" ht="28.5" customHeight="1" thickBot="1">
      <c r="A5" s="415"/>
      <c r="B5" s="416" t="e">
        <f>ROUND(B2/('数据-汇总表'!D3/666.67),0)</f>
        <v>#DIV/0!</v>
      </c>
      <c r="C5" s="417"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2953"/>
      <c r="AC5" s="1782"/>
    </row>
    <row r="6" spans="1:29" ht="15">
      <c r="A6" s="481" t="s">
        <v>470</v>
      </c>
      <c r="B6" s="482"/>
      <c r="C6" s="3904" t="s">
        <v>471</v>
      </c>
      <c r="D6" s="3905"/>
      <c r="E6" s="3940" t="s">
        <v>472</v>
      </c>
      <c r="F6" s="3941"/>
      <c r="G6" s="3904" t="s">
        <v>473</v>
      </c>
      <c r="H6" s="3905"/>
      <c r="I6" s="3904" t="s">
        <v>474</v>
      </c>
      <c r="J6" s="3905"/>
      <c r="K6" s="483" t="s">
        <v>475</v>
      </c>
      <c r="L6" s="1853"/>
      <c r="M6" s="1854"/>
      <c r="N6" s="1854"/>
      <c r="O6" s="1854"/>
      <c r="P6" s="3906" t="s">
        <v>476</v>
      </c>
      <c r="Q6" s="3907"/>
      <c r="R6" s="3912" t="s">
        <v>472</v>
      </c>
      <c r="S6" s="3913"/>
      <c r="T6" s="3912" t="s">
        <v>473</v>
      </c>
      <c r="U6" s="3913"/>
      <c r="V6" s="3899" t="s">
        <v>474</v>
      </c>
      <c r="W6" s="3899"/>
      <c r="X6" s="1377"/>
      <c r="Y6" s="3912" t="s">
        <v>476</v>
      </c>
      <c r="Z6" s="3913"/>
      <c r="AA6" s="3901" t="s">
        <v>472</v>
      </c>
      <c r="AB6" s="3902" t="s">
        <v>473</v>
      </c>
      <c r="AC6" s="3901" t="s">
        <v>474</v>
      </c>
    </row>
    <row r="7" spans="1:29" ht="15">
      <c r="A7" s="484"/>
      <c r="B7" s="485"/>
      <c r="C7" s="3920" t="s">
        <v>2182</v>
      </c>
      <c r="D7" s="3921"/>
      <c r="E7" s="3942" t="s">
        <v>2183</v>
      </c>
      <c r="F7" s="3943"/>
      <c r="G7" s="3920" t="s">
        <v>2184</v>
      </c>
      <c r="H7" s="3921"/>
      <c r="I7" s="3920" t="s">
        <v>2185</v>
      </c>
      <c r="J7" s="3921"/>
      <c r="K7" s="483"/>
      <c r="L7" s="1853"/>
      <c r="M7" s="1854"/>
      <c r="N7" s="1854"/>
      <c r="O7" s="1854"/>
      <c r="P7" s="3908"/>
      <c r="Q7" s="3909"/>
      <c r="R7" s="3914"/>
      <c r="S7" s="3915"/>
      <c r="T7" s="3914"/>
      <c r="U7" s="3915"/>
      <c r="V7" s="3899"/>
      <c r="W7" s="3899"/>
      <c r="X7" s="1377"/>
      <c r="Y7" s="3914"/>
      <c r="Z7" s="3915"/>
      <c r="AA7" s="3902"/>
      <c r="AB7" s="3902"/>
      <c r="AC7" s="3902"/>
    </row>
    <row r="8" spans="1:29" ht="15.75" thickBot="1">
      <c r="A8" s="486"/>
      <c r="B8" s="487"/>
      <c r="C8" s="3918" t="s">
        <v>2186</v>
      </c>
      <c r="D8" s="3919"/>
      <c r="E8" s="3938" t="s">
        <v>2186</v>
      </c>
      <c r="F8" s="3939"/>
      <c r="G8" s="3918" t="s">
        <v>2186</v>
      </c>
      <c r="H8" s="3919"/>
      <c r="I8" s="3918" t="s">
        <v>2186</v>
      </c>
      <c r="J8" s="3919"/>
      <c r="K8" s="483" t="s">
        <v>477</v>
      </c>
      <c r="L8" s="1853"/>
      <c r="M8" s="1854"/>
      <c r="N8" s="1854"/>
      <c r="O8" s="1854"/>
      <c r="P8" s="3910"/>
      <c r="Q8" s="3911"/>
      <c r="R8" s="3914"/>
      <c r="S8" s="3915"/>
      <c r="T8" s="3916"/>
      <c r="U8" s="3917"/>
      <c r="V8" s="3899"/>
      <c r="W8" s="3899"/>
      <c r="X8" s="1377"/>
      <c r="Y8" s="3916"/>
      <c r="Z8" s="3917"/>
      <c r="AA8" s="3903"/>
      <c r="AB8" s="3903"/>
      <c r="AC8" s="3903"/>
    </row>
    <row r="9" spans="1:29" s="1115" customFormat="1" ht="15.75" thickBot="1">
      <c r="A9" s="2389"/>
      <c r="B9" s="2396" t="s">
        <v>478</v>
      </c>
      <c r="C9" s="488">
        <f>'数据-取费表'!B2</f>
        <v>45138</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929" t="s">
        <v>479</v>
      </c>
      <c r="Q9" s="3931"/>
      <c r="R9" s="1378" t="s">
        <v>5</v>
      </c>
      <c r="S9" s="1379">
        <f t="shared" ref="S9:S17" si="0">F9</f>
        <v>0</v>
      </c>
      <c r="T9" s="1378" t="s">
        <v>5</v>
      </c>
      <c r="U9" s="1379">
        <f t="shared" ref="U9:U17" si="1">H9</f>
        <v>0</v>
      </c>
      <c r="V9" s="1378" t="s">
        <v>5</v>
      </c>
      <c r="W9" s="1379">
        <f t="shared" ref="W9:W17" si="2">J9</f>
        <v>0</v>
      </c>
      <c r="X9" s="1380"/>
      <c r="Y9" s="3929" t="s">
        <v>479</v>
      </c>
      <c r="Z9" s="3930"/>
      <c r="AA9" s="1381" t="e">
        <f>D9/F9</f>
        <v>#DIV/0!</v>
      </c>
      <c r="AB9" s="1381" t="e">
        <f>D9/H9</f>
        <v>#DIV/0!</v>
      </c>
      <c r="AC9" s="1381" t="e">
        <f>D9/J9</f>
        <v>#DIV/0!</v>
      </c>
    </row>
    <row r="10" spans="1:29" s="1115" customFormat="1" ht="15.75" thickBot="1">
      <c r="A10" s="2390"/>
      <c r="B10" s="2397"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929" t="s">
        <v>482</v>
      </c>
      <c r="Q10" s="3930"/>
      <c r="R10" s="1378" t="s">
        <v>5</v>
      </c>
      <c r="S10" s="1379">
        <f t="shared" si="0"/>
        <v>0</v>
      </c>
      <c r="T10" s="1378" t="s">
        <v>5</v>
      </c>
      <c r="U10" s="1379">
        <f t="shared" si="1"/>
        <v>0</v>
      </c>
      <c r="V10" s="1378" t="s">
        <v>5</v>
      </c>
      <c r="W10" s="1379">
        <f t="shared" si="2"/>
        <v>0</v>
      </c>
      <c r="X10" s="1380"/>
      <c r="Y10" s="3929" t="s">
        <v>482</v>
      </c>
      <c r="Z10" s="3930"/>
      <c r="AA10" s="1381" t="e">
        <f t="shared" ref="AA10:AA42" si="3">D10/F10</f>
        <v>#DIV/0!</v>
      </c>
      <c r="AB10" s="1381" t="e">
        <f t="shared" ref="AB10:AB42" si="4">D10/H10</f>
        <v>#DIV/0!</v>
      </c>
      <c r="AC10" s="1381" t="e">
        <f t="shared" ref="AC10:AC42" si="5">D10/J10</f>
        <v>#DIV/0!</v>
      </c>
    </row>
    <row r="11" spans="1:29" s="1115" customFormat="1" ht="15">
      <c r="A11" s="2391"/>
      <c r="B11" s="2398"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898" t="s">
        <v>484</v>
      </c>
      <c r="Q11" s="1047" t="str">
        <f t="shared" ref="Q11:Q17" si="6">B11</f>
        <v>用途</v>
      </c>
      <c r="R11" s="1378" t="s">
        <v>5</v>
      </c>
      <c r="S11" s="1379">
        <f t="shared" si="0"/>
        <v>100</v>
      </c>
      <c r="T11" s="1378" t="s">
        <v>5</v>
      </c>
      <c r="U11" s="1379">
        <f t="shared" si="1"/>
        <v>100</v>
      </c>
      <c r="V11" s="1378" t="s">
        <v>5</v>
      </c>
      <c r="W11" s="1379">
        <f t="shared" si="2"/>
        <v>100</v>
      </c>
      <c r="X11" s="1380"/>
      <c r="Y11" s="3842" t="s">
        <v>485</v>
      </c>
      <c r="Z11" s="1046" t="str">
        <f t="shared" ref="Z11:Z17" si="7">Q11</f>
        <v>用途</v>
      </c>
      <c r="AA11" s="1381">
        <f t="shared" si="3"/>
        <v>1</v>
      </c>
      <c r="AB11" s="1381">
        <f t="shared" si="4"/>
        <v>1</v>
      </c>
      <c r="AC11" s="1381">
        <f t="shared" si="5"/>
        <v>1</v>
      </c>
    </row>
    <row r="12" spans="1:29" s="1196" customFormat="1" ht="27">
      <c r="A12" s="2392"/>
      <c r="B12" s="2397" t="s">
        <v>2039</v>
      </c>
      <c r="C12" s="497"/>
      <c r="D12" s="245">
        <v>100</v>
      </c>
      <c r="E12" s="497"/>
      <c r="F12" s="245">
        <f>ROUND(100/'数据-取费表'!G16,0)</f>
        <v>101</v>
      </c>
      <c r="G12" s="497"/>
      <c r="H12" s="245">
        <f>ROUND(100/'数据-取费表'!G16,0)</f>
        <v>101</v>
      </c>
      <c r="I12" s="497"/>
      <c r="J12" s="245">
        <f>ROUND(100/'数据-取费表'!G16,0)</f>
        <v>101</v>
      </c>
      <c r="K12" s="500"/>
      <c r="L12" s="1858"/>
      <c r="M12" s="1897"/>
      <c r="N12" s="1897"/>
      <c r="O12" s="1859"/>
      <c r="P12" s="3898"/>
      <c r="Q12" s="1047" t="str">
        <f t="shared" si="6"/>
        <v>土地使用年限（年）</v>
      </c>
      <c r="R12" s="1378" t="s">
        <v>5</v>
      </c>
      <c r="S12" s="1379">
        <f t="shared" si="0"/>
        <v>101</v>
      </c>
      <c r="T12" s="1378" t="s">
        <v>5</v>
      </c>
      <c r="U12" s="1379">
        <f t="shared" si="1"/>
        <v>101</v>
      </c>
      <c r="V12" s="1378" t="s">
        <v>5</v>
      </c>
      <c r="W12" s="1379">
        <f t="shared" si="2"/>
        <v>101</v>
      </c>
      <c r="X12" s="1380"/>
      <c r="Y12" s="3842"/>
      <c r="Z12" s="1046" t="str">
        <f t="shared" si="7"/>
        <v>土地使用年限（年）</v>
      </c>
      <c r="AA12" s="1381">
        <f t="shared" si="3"/>
        <v>0.99009900990099009</v>
      </c>
      <c r="AB12" s="1381">
        <f t="shared" si="4"/>
        <v>0.99009900990099009</v>
      </c>
      <c r="AC12" s="1381">
        <f t="shared" si="5"/>
        <v>0.99009900990099009</v>
      </c>
    </row>
    <row r="13" spans="1:29" ht="15">
      <c r="A13" s="2393"/>
      <c r="B13" s="2397"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898"/>
      <c r="Q13" s="1047" t="str">
        <f t="shared" si="6"/>
        <v>容积率</v>
      </c>
      <c r="R13" s="1378" t="s">
        <v>5</v>
      </c>
      <c r="S13" s="1379" t="e">
        <f t="shared" si="0"/>
        <v>#N/A</v>
      </c>
      <c r="T13" s="1378" t="s">
        <v>5</v>
      </c>
      <c r="U13" s="1379" t="e">
        <f t="shared" si="1"/>
        <v>#N/A</v>
      </c>
      <c r="V13" s="1378" t="s">
        <v>5</v>
      </c>
      <c r="W13" s="1379" t="e">
        <f t="shared" si="2"/>
        <v>#N/A</v>
      </c>
      <c r="X13" s="1380"/>
      <c r="Y13" s="3842"/>
      <c r="Z13" s="1046" t="str">
        <f t="shared" si="7"/>
        <v>容积率</v>
      </c>
      <c r="AA13" s="1381" t="e">
        <f t="shared" si="3"/>
        <v>#N/A</v>
      </c>
      <c r="AB13" s="1381" t="e">
        <f t="shared" si="4"/>
        <v>#N/A</v>
      </c>
      <c r="AC13" s="1381" t="e">
        <f t="shared" si="5"/>
        <v>#N/A</v>
      </c>
    </row>
    <row r="14" spans="1:29" s="1115" customFormat="1" ht="15">
      <c r="A14" s="2394"/>
      <c r="B14" s="2400">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898"/>
      <c r="Q14" s="1047">
        <f t="shared" si="6"/>
        <v>111</v>
      </c>
      <c r="R14" s="1378" t="s">
        <v>5</v>
      </c>
      <c r="S14" s="1379">
        <f t="shared" si="0"/>
        <v>100</v>
      </c>
      <c r="T14" s="1378" t="s">
        <v>5</v>
      </c>
      <c r="U14" s="1379">
        <f t="shared" si="1"/>
        <v>100</v>
      </c>
      <c r="V14" s="1378" t="s">
        <v>5</v>
      </c>
      <c r="W14" s="1379">
        <f t="shared" si="2"/>
        <v>100</v>
      </c>
      <c r="X14" s="1380"/>
      <c r="Y14" s="3842"/>
      <c r="Z14" s="1046">
        <f t="shared" si="7"/>
        <v>111</v>
      </c>
      <c r="AA14" s="1381">
        <f>D14/F14</f>
        <v>1</v>
      </c>
      <c r="AB14" s="1381">
        <f>D14/H14</f>
        <v>1</v>
      </c>
      <c r="AC14" s="1381">
        <f>D14/J14</f>
        <v>1</v>
      </c>
    </row>
    <row r="15" spans="1:29" ht="15">
      <c r="A15" s="2394"/>
      <c r="B15" s="2400">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898"/>
      <c r="Q15" s="1047">
        <f t="shared" si="6"/>
        <v>111</v>
      </c>
      <c r="R15" s="1378" t="s">
        <v>5</v>
      </c>
      <c r="S15" s="1379">
        <f t="shared" si="0"/>
        <v>100</v>
      </c>
      <c r="T15" s="1378" t="s">
        <v>5</v>
      </c>
      <c r="U15" s="1379">
        <f t="shared" si="1"/>
        <v>100</v>
      </c>
      <c r="V15" s="1378" t="s">
        <v>5</v>
      </c>
      <c r="W15" s="1379">
        <f t="shared" si="2"/>
        <v>100</v>
      </c>
      <c r="X15" s="1380"/>
      <c r="Y15" s="3842"/>
      <c r="Z15" s="1046">
        <f t="shared" si="7"/>
        <v>111</v>
      </c>
      <c r="AA15" s="1381">
        <f t="shared" si="3"/>
        <v>1</v>
      </c>
      <c r="AB15" s="1381">
        <f t="shared" si="4"/>
        <v>1</v>
      </c>
      <c r="AC15" s="1381">
        <f t="shared" si="5"/>
        <v>1</v>
      </c>
    </row>
    <row r="16" spans="1:29" ht="15.75" thickBot="1">
      <c r="A16" s="2395"/>
      <c r="B16" s="2401">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898"/>
      <c r="Q16" s="1047">
        <f t="shared" si="6"/>
        <v>111</v>
      </c>
      <c r="R16" s="1378" t="s">
        <v>5</v>
      </c>
      <c r="S16" s="1379">
        <f t="shared" si="0"/>
        <v>100</v>
      </c>
      <c r="T16" s="1378" t="s">
        <v>5</v>
      </c>
      <c r="U16" s="1379">
        <f t="shared" si="1"/>
        <v>100</v>
      </c>
      <c r="V16" s="1378" t="s">
        <v>5</v>
      </c>
      <c r="W16" s="1379">
        <f t="shared" si="2"/>
        <v>100</v>
      </c>
      <c r="X16" s="1380"/>
      <c r="Y16" s="3842"/>
      <c r="Z16" s="1046">
        <f t="shared" si="7"/>
        <v>111</v>
      </c>
      <c r="AA16" s="1381">
        <f t="shared" si="3"/>
        <v>1</v>
      </c>
      <c r="AB16" s="1381">
        <f t="shared" si="4"/>
        <v>1</v>
      </c>
      <c r="AC16" s="1381">
        <f t="shared" si="5"/>
        <v>1</v>
      </c>
    </row>
    <row r="17" spans="1:29" ht="15">
      <c r="A17" s="2387" t="s">
        <v>2036</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32" t="s">
        <v>489</v>
      </c>
      <c r="Q17" s="1382" t="str">
        <f t="shared" si="6"/>
        <v>产业集聚程度</v>
      </c>
      <c r="R17" s="1383" t="s">
        <v>5</v>
      </c>
      <c r="S17" s="1384">
        <f t="shared" si="0"/>
        <v>100</v>
      </c>
      <c r="T17" s="1383" t="s">
        <v>5</v>
      </c>
      <c r="U17" s="1384">
        <f t="shared" si="1"/>
        <v>100</v>
      </c>
      <c r="V17" s="1383" t="s">
        <v>5</v>
      </c>
      <c r="W17" s="1384">
        <f t="shared" si="2"/>
        <v>100</v>
      </c>
      <c r="X17" s="1377"/>
      <c r="Y17" s="3932"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33"/>
      <c r="Q18" s="1382"/>
      <c r="R18" s="1383"/>
      <c r="S18" s="1384"/>
      <c r="T18" s="1383"/>
      <c r="U18" s="1384"/>
      <c r="V18" s="1383"/>
      <c r="W18" s="1384"/>
      <c r="X18" s="1377"/>
      <c r="Y18" s="3933"/>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33"/>
      <c r="Q19" s="1382" t="str">
        <f>B19</f>
        <v>交通便捷度</v>
      </c>
      <c r="R19" s="1383" t="s">
        <v>5</v>
      </c>
      <c r="S19" s="1384">
        <f>F19</f>
        <v>100</v>
      </c>
      <c r="T19" s="1383" t="s">
        <v>5</v>
      </c>
      <c r="U19" s="1384">
        <f>H19</f>
        <v>100</v>
      </c>
      <c r="V19" s="1383" t="s">
        <v>5</v>
      </c>
      <c r="W19" s="1384">
        <f>J19</f>
        <v>100</v>
      </c>
      <c r="X19" s="1377"/>
      <c r="Y19" s="3933"/>
      <c r="Z19" s="1385" t="str">
        <f>Q19</f>
        <v>交通便捷度</v>
      </c>
      <c r="AA19" s="1386">
        <f t="shared" si="3"/>
        <v>1</v>
      </c>
      <c r="AB19" s="1386">
        <f t="shared" si="4"/>
        <v>1</v>
      </c>
      <c r="AC19" s="1386">
        <f t="shared" si="5"/>
        <v>1</v>
      </c>
    </row>
    <row r="20" spans="1:29" ht="15">
      <c r="A20" s="501"/>
      <c r="B20" s="882"/>
      <c r="C20" s="545"/>
      <c r="D20" s="524"/>
      <c r="E20" s="525"/>
      <c r="F20" s="524"/>
      <c r="G20" s="525"/>
      <c r="H20" s="524"/>
      <c r="I20" s="527"/>
      <c r="J20" s="524"/>
      <c r="K20" s="500"/>
      <c r="L20" s="1862"/>
      <c r="M20" s="1854"/>
      <c r="N20" s="1854"/>
      <c r="O20" s="1861"/>
      <c r="P20" s="3933"/>
      <c r="Q20" s="1382"/>
      <c r="R20" s="1383"/>
      <c r="S20" s="1384"/>
      <c r="T20" s="1383"/>
      <c r="U20" s="1384"/>
      <c r="V20" s="1383"/>
      <c r="W20" s="1384"/>
      <c r="X20" s="1377"/>
      <c r="Y20" s="3933"/>
      <c r="Z20" s="1385"/>
      <c r="AA20" s="1386">
        <v>1</v>
      </c>
      <c r="AB20" s="1386">
        <v>1</v>
      </c>
      <c r="AC20" s="1386">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2"/>
      <c r="M21" s="1854"/>
      <c r="N21" s="1854"/>
      <c r="O21" s="1861"/>
      <c r="P21" s="3933"/>
      <c r="Q21" s="1382" t="str">
        <f t="shared" ref="Q21:Q35" si="8">B21</f>
        <v>区域土地利用方向</v>
      </c>
      <c r="R21" s="1383" t="s">
        <v>5</v>
      </c>
      <c r="S21" s="1384">
        <f>F21</f>
        <v>100</v>
      </c>
      <c r="T21" s="1383" t="s">
        <v>5</v>
      </c>
      <c r="U21" s="1384">
        <f>H21</f>
        <v>100</v>
      </c>
      <c r="V21" s="1383" t="s">
        <v>5</v>
      </c>
      <c r="W21" s="1384">
        <f>J21</f>
        <v>100</v>
      </c>
      <c r="X21" s="1377"/>
      <c r="Y21" s="3933"/>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5"/>
      <c r="L22" s="1862"/>
      <c r="M22" s="1854"/>
      <c r="N22" s="1854"/>
      <c r="O22" s="1861"/>
      <c r="P22" s="3933"/>
      <c r="Q22" s="1382"/>
      <c r="R22" s="1383"/>
      <c r="S22" s="1384"/>
      <c r="T22" s="1383"/>
      <c r="U22" s="1384"/>
      <c r="V22" s="1383"/>
      <c r="W22" s="1384"/>
      <c r="X22" s="1377"/>
      <c r="Y22" s="3933"/>
      <c r="Z22" s="1385"/>
      <c r="AA22" s="1386"/>
      <c r="AB22" s="1386"/>
      <c r="AC22" s="1386"/>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33"/>
      <c r="Q23" s="1382" t="str">
        <f t="shared" si="8"/>
        <v>环境状况</v>
      </c>
      <c r="R23" s="1383" t="s">
        <v>5</v>
      </c>
      <c r="S23" s="1384">
        <f>F23</f>
        <v>100</v>
      </c>
      <c r="T23" s="1383" t="s">
        <v>5</v>
      </c>
      <c r="U23" s="1384">
        <f>H23</f>
        <v>100</v>
      </c>
      <c r="V23" s="1383" t="s">
        <v>5</v>
      </c>
      <c r="W23" s="1384">
        <f>J23</f>
        <v>100</v>
      </c>
      <c r="X23" s="1377"/>
      <c r="Y23" s="3933"/>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33"/>
      <c r="Q24" s="1382"/>
      <c r="R24" s="1383"/>
      <c r="S24" s="1384"/>
      <c r="T24" s="1383"/>
      <c r="U24" s="1384"/>
      <c r="V24" s="1383"/>
      <c r="W24" s="1384"/>
      <c r="X24" s="1377"/>
      <c r="Y24" s="3933"/>
      <c r="Z24" s="1385"/>
      <c r="AA24" s="1386">
        <v>1</v>
      </c>
      <c r="AB24" s="1386">
        <v>1</v>
      </c>
      <c r="AC24" s="1386">
        <v>1</v>
      </c>
    </row>
    <row r="25" spans="1:29" s="1115"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33"/>
      <c r="Q25" s="1047" t="str">
        <f t="shared" si="8"/>
        <v>公共配套设施</v>
      </c>
      <c r="R25" s="1378" t="s">
        <v>5</v>
      </c>
      <c r="S25" s="1379">
        <f>F25</f>
        <v>100</v>
      </c>
      <c r="T25" s="1378" t="s">
        <v>5</v>
      </c>
      <c r="U25" s="1379">
        <f>H25</f>
        <v>100</v>
      </c>
      <c r="V25" s="1378" t="s">
        <v>5</v>
      </c>
      <c r="W25" s="1379">
        <f>J25</f>
        <v>100</v>
      </c>
      <c r="X25" s="1380"/>
      <c r="Y25" s="3933"/>
      <c r="Z25" s="1046" t="str">
        <f>Q25</f>
        <v>公共配套设施</v>
      </c>
      <c r="AA25" s="1386">
        <f>D25/F25</f>
        <v>1</v>
      </c>
      <c r="AB25" s="1386">
        <f>D25/H25</f>
        <v>1</v>
      </c>
      <c r="AC25" s="1386">
        <f>D25/J25</f>
        <v>1</v>
      </c>
    </row>
    <row r="26" spans="1:29" s="1115" customFormat="1" ht="15">
      <c r="A26" s="546"/>
      <c r="B26" s="564"/>
      <c r="C26" s="2197"/>
      <c r="D26" s="524"/>
      <c r="E26" s="523"/>
      <c r="F26" s="524"/>
      <c r="G26" s="523"/>
      <c r="H26" s="524"/>
      <c r="I26" s="545"/>
      <c r="J26" s="524"/>
      <c r="K26" s="500"/>
      <c r="L26" s="1855"/>
      <c r="M26" s="1856"/>
      <c r="N26" s="1856"/>
      <c r="O26" s="1857"/>
      <c r="P26" s="3933"/>
      <c r="Q26" s="1047"/>
      <c r="R26" s="1378"/>
      <c r="S26" s="1379"/>
      <c r="T26" s="1378"/>
      <c r="U26" s="1379"/>
      <c r="V26" s="1378"/>
      <c r="W26" s="1379"/>
      <c r="X26" s="1380"/>
      <c r="Y26" s="3933"/>
      <c r="Z26" s="1046"/>
      <c r="AA26" s="1381">
        <v>1</v>
      </c>
      <c r="AB26" s="1381">
        <v>1</v>
      </c>
      <c r="AC26" s="1381">
        <v>1</v>
      </c>
    </row>
    <row r="27" spans="1:29" s="1115"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33"/>
      <c r="Q27" s="2189" t="str">
        <f>B27</f>
        <v>基础设施水平</v>
      </c>
      <c r="R27" s="1378" t="s">
        <v>5</v>
      </c>
      <c r="S27" s="1379">
        <f>F27</f>
        <v>100</v>
      </c>
      <c r="T27" s="1378" t="s">
        <v>5</v>
      </c>
      <c r="U27" s="1379">
        <f>H27</f>
        <v>100</v>
      </c>
      <c r="V27" s="1378" t="s">
        <v>5</v>
      </c>
      <c r="W27" s="1379">
        <f>J27</f>
        <v>100</v>
      </c>
      <c r="X27" s="1380"/>
      <c r="Y27" s="3933"/>
      <c r="Z27" s="2188" t="str">
        <f>Q27</f>
        <v>基础设施水平</v>
      </c>
      <c r="AA27" s="1386">
        <f>D27/F27</f>
        <v>1</v>
      </c>
      <c r="AB27" s="1386">
        <f>D27/H27</f>
        <v>1</v>
      </c>
      <c r="AC27" s="1386">
        <f>D27/J27</f>
        <v>1</v>
      </c>
    </row>
    <row r="28" spans="1:29" s="1115" customFormat="1" ht="15">
      <c r="A28" s="546"/>
      <c r="B28" s="564"/>
      <c r="C28" s="2197"/>
      <c r="D28" s="524"/>
      <c r="E28" s="548"/>
      <c r="F28" s="524"/>
      <c r="G28" s="548"/>
      <c r="H28" s="524"/>
      <c r="I28" s="548"/>
      <c r="J28" s="524"/>
      <c r="K28" s="500"/>
      <c r="L28" s="1855"/>
      <c r="M28" s="1856"/>
      <c r="N28" s="1856"/>
      <c r="O28" s="1857"/>
      <c r="P28" s="3933"/>
      <c r="Q28" s="2189"/>
      <c r="R28" s="1378"/>
      <c r="S28" s="1379"/>
      <c r="T28" s="1378"/>
      <c r="U28" s="1379"/>
      <c r="V28" s="1378"/>
      <c r="W28" s="1379"/>
      <c r="X28" s="1380"/>
      <c r="Y28" s="3933"/>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33"/>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33"/>
      <c r="Z29" s="1385" t="str">
        <f t="shared" ref="Z29:Z42" si="12">Q29</f>
        <v>临街状况</v>
      </c>
      <c r="AA29" s="1386">
        <f t="shared" si="3"/>
        <v>1</v>
      </c>
      <c r="AB29" s="1386">
        <f t="shared" si="4"/>
        <v>1</v>
      </c>
      <c r="AC29" s="1386">
        <f t="shared" si="5"/>
        <v>1</v>
      </c>
    </row>
    <row r="30" spans="1:29" ht="27">
      <c r="A30" s="501"/>
      <c r="B30" s="882"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33"/>
      <c r="Q30" s="1382" t="str">
        <f t="shared" si="8"/>
        <v>毗邻道路的类型与等级</v>
      </c>
      <c r="R30" s="1383" t="s">
        <v>5</v>
      </c>
      <c r="S30" s="1384">
        <f t="shared" si="9"/>
        <v>100</v>
      </c>
      <c r="T30" s="1383" t="s">
        <v>5</v>
      </c>
      <c r="U30" s="1384">
        <f t="shared" si="10"/>
        <v>100</v>
      </c>
      <c r="V30" s="1383" t="s">
        <v>5</v>
      </c>
      <c r="W30" s="1384">
        <f t="shared" si="11"/>
        <v>100</v>
      </c>
      <c r="X30" s="1377"/>
      <c r="Y30" s="3933"/>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33"/>
      <c r="Q31" s="1382"/>
      <c r="R31" s="1383"/>
      <c r="S31" s="1384"/>
      <c r="T31" s="1383"/>
      <c r="U31" s="1384"/>
      <c r="V31" s="1383"/>
      <c r="W31" s="1384"/>
      <c r="X31" s="1377"/>
      <c r="Y31" s="3933"/>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33"/>
      <c r="Q32" s="1382" t="str">
        <f t="shared" si="8"/>
        <v>土地级别</v>
      </c>
      <c r="R32" s="1383" t="s">
        <v>5</v>
      </c>
      <c r="S32" s="1384">
        <f t="shared" si="9"/>
        <v>100</v>
      </c>
      <c r="T32" s="1383" t="s">
        <v>5</v>
      </c>
      <c r="U32" s="1384">
        <f t="shared" si="10"/>
        <v>100</v>
      </c>
      <c r="V32" s="1383" t="s">
        <v>5</v>
      </c>
      <c r="W32" s="1384">
        <f t="shared" si="11"/>
        <v>100</v>
      </c>
      <c r="X32" s="1377"/>
      <c r="Y32" s="3933"/>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33"/>
      <c r="Q33" s="1382">
        <f t="shared" si="8"/>
        <v>111</v>
      </c>
      <c r="R33" s="1383" t="s">
        <v>5</v>
      </c>
      <c r="S33" s="1384">
        <f t="shared" si="9"/>
        <v>100</v>
      </c>
      <c r="T33" s="1383" t="s">
        <v>5</v>
      </c>
      <c r="U33" s="1384">
        <f t="shared" si="10"/>
        <v>100</v>
      </c>
      <c r="V33" s="1383" t="s">
        <v>5</v>
      </c>
      <c r="W33" s="1384">
        <f t="shared" si="11"/>
        <v>100</v>
      </c>
      <c r="X33" s="1377"/>
      <c r="Y33" s="3933"/>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34" t="s">
        <v>499</v>
      </c>
      <c r="Q34" s="1382">
        <f t="shared" si="8"/>
        <v>111</v>
      </c>
      <c r="R34" s="1383" t="s">
        <v>5</v>
      </c>
      <c r="S34" s="1384">
        <f t="shared" si="9"/>
        <v>100</v>
      </c>
      <c r="T34" s="1383" t="s">
        <v>5</v>
      </c>
      <c r="U34" s="1384">
        <f t="shared" si="10"/>
        <v>100</v>
      </c>
      <c r="V34" s="1383" t="s">
        <v>5</v>
      </c>
      <c r="W34" s="1384">
        <f t="shared" si="11"/>
        <v>100</v>
      </c>
      <c r="X34" s="1377"/>
      <c r="Y34" s="3935" t="s">
        <v>499</v>
      </c>
      <c r="Z34" s="1385">
        <f t="shared" si="12"/>
        <v>111</v>
      </c>
      <c r="AA34" s="1386">
        <f t="shared" si="3"/>
        <v>1</v>
      </c>
      <c r="AB34" s="1386">
        <f t="shared" si="4"/>
        <v>1</v>
      </c>
      <c r="AC34" s="1386">
        <f t="shared" si="5"/>
        <v>1</v>
      </c>
    </row>
    <row r="35" spans="1:29" s="1197" customFormat="1" ht="15.75"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35"/>
      <c r="Q35" s="1382">
        <f t="shared" si="8"/>
        <v>111</v>
      </c>
      <c r="R35" s="1387" t="s">
        <v>5</v>
      </c>
      <c r="S35" s="1388">
        <f t="shared" si="9"/>
        <v>100</v>
      </c>
      <c r="T35" s="1387" t="s">
        <v>5</v>
      </c>
      <c r="U35" s="1388">
        <f t="shared" si="10"/>
        <v>100</v>
      </c>
      <c r="V35" s="1387" t="s">
        <v>5</v>
      </c>
      <c r="W35" s="1388">
        <f t="shared" si="11"/>
        <v>100</v>
      </c>
      <c r="X35" s="1389"/>
      <c r="Y35" s="3935"/>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35"/>
      <c r="Q36" s="1382" t="str">
        <f>B36</f>
        <v>宗地面积</v>
      </c>
      <c r="R36" s="1383" t="s">
        <v>5</v>
      </c>
      <c r="S36" s="1384" t="e">
        <f t="shared" si="9"/>
        <v>#N/A</v>
      </c>
      <c r="T36" s="1383" t="s">
        <v>5</v>
      </c>
      <c r="U36" s="1384" t="e">
        <f t="shared" si="10"/>
        <v>#N/A</v>
      </c>
      <c r="V36" s="1383" t="s">
        <v>5</v>
      </c>
      <c r="W36" s="1384" t="e">
        <f t="shared" si="11"/>
        <v>#N/A</v>
      </c>
      <c r="X36" s="1377"/>
      <c r="Y36" s="3935"/>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35"/>
      <c r="Q37" s="1382" t="str">
        <f t="shared" ref="Q37:Q42" si="13">B37</f>
        <v>宗地形状</v>
      </c>
      <c r="R37" s="1383" t="s">
        <v>5</v>
      </c>
      <c r="S37" s="1384">
        <f t="shared" si="9"/>
        <v>100</v>
      </c>
      <c r="T37" s="1383" t="s">
        <v>5</v>
      </c>
      <c r="U37" s="1384">
        <f t="shared" si="10"/>
        <v>100</v>
      </c>
      <c r="V37" s="1383" t="s">
        <v>5</v>
      </c>
      <c r="W37" s="1384">
        <f t="shared" si="11"/>
        <v>100</v>
      </c>
      <c r="X37" s="1377"/>
      <c r="Y37" s="3935"/>
      <c r="Z37" s="1385" t="str">
        <f t="shared" si="12"/>
        <v>宗地形状</v>
      </c>
      <c r="AA37" s="1386">
        <f t="shared" si="3"/>
        <v>1</v>
      </c>
      <c r="AB37" s="1386">
        <f t="shared" si="4"/>
        <v>1</v>
      </c>
      <c r="AC37" s="1386">
        <f t="shared" si="5"/>
        <v>1</v>
      </c>
    </row>
    <row r="38" spans="1:29" s="1115"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35"/>
      <c r="Q38" s="1382" t="str">
        <f t="shared" si="13"/>
        <v>宗地开发程度</v>
      </c>
      <c r="R38" s="1378" t="s">
        <v>5</v>
      </c>
      <c r="S38" s="1379">
        <f t="shared" si="9"/>
        <v>100</v>
      </c>
      <c r="T38" s="1378" t="s">
        <v>5</v>
      </c>
      <c r="U38" s="1379">
        <f t="shared" si="10"/>
        <v>100</v>
      </c>
      <c r="V38" s="1378" t="s">
        <v>5</v>
      </c>
      <c r="W38" s="1379">
        <f t="shared" si="11"/>
        <v>100</v>
      </c>
      <c r="X38" s="1380"/>
      <c r="Y38" s="3935"/>
      <c r="Z38" s="1046"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35" t="s">
        <v>549</v>
      </c>
      <c r="Q39" s="1382" t="str">
        <f t="shared" si="13"/>
        <v>工程地质条件</v>
      </c>
      <c r="R39" s="1383" t="s">
        <v>5</v>
      </c>
      <c r="S39" s="1384">
        <f t="shared" si="9"/>
        <v>100</v>
      </c>
      <c r="T39" s="1383" t="s">
        <v>5</v>
      </c>
      <c r="U39" s="1384">
        <f t="shared" si="10"/>
        <v>100</v>
      </c>
      <c r="V39" s="1383" t="s">
        <v>5</v>
      </c>
      <c r="W39" s="1384">
        <f t="shared" si="11"/>
        <v>100</v>
      </c>
      <c r="X39" s="1377"/>
      <c r="Y39" s="3935"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35"/>
      <c r="Q40" s="1382">
        <f t="shared" si="13"/>
        <v>111</v>
      </c>
      <c r="R40" s="1383" t="s">
        <v>5</v>
      </c>
      <c r="S40" s="1384">
        <f t="shared" si="9"/>
        <v>100</v>
      </c>
      <c r="T40" s="1383" t="s">
        <v>5</v>
      </c>
      <c r="U40" s="1384">
        <f t="shared" si="10"/>
        <v>100</v>
      </c>
      <c r="V40" s="1383" t="s">
        <v>5</v>
      </c>
      <c r="W40" s="1384">
        <f t="shared" si="11"/>
        <v>100</v>
      </c>
      <c r="X40" s="1377"/>
      <c r="Y40" s="3935"/>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35"/>
      <c r="Q41" s="1382">
        <f t="shared" si="13"/>
        <v>111</v>
      </c>
      <c r="R41" s="1383" t="s">
        <v>5</v>
      </c>
      <c r="S41" s="1384">
        <f t="shared" si="9"/>
        <v>100</v>
      </c>
      <c r="T41" s="1383" t="s">
        <v>5</v>
      </c>
      <c r="U41" s="1384">
        <f t="shared" si="10"/>
        <v>100</v>
      </c>
      <c r="V41" s="1383" t="s">
        <v>5</v>
      </c>
      <c r="W41" s="1384">
        <f t="shared" si="11"/>
        <v>100</v>
      </c>
      <c r="X41" s="1377"/>
      <c r="Y41" s="3935"/>
      <c r="Z41" s="1385">
        <f t="shared" si="12"/>
        <v>111</v>
      </c>
      <c r="AA41" s="1386">
        <f t="shared" si="3"/>
        <v>1</v>
      </c>
      <c r="AB41" s="1386">
        <f t="shared" si="4"/>
        <v>1</v>
      </c>
      <c r="AC41" s="1386">
        <f t="shared" si="5"/>
        <v>1</v>
      </c>
    </row>
    <row r="42" spans="1:29" s="1197"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35"/>
      <c r="Q42" s="1382">
        <f t="shared" si="13"/>
        <v>111</v>
      </c>
      <c r="R42" s="1387" t="s">
        <v>5</v>
      </c>
      <c r="S42" s="1388">
        <f t="shared" si="9"/>
        <v>100</v>
      </c>
      <c r="T42" s="1387" t="s">
        <v>5</v>
      </c>
      <c r="U42" s="1388">
        <f t="shared" si="10"/>
        <v>100</v>
      </c>
      <c r="V42" s="1387" t="s">
        <v>5</v>
      </c>
      <c r="W42" s="1388">
        <f t="shared" si="11"/>
        <v>100</v>
      </c>
      <c r="X42" s="1389"/>
      <c r="Y42" s="3935"/>
      <c r="Z42" s="1390">
        <f t="shared" si="12"/>
        <v>111</v>
      </c>
      <c r="AA42" s="1386">
        <f t="shared" si="3"/>
        <v>1</v>
      </c>
      <c r="AB42" s="1386">
        <f t="shared" si="4"/>
        <v>1</v>
      </c>
      <c r="AC42" s="1386">
        <f t="shared" si="5"/>
        <v>1</v>
      </c>
    </row>
    <row r="43" spans="1:29" ht="15">
      <c r="A43" s="576" t="s">
        <v>505</v>
      </c>
      <c r="B43" s="577" t="s">
        <v>2187</v>
      </c>
      <c r="C43" s="578" t="s">
        <v>0</v>
      </c>
      <c r="D43" s="579"/>
      <c r="E43" s="580"/>
      <c r="F43" s="581"/>
      <c r="G43" s="582"/>
      <c r="H43" s="583"/>
      <c r="I43" s="580"/>
      <c r="J43" s="583"/>
      <c r="K43" s="1198"/>
      <c r="L43" s="1864"/>
      <c r="M43" s="1854"/>
      <c r="N43" s="1854"/>
      <c r="O43" s="1865"/>
      <c r="P43" s="3898" t="str">
        <f>A43</f>
        <v>成交单价</v>
      </c>
      <c r="Q43" s="3898"/>
      <c r="R43" s="3899">
        <f>E43</f>
        <v>0</v>
      </c>
      <c r="S43" s="3899"/>
      <c r="T43" s="3899">
        <f>G43</f>
        <v>0</v>
      </c>
      <c r="U43" s="3899"/>
      <c r="V43" s="3899">
        <f>I43</f>
        <v>0</v>
      </c>
      <c r="W43" s="3899"/>
      <c r="X43" s="1372"/>
      <c r="Y43" s="1391"/>
      <c r="Z43" s="1372"/>
      <c r="AA43" s="1372"/>
      <c r="AB43" s="1372"/>
      <c r="AC43" s="1372"/>
    </row>
    <row r="44" spans="1:29" ht="15.75" thickBot="1">
      <c r="A44" s="584" t="s">
        <v>1975</v>
      </c>
      <c r="B44" s="585"/>
      <c r="C44" s="586" t="e">
        <f>R45</f>
        <v>#DIV/0!</v>
      </c>
      <c r="D44" s="2754" t="s">
        <v>2251</v>
      </c>
      <c r="E44" s="586" t="e">
        <f>R44</f>
        <v>#DIV/0!</v>
      </c>
      <c r="F44" s="2755"/>
      <c r="G44" s="587" t="e">
        <f>T44</f>
        <v>#DIV/0!</v>
      </c>
      <c r="H44" s="2755"/>
      <c r="I44" s="586" t="e">
        <f>V44</f>
        <v>#DIV/0!</v>
      </c>
      <c r="J44" s="2755"/>
      <c r="K44" s="2756">
        <f>F44+H44+J44</f>
        <v>0</v>
      </c>
      <c r="L44" s="1864"/>
      <c r="M44" s="1854"/>
      <c r="N44" s="1854"/>
      <c r="O44" s="1865"/>
      <c r="P44" s="3898" t="str">
        <f>A44</f>
        <v>比较价格（元/平方米）</v>
      </c>
      <c r="Q44" s="3898"/>
      <c r="R44" s="3900" t="e">
        <f>ROUND(PRODUCT(R43,AA9:AA42),0)</f>
        <v>#DIV/0!</v>
      </c>
      <c r="S44" s="3900"/>
      <c r="T44" s="3900" t="e">
        <f>ROUND(PRODUCT(T43,AB9:AB42),0)</f>
        <v>#DIV/0!</v>
      </c>
      <c r="U44" s="3900"/>
      <c r="V44" s="3900" t="e">
        <f>ROUND(PRODUCT(V43,AC9:AC42),0)</f>
        <v>#DIV/0!</v>
      </c>
      <c r="W44" s="3900"/>
      <c r="X44" s="1372"/>
      <c r="Y44" s="1372"/>
      <c r="Z44" s="1372"/>
      <c r="AA44" s="1372"/>
      <c r="AB44" s="1372"/>
      <c r="AC44" s="1372"/>
    </row>
    <row r="45" spans="1:29" ht="15.75" thickBot="1">
      <c r="A45" s="588" t="s">
        <v>2188</v>
      </c>
      <c r="B45" s="589"/>
      <c r="C45" s="590" t="e">
        <f>R45</f>
        <v>#DIV/0!</v>
      </c>
      <c r="D45" s="590"/>
      <c r="E45" s="590"/>
      <c r="F45" s="590"/>
      <c r="G45" s="590"/>
      <c r="H45" s="590"/>
      <c r="I45" s="590"/>
      <c r="J45" s="590"/>
      <c r="K45" s="1199"/>
      <c r="L45" s="1864"/>
      <c r="M45" s="1854"/>
      <c r="N45" s="1854"/>
      <c r="O45" s="1865"/>
      <c r="P45" s="3936" t="str">
        <f>A45</f>
        <v>估价对象XX用房的比较价格（楼面单价，元/平方米）</v>
      </c>
      <c r="Q45" s="3937"/>
      <c r="R45" s="3948" t="e">
        <f>ROUND(IF(D44="简单平均",AVERAGE(R44:W44),R44*F44+T44*H44+V44*J44),0)</f>
        <v>#DIV/0!</v>
      </c>
      <c r="S45" s="3948"/>
      <c r="T45" s="3948"/>
      <c r="U45" s="3948"/>
      <c r="V45" s="3948"/>
      <c r="W45" s="3948"/>
      <c r="X45" s="1372"/>
      <c r="Y45" s="1372"/>
      <c r="Z45" s="1372"/>
      <c r="AA45" s="1372"/>
      <c r="AB45" s="1372"/>
      <c r="AC45" s="1372"/>
    </row>
    <row r="46" spans="1:29">
      <c r="A46" s="2954"/>
      <c r="B46" s="2954"/>
      <c r="C46" s="2954"/>
      <c r="D46" s="2954"/>
      <c r="E46" s="2954"/>
      <c r="F46" s="2954"/>
      <c r="G46" s="2956"/>
      <c r="H46" s="2954"/>
      <c r="I46" s="2954"/>
      <c r="J46" s="2954"/>
      <c r="K46" s="2957"/>
      <c r="L46" s="1869"/>
      <c r="M46" s="1854"/>
      <c r="N46" s="1854"/>
      <c r="O46" s="1865"/>
      <c r="P46" s="1865"/>
      <c r="Q46" s="1865"/>
      <c r="R46" s="1865"/>
      <c r="S46" s="1865"/>
      <c r="T46" s="1865"/>
      <c r="U46" s="1865"/>
      <c r="V46" s="1865"/>
      <c r="W46" s="1865"/>
      <c r="X46" s="1865"/>
      <c r="Y46" s="1865"/>
      <c r="Z46" s="1865"/>
      <c r="AA46" s="1865"/>
      <c r="AB46" s="1865"/>
      <c r="AC46" s="1865"/>
    </row>
    <row r="47" spans="1:29">
      <c r="A47" s="2954"/>
      <c r="B47" s="2954"/>
      <c r="C47" s="2954"/>
      <c r="D47" s="2954"/>
      <c r="E47" s="2954"/>
      <c r="F47" s="2954"/>
      <c r="G47" s="2954"/>
      <c r="H47" s="2954"/>
      <c r="I47" s="2954"/>
      <c r="J47" s="2954"/>
      <c r="K47" s="2957"/>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4"/>
      <c r="B48" s="2954"/>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7"/>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4"/>
      <c r="B49" s="2954"/>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7"/>
      <c r="L49" s="1869"/>
      <c r="M49" s="1865"/>
      <c r="N49" s="1865"/>
      <c r="O49" s="1865"/>
      <c r="P49" s="1865"/>
      <c r="Q49" s="1865"/>
      <c r="R49" s="1865"/>
      <c r="S49" s="1865"/>
      <c r="T49" s="1865"/>
      <c r="U49" s="1865"/>
      <c r="V49" s="1865"/>
      <c r="W49" s="1865"/>
      <c r="X49" s="1865"/>
      <c r="Y49" s="1865"/>
      <c r="Z49" s="1865"/>
      <c r="AA49" s="1865"/>
      <c r="AB49" s="1865"/>
      <c r="AC49" s="1865"/>
    </row>
    <row r="50" spans="1:29" s="1202" customFormat="1" ht="13.5" customHeight="1">
      <c r="A50" s="2955"/>
      <c r="B50" s="2955"/>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8"/>
      <c r="L50" s="1872"/>
      <c r="M50" s="1866"/>
      <c r="N50" s="1866"/>
      <c r="O50" s="1866"/>
      <c r="P50" s="1866"/>
      <c r="Q50" s="1866"/>
      <c r="R50" s="1866"/>
      <c r="S50" s="1866"/>
      <c r="T50" s="1866"/>
      <c r="U50" s="1866"/>
      <c r="V50" s="1866"/>
      <c r="W50" s="1866"/>
      <c r="X50" s="1866"/>
      <c r="Y50" s="1866"/>
      <c r="Z50" s="1866"/>
      <c r="AA50" s="1866"/>
      <c r="AB50" s="1866"/>
      <c r="AC50" s="1866"/>
    </row>
    <row r="51" spans="1:29" s="1202" customFormat="1" ht="15" thickBot="1">
      <c r="A51" s="2955"/>
      <c r="B51" s="2966"/>
      <c r="C51" s="1870"/>
      <c r="D51" s="1866"/>
      <c r="E51" s="1866"/>
      <c r="F51" s="1866"/>
      <c r="G51" s="1866"/>
      <c r="H51" s="1866"/>
      <c r="I51" s="1866"/>
      <c r="J51" s="1866"/>
      <c r="K51" s="2958"/>
      <c r="L51" s="1872"/>
      <c r="M51" s="1866"/>
      <c r="N51" s="1866"/>
      <c r="O51" s="1866"/>
      <c r="P51" s="1866"/>
      <c r="Q51" s="1866"/>
      <c r="R51" s="1866"/>
      <c r="S51" s="1866"/>
      <c r="T51" s="1866"/>
      <c r="U51" s="1866"/>
      <c r="V51" s="1866"/>
      <c r="W51" s="1866"/>
      <c r="X51" s="1866"/>
      <c r="Y51" s="1866"/>
      <c r="Z51" s="1866"/>
      <c r="AA51" s="1866"/>
      <c r="AB51" s="1866"/>
      <c r="AC51" s="1866"/>
    </row>
    <row r="52" spans="1:29" ht="27">
      <c r="A52" s="596" t="s">
        <v>509</v>
      </c>
      <c r="B52" s="597" t="s">
        <v>510</v>
      </c>
      <c r="C52" s="1373" t="s">
        <v>1253</v>
      </c>
      <c r="D52" s="1943" t="s">
        <v>1650</v>
      </c>
      <c r="E52" s="598" t="s">
        <v>511</v>
      </c>
      <c r="F52" s="1704" t="s">
        <v>512</v>
      </c>
      <c r="G52" s="3944" t="s">
        <v>1642</v>
      </c>
      <c r="H52" s="3945"/>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3" customFormat="1" ht="12.75">
      <c r="A53" s="600" t="s">
        <v>513</v>
      </c>
      <c r="B53" s="601" t="e">
        <f>C45</f>
        <v>#DIV/0!</v>
      </c>
      <c r="C53" s="602">
        <v>1</v>
      </c>
      <c r="D53" s="1944">
        <v>1</v>
      </c>
      <c r="E53" s="602">
        <f>'数据-汇总表'!E8+'数据-汇总表'!E9</f>
        <v>50963.340000000004</v>
      </c>
      <c r="F53" s="1703" t="e">
        <f t="shared" ref="F53:F61" si="14">ROUND(B53*E53/10000,0)</f>
        <v>#DIV/0!</v>
      </c>
      <c r="G53" s="3946"/>
      <c r="H53" s="3947"/>
      <c r="I53" s="1706">
        <v>1</v>
      </c>
      <c r="J53" s="1370">
        <v>1</v>
      </c>
      <c r="K53" s="2959"/>
      <c r="L53" s="1874"/>
      <c r="M53" s="1874"/>
      <c r="N53" s="1874"/>
      <c r="O53" s="1874"/>
      <c r="P53" s="1874"/>
      <c r="Q53" s="1874"/>
      <c r="R53" s="1874"/>
      <c r="S53" s="1874"/>
      <c r="T53" s="1874"/>
      <c r="U53" s="1874"/>
      <c r="V53" s="1874"/>
      <c r="W53" s="1874"/>
      <c r="X53" s="1874"/>
      <c r="Y53" s="1874"/>
      <c r="Z53" s="1874"/>
      <c r="AA53" s="1874"/>
      <c r="AB53" s="1874"/>
      <c r="AC53" s="1874"/>
    </row>
    <row r="54" spans="1:29" s="1203" customFormat="1" ht="12.75">
      <c r="A54" s="604" t="s">
        <v>514</v>
      </c>
      <c r="B54" s="605" t="e">
        <f>ROUND($C$45*C54*D54,0)</f>
        <v>#DIV/0!</v>
      </c>
      <c r="C54" s="364">
        <f t="shared" ref="C54:C61" si="15">IF($C$52="北京市系数",I54,J54)</f>
        <v>0.5</v>
      </c>
      <c r="D54" s="1945">
        <v>0.25</v>
      </c>
      <c r="E54" s="606"/>
      <c r="F54" s="1703" t="e">
        <f t="shared" si="14"/>
        <v>#DIV/0!</v>
      </c>
      <c r="G54" s="3276" t="s">
        <v>1643</v>
      </c>
      <c r="H54" s="1707" t="str">
        <f>项目基本情况!B43</f>
        <v>九级</v>
      </c>
      <c r="I54" s="1706">
        <f>SUMIF(修正!$A$57:$A$68,H54,修正!B57:B68)</f>
        <v>0.5</v>
      </c>
      <c r="J54" s="1371"/>
      <c r="K54" s="2959"/>
      <c r="L54" s="1874"/>
      <c r="M54" s="1874"/>
      <c r="N54" s="1874"/>
      <c r="O54" s="1874"/>
      <c r="P54" s="1874"/>
      <c r="Q54" s="1874"/>
      <c r="R54" s="1874"/>
      <c r="S54" s="1874"/>
      <c r="T54" s="1874"/>
      <c r="U54" s="1874"/>
      <c r="V54" s="1874"/>
      <c r="W54" s="1874"/>
      <c r="X54" s="1874"/>
      <c r="Y54" s="1874"/>
      <c r="Z54" s="1874"/>
      <c r="AA54" s="1874"/>
      <c r="AB54" s="1874"/>
      <c r="AC54" s="1874"/>
    </row>
    <row r="55" spans="1:29" s="1203" customFormat="1" ht="12.75">
      <c r="A55" s="604" t="s">
        <v>515</v>
      </c>
      <c r="B55" s="605" t="e">
        <f t="shared" ref="B55:B61" si="16">ROUND($C$45*C55*D55,0)</f>
        <v>#DIV/0!</v>
      </c>
      <c r="C55" s="364">
        <f t="shared" si="15"/>
        <v>0.2</v>
      </c>
      <c r="D55" s="1945">
        <v>0.25</v>
      </c>
      <c r="E55" s="606"/>
      <c r="F55" s="1703" t="e">
        <f t="shared" si="14"/>
        <v>#DIV/0!</v>
      </c>
      <c r="G55" s="3277"/>
      <c r="H55" s="1708" t="str">
        <f>项目基本情况!B43</f>
        <v>九级</v>
      </c>
      <c r="I55" s="1706">
        <f>SUMIF(修正!$A$57:$A$68,H55,修正!C57:C68)</f>
        <v>0.2</v>
      </c>
      <c r="J55" s="1371"/>
      <c r="K55" s="2959"/>
      <c r="L55" s="1874"/>
      <c r="M55" s="1874"/>
      <c r="N55" s="1874"/>
      <c r="O55" s="1874"/>
      <c r="P55" s="1874"/>
      <c r="Q55" s="1874"/>
      <c r="R55" s="1874"/>
      <c r="S55" s="1874"/>
      <c r="T55" s="1874"/>
      <c r="U55" s="1874"/>
      <c r="V55" s="1874"/>
      <c r="W55" s="1874"/>
      <c r="X55" s="1874"/>
      <c r="Y55" s="1874"/>
      <c r="Z55" s="1874"/>
      <c r="AA55" s="1874"/>
      <c r="AB55" s="1874"/>
      <c r="AC55" s="1874"/>
    </row>
    <row r="56" spans="1:29" s="1203" customFormat="1" ht="12.75">
      <c r="A56" s="604" t="s">
        <v>516</v>
      </c>
      <c r="B56" s="605" t="e">
        <f t="shared" si="16"/>
        <v>#DIV/0!</v>
      </c>
      <c r="C56" s="364">
        <f t="shared" si="15"/>
        <v>0.2</v>
      </c>
      <c r="D56" s="1945">
        <v>0.25</v>
      </c>
      <c r="E56" s="606"/>
      <c r="F56" s="1703" t="e">
        <f t="shared" si="14"/>
        <v>#DIV/0!</v>
      </c>
      <c r="G56" s="3277"/>
      <c r="H56" s="1708" t="str">
        <f>项目基本情况!B43</f>
        <v>九级</v>
      </c>
      <c r="I56" s="1706">
        <f>SUMIF(修正!$A$57:$A$68,H56,修正!D57:D68)</f>
        <v>0.2</v>
      </c>
      <c r="J56" s="1371"/>
      <c r="K56" s="2959"/>
      <c r="L56" s="1874"/>
      <c r="M56" s="1874"/>
      <c r="N56" s="1874"/>
      <c r="O56" s="1874"/>
      <c r="P56" s="1874"/>
      <c r="Q56" s="1874"/>
      <c r="R56" s="1874"/>
      <c r="S56" s="1874"/>
      <c r="T56" s="1874"/>
      <c r="U56" s="1874"/>
      <c r="V56" s="1874"/>
      <c r="W56" s="1874"/>
      <c r="X56" s="1874"/>
      <c r="Y56" s="1874"/>
      <c r="Z56" s="1874"/>
      <c r="AA56" s="1874"/>
      <c r="AB56" s="1874"/>
      <c r="AC56" s="1874"/>
    </row>
    <row r="57" spans="1:29" s="1203" customFormat="1" ht="12.75">
      <c r="A57" s="2047" t="s">
        <v>1685</v>
      </c>
      <c r="B57" s="605" t="e">
        <f t="shared" si="16"/>
        <v>#DIV/0!</v>
      </c>
      <c r="C57" s="364">
        <f t="shared" si="15"/>
        <v>0.2</v>
      </c>
      <c r="D57" s="1945">
        <v>0.25</v>
      </c>
      <c r="E57" s="608">
        <f>'数据-汇总表'!E11</f>
        <v>409</v>
      </c>
      <c r="F57" s="1703" t="e">
        <f t="shared" si="14"/>
        <v>#DIV/0!</v>
      </c>
      <c r="G57" s="1709" t="s">
        <v>1644</v>
      </c>
      <c r="H57" s="1708" t="str">
        <f>项目基本情况!C43</f>
        <v>九级</v>
      </c>
      <c r="I57" s="1706">
        <f>SUMIF(修正!$A$57:$A$68,H57,修正!E57:E68)</f>
        <v>0.2</v>
      </c>
      <c r="J57" s="1371"/>
      <c r="K57" s="2959"/>
      <c r="L57" s="1874"/>
      <c r="M57" s="1874"/>
      <c r="N57" s="1874"/>
      <c r="O57" s="1874"/>
      <c r="P57" s="1874"/>
      <c r="Q57" s="1874"/>
      <c r="R57" s="1874"/>
      <c r="S57" s="1874"/>
      <c r="T57" s="1874"/>
      <c r="U57" s="1874"/>
      <c r="V57" s="1874"/>
      <c r="W57" s="1874"/>
      <c r="X57" s="1874"/>
      <c r="Y57" s="1874"/>
      <c r="Z57" s="1874"/>
      <c r="AA57" s="1874"/>
      <c r="AB57" s="1874"/>
      <c r="AC57" s="1874"/>
    </row>
    <row r="58" spans="1:29" s="1203" customFormat="1" ht="12.75">
      <c r="A58" s="604" t="s">
        <v>517</v>
      </c>
      <c r="B58" s="605" t="e">
        <f t="shared" si="16"/>
        <v>#DIV/0!</v>
      </c>
      <c r="C58" s="364">
        <f t="shared" si="15"/>
        <v>0.2</v>
      </c>
      <c r="D58" s="1945">
        <v>0.25</v>
      </c>
      <c r="E58" s="608">
        <f>'数据-汇总表'!E12</f>
        <v>6934.37</v>
      </c>
      <c r="F58" s="1703" t="e">
        <f t="shared" si="14"/>
        <v>#DIV/0!</v>
      </c>
      <c r="G58" s="1699" t="s">
        <v>1212</v>
      </c>
      <c r="H58" s="1707" t="str">
        <f>IF(G58="商业",项目基本情况!B43,IF(G58="办公",项目基本情况!C43,IF(G58="住宅",项目基本情况!D43,项目基本情况!E43)))</f>
        <v>九级</v>
      </c>
      <c r="I58" s="1706">
        <f>SUMIF(修正!$A$57:$A$68,H58,修正!F57:F68)</f>
        <v>0.2</v>
      </c>
      <c r="J58" s="1371"/>
      <c r="K58" s="2959"/>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4" t="s">
        <v>518</v>
      </c>
      <c r="B59" s="605" t="e">
        <f t="shared" si="16"/>
        <v>#DIV/0!</v>
      </c>
      <c r="C59" s="364">
        <f t="shared" si="15"/>
        <v>0.1</v>
      </c>
      <c r="D59" s="1945">
        <v>0.25</v>
      </c>
      <c r="E59" s="608">
        <f>'数据-汇总表'!E13</f>
        <v>7480.41</v>
      </c>
      <c r="F59" s="1703" t="e">
        <f t="shared" si="14"/>
        <v>#DIV/0!</v>
      </c>
      <c r="G59" s="1699" t="s">
        <v>851</v>
      </c>
      <c r="H59" s="1707" t="str">
        <f>IF(G59="商业",项目基本情况!B43,IF(G59="办公",项目基本情况!C43,IF(G59="住宅",项目基本情况!D43,项目基本情况!E43)))</f>
        <v>九级</v>
      </c>
      <c r="I59" s="1706">
        <f>SUMIF(修正!$A$57:$A$68,H59,修正!G57:G68)</f>
        <v>0.1</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4" t="s">
        <v>519</v>
      </c>
      <c r="B60" s="605" t="e">
        <f t="shared" si="16"/>
        <v>#DIV/0!</v>
      </c>
      <c r="C60" s="364">
        <f t="shared" si="15"/>
        <v>0.1</v>
      </c>
      <c r="D60" s="1945">
        <v>0.25</v>
      </c>
      <c r="E60" s="608">
        <f>'数据-汇总表'!E14</f>
        <v>0</v>
      </c>
      <c r="F60" s="1703" t="e">
        <f t="shared" si="14"/>
        <v>#DIV/0!</v>
      </c>
      <c r="G60" s="1709" t="s">
        <v>1643</v>
      </c>
      <c r="H60" s="1708" t="str">
        <f>项目基本情况!B43</f>
        <v>九级</v>
      </c>
      <c r="I60" s="1706">
        <f>SUMIF(修正!$A$57:$A$68,H60,修正!G57:G68)</f>
        <v>0.1</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3.5" thickBot="1">
      <c r="A61" s="604" t="s">
        <v>520</v>
      </c>
      <c r="B61" s="605" t="e">
        <f t="shared" si="16"/>
        <v>#DIV/0!</v>
      </c>
      <c r="C61" s="364">
        <f t="shared" si="15"/>
        <v>0.1</v>
      </c>
      <c r="D61" s="1945">
        <v>0.25</v>
      </c>
      <c r="E61" s="608">
        <f>'数据-汇总表'!E15</f>
        <v>0</v>
      </c>
      <c r="F61" s="1703" t="e">
        <f t="shared" si="14"/>
        <v>#DIV/0!</v>
      </c>
      <c r="G61" s="1710" t="s">
        <v>1644</v>
      </c>
      <c r="H61" s="1711" t="str">
        <f>项目基本情况!C43</f>
        <v>九级</v>
      </c>
      <c r="I61" s="1706">
        <f>SUMIF(修正!$A$57:$A$68,H61,修正!G57:G68)</f>
        <v>0.1</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3.5" thickBot="1">
      <c r="A62" s="609" t="s">
        <v>521</v>
      </c>
      <c r="B62" s="610" t="s">
        <v>11</v>
      </c>
      <c r="C62" s="610" t="s">
        <v>12</v>
      </c>
      <c r="D62" s="610" t="s">
        <v>1651</v>
      </c>
      <c r="E62" s="610">
        <f>IF(B43="楼面地价",SUM(E53:E61),'数据-汇总表'!D3)</f>
        <v>23364.85</v>
      </c>
      <c r="F62" s="611" t="e">
        <f>IF(B43="楼面地价",SUM(F53:F61),ROUND(C45*E62/10000,0))</f>
        <v>#DIV/0!</v>
      </c>
      <c r="G62" s="1875"/>
      <c r="H62" s="1875"/>
      <c r="I62" s="1875"/>
      <c r="J62" s="1875"/>
      <c r="K62" s="2967"/>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2023-7-1</v>
      </c>
      <c r="D64" s="2276">
        <f>EDATE(C64,-3)</f>
        <v>45017</v>
      </c>
      <c r="E64" s="2276">
        <f t="shared" ref="E64:N64" si="17">EDATE(D64,-3)</f>
        <v>44927</v>
      </c>
      <c r="F64" s="2276">
        <f t="shared" si="17"/>
        <v>44835</v>
      </c>
      <c r="G64" s="2276">
        <f t="shared" si="17"/>
        <v>44743</v>
      </c>
      <c r="H64" s="2276">
        <f t="shared" si="17"/>
        <v>44652</v>
      </c>
      <c r="I64" s="2276">
        <f t="shared" si="17"/>
        <v>44562</v>
      </c>
      <c r="J64" s="2276">
        <f t="shared" si="17"/>
        <v>44470</v>
      </c>
      <c r="K64" s="2276">
        <f t="shared" si="17"/>
        <v>44378</v>
      </c>
      <c r="L64" s="2276">
        <f t="shared" si="17"/>
        <v>44287</v>
      </c>
      <c r="M64" s="2276">
        <f t="shared" si="17"/>
        <v>44197</v>
      </c>
      <c r="N64" s="2276">
        <f t="shared" si="17"/>
        <v>44105</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4" customFormat="1" ht="15">
      <c r="A66" s="2182" t="s">
        <v>1816</v>
      </c>
      <c r="B66" s="613"/>
      <c r="C66" s="2273" t="str">
        <f>YEAR(C64)&amp;"-"&amp;ROUNDUP(MONTH(C64)/3,0)</f>
        <v>2023-3</v>
      </c>
      <c r="D66" s="2278" t="str">
        <f t="shared" ref="D66:N66" si="18">YEAR(D64)&amp;"-"&amp;ROUNDUP(MONTH(D64)/3,0)</f>
        <v>2023-2</v>
      </c>
      <c r="E66" s="2278" t="str">
        <f t="shared" si="18"/>
        <v>2023-1</v>
      </c>
      <c r="F66" s="2278" t="str">
        <f t="shared" si="18"/>
        <v>2022-4</v>
      </c>
      <c r="G66" s="2278" t="str">
        <f t="shared" si="18"/>
        <v>2022-3</v>
      </c>
      <c r="H66" s="2278" t="str">
        <f t="shared" si="18"/>
        <v>2022-2</v>
      </c>
      <c r="I66" s="2278" t="str">
        <f t="shared" si="18"/>
        <v>2022-1</v>
      </c>
      <c r="J66" s="2278" t="str">
        <f t="shared" si="18"/>
        <v>2021-4</v>
      </c>
      <c r="K66" s="2278" t="str">
        <f t="shared" si="18"/>
        <v>2021-3</v>
      </c>
      <c r="L66" s="2278" t="str">
        <f t="shared" si="18"/>
        <v>2021-2</v>
      </c>
      <c r="M66" s="2278" t="str">
        <f t="shared" si="18"/>
        <v>2021-1</v>
      </c>
      <c r="N66" s="2278" t="str">
        <f t="shared" si="18"/>
        <v>2020-4</v>
      </c>
      <c r="O66" s="1878"/>
      <c r="P66" s="1879"/>
      <c r="Q66" s="1880"/>
      <c r="R66" s="1880"/>
      <c r="S66" s="1880"/>
      <c r="T66" s="1880"/>
      <c r="U66" s="1880"/>
      <c r="V66" s="1880"/>
      <c r="W66" s="1880"/>
      <c r="X66" s="1880"/>
      <c r="Y66" s="1880"/>
      <c r="Z66" s="1880"/>
      <c r="AA66" s="1880"/>
      <c r="AB66" s="1880"/>
      <c r="AC66" s="1880"/>
    </row>
    <row r="67" spans="1:29" s="1115" customFormat="1" ht="27.75" customHeight="1">
      <c r="A67" s="2275" t="s">
        <v>1931</v>
      </c>
      <c r="B67" s="464" t="str">
        <f>"北京市平均增长率"&amp;TEXT(基准地价!P28,"0.00%")</f>
        <v>北京市平均增长率0.00%</v>
      </c>
      <c r="C67" s="854">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5" customFormat="1" ht="15.7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5" customFormat="1" ht="15">
      <c r="A69" s="626" t="s">
        <v>480</v>
      </c>
      <c r="B69" s="615"/>
      <c r="C69" s="627" t="s">
        <v>524</v>
      </c>
      <c r="D69" s="628"/>
      <c r="E69" s="628"/>
      <c r="F69" s="628"/>
      <c r="G69" s="628"/>
      <c r="H69" s="628"/>
      <c r="I69" s="628"/>
      <c r="J69" s="628"/>
      <c r="K69" s="628"/>
      <c r="L69" s="629"/>
      <c r="M69" s="630"/>
      <c r="N69" s="2968"/>
      <c r="O69" s="1881"/>
      <c r="P69" s="1882"/>
      <c r="Q69" s="1877"/>
      <c r="R69" s="1743"/>
      <c r="S69" s="1743"/>
      <c r="T69" s="1743"/>
      <c r="U69" s="1743"/>
      <c r="V69" s="1743"/>
      <c r="W69" s="1743"/>
      <c r="X69" s="1743"/>
      <c r="Y69" s="1743"/>
      <c r="Z69" s="1743"/>
      <c r="AA69" s="1743"/>
      <c r="AB69" s="1743"/>
      <c r="AC69" s="1743"/>
    </row>
    <row r="70" spans="1:29" s="1115" customFormat="1" ht="15.75" thickBot="1">
      <c r="A70" s="626"/>
      <c r="B70" s="615"/>
      <c r="C70" s="616">
        <v>100</v>
      </c>
      <c r="D70" s="617"/>
      <c r="E70" s="617"/>
      <c r="F70" s="617"/>
      <c r="G70" s="617"/>
      <c r="H70" s="617"/>
      <c r="I70" s="617"/>
      <c r="J70" s="617"/>
      <c r="K70" s="617"/>
      <c r="L70" s="617"/>
      <c r="M70" s="619"/>
      <c r="N70" s="2968"/>
      <c r="O70" s="1881"/>
      <c r="P70" s="1877"/>
      <c r="Q70" s="1877"/>
      <c r="R70" s="1743"/>
      <c r="S70" s="1743"/>
      <c r="T70" s="1743"/>
      <c r="U70" s="1743"/>
      <c r="V70" s="1743"/>
      <c r="W70" s="1743"/>
      <c r="X70" s="1743"/>
      <c r="Y70" s="1743"/>
      <c r="Z70" s="1743"/>
      <c r="AA70" s="1743"/>
      <c r="AB70" s="1743"/>
      <c r="AC70" s="1743"/>
    </row>
    <row r="71" spans="1:29">
      <c r="A71" s="631" t="s">
        <v>525</v>
      </c>
      <c r="B71" s="632" t="s">
        <v>483</v>
      </c>
      <c r="C71" s="567"/>
      <c r="D71" s="567"/>
      <c r="E71" s="567"/>
      <c r="F71" s="567"/>
      <c r="G71" s="567"/>
      <c r="H71" s="567"/>
      <c r="I71" s="567"/>
      <c r="J71" s="567"/>
      <c r="K71" s="633"/>
      <c r="L71" s="634"/>
      <c r="M71" s="635"/>
      <c r="N71" s="2969"/>
      <c r="O71" s="1883"/>
      <c r="P71" s="1884"/>
      <c r="Q71" s="1877"/>
      <c r="R71" s="1865"/>
      <c r="S71" s="1865"/>
      <c r="T71" s="1865"/>
      <c r="U71" s="1865"/>
      <c r="V71" s="1865"/>
      <c r="W71" s="1865"/>
      <c r="X71" s="1865"/>
      <c r="Y71" s="1865"/>
      <c r="Z71" s="1865"/>
      <c r="AA71" s="1865"/>
      <c r="AB71" s="1865"/>
      <c r="AC71" s="1865"/>
    </row>
    <row r="72" spans="1:29" ht="15.75" thickBot="1">
      <c r="A72" s="636"/>
      <c r="B72" s="637"/>
      <c r="C72" s="638"/>
      <c r="D72" s="638"/>
      <c r="E72" s="638"/>
      <c r="F72" s="638"/>
      <c r="G72" s="638"/>
      <c r="H72" s="638"/>
      <c r="I72" s="638"/>
      <c r="J72" s="638"/>
      <c r="K72" s="638"/>
      <c r="L72" s="638"/>
      <c r="M72" s="639"/>
      <c r="N72" s="2970"/>
      <c r="O72" s="1885"/>
      <c r="P72" s="1884"/>
      <c r="Q72" s="1877"/>
      <c r="R72" s="1865"/>
      <c r="S72" s="1865"/>
      <c r="T72" s="1865"/>
      <c r="U72" s="1865"/>
      <c r="V72" s="1865"/>
      <c r="W72" s="1865"/>
      <c r="X72" s="1865"/>
      <c r="Y72" s="1865"/>
      <c r="Z72" s="1865"/>
      <c r="AA72" s="1865"/>
      <c r="AB72" s="1865"/>
      <c r="AC72" s="1865"/>
    </row>
    <row r="73" spans="1:29" ht="27.75" thickTop="1">
      <c r="A73" s="636"/>
      <c r="B73" s="640" t="s">
        <v>486</v>
      </c>
      <c r="C73" s="641"/>
      <c r="D73" s="641"/>
      <c r="E73" s="641"/>
      <c r="F73" s="641"/>
      <c r="G73" s="641"/>
      <c r="H73" s="641"/>
      <c r="I73" s="641"/>
      <c r="J73" s="641"/>
      <c r="K73" s="642"/>
      <c r="L73" s="643"/>
      <c r="M73" s="644"/>
      <c r="N73" s="2969"/>
      <c r="O73" s="1883"/>
      <c r="P73" s="1884"/>
      <c r="Q73" s="1877"/>
      <c r="R73" s="1865"/>
      <c r="S73" s="1865"/>
      <c r="T73" s="1865"/>
      <c r="U73" s="1865"/>
      <c r="V73" s="1865"/>
      <c r="W73" s="1865"/>
      <c r="X73" s="1865"/>
      <c r="Y73" s="1865"/>
      <c r="Z73" s="1865"/>
      <c r="AA73" s="1865"/>
      <c r="AB73" s="1865"/>
      <c r="AC73" s="1865"/>
    </row>
    <row r="74" spans="1:29" ht="15.75" thickBot="1">
      <c r="A74" s="636"/>
      <c r="B74" s="645"/>
      <c r="C74" s="646"/>
      <c r="D74" s="646"/>
      <c r="E74" s="646"/>
      <c r="F74" s="646"/>
      <c r="G74" s="646"/>
      <c r="H74" s="646"/>
      <c r="I74" s="646"/>
      <c r="J74" s="646"/>
      <c r="K74" s="646"/>
      <c r="L74" s="646"/>
      <c r="M74" s="647"/>
      <c r="N74" s="2970"/>
      <c r="O74" s="1885"/>
      <c r="P74" s="1884"/>
      <c r="Q74" s="1877"/>
      <c r="R74" s="1865"/>
      <c r="S74" s="1865"/>
      <c r="T74" s="1865"/>
      <c r="U74" s="1865"/>
      <c r="V74" s="1865"/>
      <c r="W74" s="1865"/>
      <c r="X74" s="1865"/>
      <c r="Y74" s="1865"/>
      <c r="Z74" s="1865"/>
      <c r="AA74" s="1865"/>
      <c r="AB74" s="1865"/>
      <c r="AC74" s="1865"/>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70"/>
      <c r="O75" s="1885"/>
      <c r="P75" s="1884"/>
      <c r="Q75" s="1877"/>
      <c r="R75" s="1865"/>
      <c r="S75" s="1865"/>
      <c r="T75" s="1865"/>
      <c r="U75" s="1865"/>
      <c r="V75" s="1865"/>
      <c r="W75" s="1865"/>
      <c r="X75" s="1865"/>
      <c r="Y75" s="1865"/>
      <c r="Z75" s="1865"/>
      <c r="AA75" s="1865"/>
      <c r="AB75" s="1865"/>
      <c r="AC75" s="1865"/>
    </row>
    <row r="76" spans="1:29" ht="15">
      <c r="A76" s="636"/>
      <c r="B76" s="650"/>
      <c r="C76" s="510"/>
      <c r="D76" s="510"/>
      <c r="E76" s="510"/>
      <c r="F76" s="510"/>
      <c r="G76" s="510"/>
      <c r="H76" s="510"/>
      <c r="I76" s="510"/>
      <c r="J76" s="510"/>
      <c r="K76" s="651"/>
      <c r="L76" s="652"/>
      <c r="M76" s="653"/>
      <c r="N76" s="2969"/>
      <c r="O76" s="1883"/>
      <c r="P76" s="1884"/>
      <c r="Q76" s="1877"/>
      <c r="R76" s="1865"/>
      <c r="S76" s="1865"/>
      <c r="T76" s="1865"/>
      <c r="U76" s="1865"/>
      <c r="V76" s="1865"/>
      <c r="W76" s="1865"/>
      <c r="X76" s="1865"/>
      <c r="Y76" s="1865"/>
      <c r="Z76" s="1865"/>
      <c r="AA76" s="1865"/>
      <c r="AB76" s="1865"/>
      <c r="AC76" s="1865"/>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70"/>
      <c r="O77" s="1885"/>
      <c r="P77" s="1884"/>
      <c r="Q77" s="1877"/>
      <c r="R77" s="1865"/>
      <c r="S77" s="1865"/>
      <c r="T77" s="1865"/>
      <c r="U77" s="1865"/>
      <c r="V77" s="1865"/>
      <c r="W77" s="1865"/>
      <c r="X77" s="1865"/>
      <c r="Y77" s="1865"/>
      <c r="Z77" s="1865"/>
      <c r="AA77" s="1865"/>
      <c r="AB77" s="1865"/>
      <c r="AC77" s="1865"/>
    </row>
    <row r="78" spans="1:29" s="1197" customFormat="1" ht="15.75" thickTop="1">
      <c r="A78" s="654"/>
      <c r="B78" s="640">
        <f>B14</f>
        <v>111</v>
      </c>
      <c r="C78" s="655"/>
      <c r="D78" s="655"/>
      <c r="E78" s="655"/>
      <c r="F78" s="655"/>
      <c r="G78" s="655"/>
      <c r="H78" s="656"/>
      <c r="I78" s="656"/>
      <c r="J78" s="656"/>
      <c r="K78" s="656"/>
      <c r="L78" s="657"/>
      <c r="M78" s="658"/>
      <c r="N78" s="2971"/>
      <c r="O78" s="1886"/>
      <c r="P78" s="1887"/>
      <c r="Q78" s="1888"/>
      <c r="R78" s="1889"/>
      <c r="S78" s="1889"/>
      <c r="T78" s="1889"/>
      <c r="U78" s="1889"/>
      <c r="V78" s="1889"/>
      <c r="W78" s="1889"/>
      <c r="X78" s="1889"/>
      <c r="Y78" s="1889"/>
      <c r="Z78" s="1889"/>
      <c r="AA78" s="1889"/>
      <c r="AB78" s="1889"/>
      <c r="AC78" s="1889"/>
    </row>
    <row r="79" spans="1:29" s="1197" customFormat="1" ht="15.75" thickBot="1">
      <c r="A79" s="654"/>
      <c r="B79" s="645"/>
      <c r="C79" s="659"/>
      <c r="D79" s="638"/>
      <c r="E79" s="638"/>
      <c r="F79" s="638"/>
      <c r="G79" s="638"/>
      <c r="H79" s="638"/>
      <c r="I79" s="638"/>
      <c r="J79" s="638"/>
      <c r="K79" s="638"/>
      <c r="L79" s="638"/>
      <c r="M79" s="639"/>
      <c r="N79" s="2970"/>
      <c r="O79" s="1885"/>
      <c r="P79" s="1887"/>
      <c r="Q79" s="1888"/>
      <c r="R79" s="1889"/>
      <c r="S79" s="1889"/>
      <c r="T79" s="1889"/>
      <c r="U79" s="1889"/>
      <c r="V79" s="1889"/>
      <c r="W79" s="1889"/>
      <c r="X79" s="1889"/>
      <c r="Y79" s="1889"/>
      <c r="Z79" s="1889"/>
      <c r="AA79" s="1889"/>
      <c r="AB79" s="1889"/>
      <c r="AC79" s="1889"/>
    </row>
    <row r="80" spans="1:29" s="1197" customFormat="1" ht="15.75" thickTop="1">
      <c r="A80" s="654"/>
      <c r="B80" s="640">
        <f>B15</f>
        <v>111</v>
      </c>
      <c r="C80" s="655"/>
      <c r="D80" s="655"/>
      <c r="E80" s="655"/>
      <c r="F80" s="655"/>
      <c r="G80" s="655"/>
      <c r="H80" s="656"/>
      <c r="I80" s="656"/>
      <c r="J80" s="656"/>
      <c r="K80" s="656"/>
      <c r="L80" s="657"/>
      <c r="M80" s="658"/>
      <c r="N80" s="2971"/>
      <c r="O80" s="1886"/>
      <c r="P80" s="1890"/>
      <c r="Q80" s="1891"/>
      <c r="R80" s="1889"/>
      <c r="S80" s="1889"/>
      <c r="T80" s="1889"/>
      <c r="U80" s="1889"/>
      <c r="V80" s="1889"/>
      <c r="W80" s="1889"/>
      <c r="X80" s="1889"/>
      <c r="Y80" s="1889"/>
      <c r="Z80" s="1889"/>
      <c r="AA80" s="1889"/>
      <c r="AB80" s="1889"/>
      <c r="AC80" s="1889"/>
    </row>
    <row r="81" spans="1:29" s="1197" customFormat="1" ht="15.75" thickBot="1">
      <c r="A81" s="654"/>
      <c r="B81" s="645"/>
      <c r="C81" s="659"/>
      <c r="D81" s="659"/>
      <c r="E81" s="659"/>
      <c r="F81" s="659"/>
      <c r="G81" s="659"/>
      <c r="H81" s="660"/>
      <c r="I81" s="660"/>
      <c r="J81" s="660"/>
      <c r="K81" s="660"/>
      <c r="L81" s="660"/>
      <c r="M81" s="661"/>
      <c r="N81" s="2971"/>
      <c r="O81" s="1886"/>
      <c r="P81" s="1887"/>
      <c r="Q81" s="1888"/>
      <c r="R81" s="1889"/>
      <c r="S81" s="1889"/>
      <c r="T81" s="1889"/>
      <c r="U81" s="1889"/>
      <c r="V81" s="1889"/>
      <c r="W81" s="1889"/>
      <c r="X81" s="1889"/>
      <c r="Y81" s="1889"/>
      <c r="Z81" s="1889"/>
      <c r="AA81" s="1889"/>
      <c r="AB81" s="1889"/>
      <c r="AC81" s="1889"/>
    </row>
    <row r="82" spans="1:29" s="1197" customFormat="1" ht="15.75" thickTop="1">
      <c r="A82" s="654"/>
      <c r="B82" s="648">
        <f>B16</f>
        <v>111</v>
      </c>
      <c r="C82" s="628"/>
      <c r="D82" s="628"/>
      <c r="E82" s="628"/>
      <c r="F82" s="628"/>
      <c r="G82" s="628"/>
      <c r="H82" s="662"/>
      <c r="I82" s="662"/>
      <c r="J82" s="662"/>
      <c r="K82" s="662"/>
      <c r="L82" s="663"/>
      <c r="M82" s="664"/>
      <c r="N82" s="2971"/>
      <c r="O82" s="1886"/>
      <c r="P82" s="1892"/>
      <c r="Q82" s="1888"/>
      <c r="R82" s="1889"/>
      <c r="S82" s="1889"/>
      <c r="T82" s="1889"/>
      <c r="U82" s="1889"/>
      <c r="V82" s="1889"/>
      <c r="W82" s="1889"/>
      <c r="X82" s="1889"/>
      <c r="Y82" s="1889"/>
      <c r="Z82" s="1889"/>
      <c r="AA82" s="1889"/>
      <c r="AB82" s="1889"/>
      <c r="AC82" s="1889"/>
    </row>
    <row r="83" spans="1:29" s="1197" customFormat="1" ht="15.75" thickBot="1">
      <c r="A83" s="665"/>
      <c r="B83" s="666"/>
      <c r="C83" s="667"/>
      <c r="D83" s="667"/>
      <c r="E83" s="667"/>
      <c r="F83" s="667"/>
      <c r="G83" s="667"/>
      <c r="H83" s="668"/>
      <c r="I83" s="668"/>
      <c r="J83" s="668"/>
      <c r="K83" s="668"/>
      <c r="L83" s="668"/>
      <c r="M83" s="669"/>
      <c r="N83" s="2971"/>
      <c r="O83" s="1886"/>
      <c r="P83" s="1887"/>
      <c r="Q83" s="1888"/>
      <c r="R83" s="1889"/>
      <c r="S83" s="1889"/>
      <c r="T83" s="1889"/>
      <c r="U83" s="1889"/>
      <c r="V83" s="1889"/>
      <c r="W83" s="1889"/>
      <c r="X83" s="1889"/>
      <c r="Y83" s="1889"/>
      <c r="Z83" s="1889"/>
      <c r="AA83" s="1889"/>
      <c r="AB83" s="1889"/>
      <c r="AC83" s="1889"/>
    </row>
    <row r="84" spans="1:29">
      <c r="A84" s="631" t="s">
        <v>488</v>
      </c>
      <c r="B84" s="632" t="s">
        <v>550</v>
      </c>
      <c r="C84" s="670" t="s">
        <v>527</v>
      </c>
      <c r="D84" s="670" t="s">
        <v>528</v>
      </c>
      <c r="E84" s="670" t="s">
        <v>529</v>
      </c>
      <c r="F84" s="670" t="s">
        <v>530</v>
      </c>
      <c r="G84" s="670" t="s">
        <v>531</v>
      </c>
      <c r="H84" s="671"/>
      <c r="I84" s="671"/>
      <c r="J84" s="671"/>
      <c r="K84" s="672"/>
      <c r="L84" s="673"/>
      <c r="M84" s="674"/>
      <c r="N84" s="2969"/>
      <c r="O84" s="1883"/>
      <c r="P84" s="1893"/>
      <c r="Q84" s="1877"/>
      <c r="R84" s="1865"/>
      <c r="S84" s="1865"/>
      <c r="T84" s="1865"/>
      <c r="U84" s="1865"/>
      <c r="V84" s="1865"/>
      <c r="W84" s="1865"/>
      <c r="X84" s="1865"/>
      <c r="Y84" s="1865"/>
      <c r="Z84" s="1865"/>
      <c r="AA84" s="1865"/>
      <c r="AB84" s="1865"/>
      <c r="AC84" s="1865"/>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70"/>
      <c r="O85" s="1885"/>
      <c r="P85" s="1884"/>
      <c r="Q85" s="1877"/>
      <c r="R85" s="1865"/>
      <c r="S85" s="1865"/>
      <c r="T85" s="1865"/>
      <c r="U85" s="1865"/>
      <c r="V85" s="1865"/>
      <c r="W85" s="1865"/>
      <c r="X85" s="1865"/>
      <c r="Y85" s="1865"/>
      <c r="Z85" s="1865"/>
      <c r="AA85" s="1865"/>
      <c r="AB85" s="1865"/>
      <c r="AC85" s="1865"/>
    </row>
    <row r="86" spans="1:29" ht="15.75" thickTop="1">
      <c r="A86" s="636"/>
      <c r="B86" s="640" t="s">
        <v>534</v>
      </c>
      <c r="C86" s="675" t="s">
        <v>527</v>
      </c>
      <c r="D86" s="675" t="s">
        <v>528</v>
      </c>
      <c r="E86" s="675" t="s">
        <v>529</v>
      </c>
      <c r="F86" s="675" t="s">
        <v>530</v>
      </c>
      <c r="G86" s="675" t="s">
        <v>531</v>
      </c>
      <c r="H86" s="641"/>
      <c r="I86" s="641"/>
      <c r="J86" s="641"/>
      <c r="K86" s="642"/>
      <c r="L86" s="643"/>
      <c r="M86" s="644"/>
      <c r="N86" s="2969"/>
      <c r="O86" s="1883"/>
      <c r="P86" s="1884"/>
      <c r="Q86" s="1877"/>
      <c r="R86" s="1865"/>
      <c r="S86" s="1865"/>
      <c r="T86" s="1865"/>
      <c r="U86" s="1865"/>
      <c r="V86" s="1865"/>
      <c r="W86" s="1865"/>
      <c r="X86" s="1865"/>
      <c r="Y86" s="1865"/>
      <c r="Z86" s="1865"/>
      <c r="AA86" s="1865"/>
      <c r="AB86" s="1865"/>
      <c r="AC86" s="1865"/>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70"/>
      <c r="O87" s="1885"/>
      <c r="P87" s="1884"/>
      <c r="Q87" s="1877"/>
      <c r="R87" s="1865"/>
      <c r="S87" s="1865"/>
      <c r="T87" s="1865"/>
      <c r="U87" s="1865"/>
      <c r="V87" s="1865"/>
      <c r="W87" s="1865"/>
      <c r="X87" s="1865"/>
      <c r="Y87" s="1865"/>
      <c r="Z87" s="1865"/>
      <c r="AA87" s="1865"/>
      <c r="AB87" s="1865"/>
      <c r="AC87" s="1865"/>
    </row>
    <row r="88" spans="1:29" s="1115" customFormat="1" ht="27.75" thickTop="1">
      <c r="A88" s="676"/>
      <c r="B88" s="640" t="s">
        <v>535</v>
      </c>
      <c r="C88" s="675" t="s">
        <v>527</v>
      </c>
      <c r="D88" s="675" t="s">
        <v>528</v>
      </c>
      <c r="E88" s="675" t="s">
        <v>529</v>
      </c>
      <c r="F88" s="675" t="s">
        <v>530</v>
      </c>
      <c r="G88" s="675" t="s">
        <v>531</v>
      </c>
      <c r="H88" s="675"/>
      <c r="I88" s="675"/>
      <c r="J88" s="675"/>
      <c r="K88" s="675"/>
      <c r="L88" s="677"/>
      <c r="M88" s="678"/>
      <c r="N88" s="2968"/>
      <c r="O88" s="1881"/>
      <c r="P88" s="1884"/>
      <c r="Q88" s="1877"/>
      <c r="R88" s="1743"/>
      <c r="S88" s="1743"/>
      <c r="T88" s="1743"/>
      <c r="U88" s="1743"/>
      <c r="V88" s="1743"/>
      <c r="W88" s="1743"/>
      <c r="X88" s="1743"/>
      <c r="Y88" s="1743"/>
      <c r="Z88" s="1743"/>
      <c r="AA88" s="1743"/>
      <c r="AB88" s="1743"/>
      <c r="AC88" s="1743"/>
    </row>
    <row r="89" spans="1:29" s="1115" customFormat="1" ht="15.75" thickBot="1">
      <c r="A89" s="676"/>
      <c r="B89" s="645"/>
      <c r="C89" s="679">
        <v>100</v>
      </c>
      <c r="D89" s="646">
        <f>C89-$K21</f>
        <v>100</v>
      </c>
      <c r="E89" s="646">
        <f>D89-$K21</f>
        <v>100</v>
      </c>
      <c r="F89" s="646">
        <f>E89-$K21</f>
        <v>100</v>
      </c>
      <c r="G89" s="646">
        <f>F89-$K21</f>
        <v>100</v>
      </c>
      <c r="H89" s="646"/>
      <c r="I89" s="646"/>
      <c r="J89" s="646"/>
      <c r="K89" s="646"/>
      <c r="L89" s="646"/>
      <c r="M89" s="647"/>
      <c r="N89" s="2970"/>
      <c r="O89" s="1885"/>
      <c r="P89" s="1884"/>
      <c r="Q89" s="1877"/>
      <c r="R89" s="1743"/>
      <c r="S89" s="1743"/>
      <c r="T89" s="1743"/>
      <c r="U89" s="1743"/>
      <c r="V89" s="1743"/>
      <c r="W89" s="1743"/>
      <c r="X89" s="1743"/>
      <c r="Y89" s="1743"/>
      <c r="Z89" s="1743"/>
      <c r="AA89" s="1743"/>
      <c r="AB89" s="1743"/>
      <c r="AC89" s="1743"/>
    </row>
    <row r="90" spans="1:29" s="1115" customFormat="1" ht="27.75" thickTop="1">
      <c r="A90" s="676"/>
      <c r="B90" s="640" t="s">
        <v>536</v>
      </c>
      <c r="C90" s="670" t="s">
        <v>527</v>
      </c>
      <c r="D90" s="670" t="s">
        <v>528</v>
      </c>
      <c r="E90" s="670" t="s">
        <v>529</v>
      </c>
      <c r="F90" s="670" t="s">
        <v>530</v>
      </c>
      <c r="G90" s="670" t="s">
        <v>531</v>
      </c>
      <c r="H90" s="675"/>
      <c r="I90" s="675"/>
      <c r="J90" s="675"/>
      <c r="K90" s="675"/>
      <c r="L90" s="675"/>
      <c r="M90" s="678"/>
      <c r="N90" s="2968"/>
      <c r="O90" s="1881"/>
      <c r="P90" s="1884"/>
      <c r="Q90" s="1877"/>
      <c r="R90" s="1743"/>
      <c r="S90" s="1743"/>
      <c r="T90" s="1743"/>
      <c r="U90" s="1743"/>
      <c r="V90" s="1743"/>
      <c r="W90" s="1743"/>
      <c r="X90" s="1743"/>
      <c r="Y90" s="1743"/>
      <c r="Z90" s="1743"/>
      <c r="AA90" s="1743"/>
      <c r="AB90" s="1743"/>
      <c r="AC90" s="1743"/>
    </row>
    <row r="91" spans="1:29" s="1115" customFormat="1" ht="15.75" thickBot="1">
      <c r="A91" s="676"/>
      <c r="B91" s="645"/>
      <c r="C91" s="646">
        <v>100</v>
      </c>
      <c r="D91" s="646">
        <f>C91-$K23</f>
        <v>100</v>
      </c>
      <c r="E91" s="646">
        <f>D91-$K23</f>
        <v>100</v>
      </c>
      <c r="F91" s="646">
        <f>E91-$K23</f>
        <v>100</v>
      </c>
      <c r="G91" s="646">
        <f>F91-$K23</f>
        <v>100</v>
      </c>
      <c r="H91" s="646"/>
      <c r="I91" s="646"/>
      <c r="J91" s="646"/>
      <c r="K91" s="646"/>
      <c r="L91" s="646"/>
      <c r="M91" s="647"/>
      <c r="N91" s="2970"/>
      <c r="O91" s="1885"/>
      <c r="P91" s="1884"/>
      <c r="Q91" s="1877"/>
      <c r="R91" s="1743"/>
      <c r="S91" s="1743"/>
      <c r="T91" s="1743"/>
      <c r="U91" s="1743"/>
      <c r="V91" s="1743"/>
      <c r="W91" s="1743"/>
      <c r="X91" s="1743"/>
      <c r="Y91" s="1743"/>
      <c r="Z91" s="1743"/>
      <c r="AA91" s="1743"/>
      <c r="AB91" s="1743"/>
      <c r="AC91" s="1743"/>
    </row>
    <row r="92" spans="1:29" s="1197" customFormat="1" ht="15.75" thickTop="1">
      <c r="A92" s="654"/>
      <c r="B92" s="1649" t="s">
        <v>1831</v>
      </c>
      <c r="C92" s="670" t="s">
        <v>527</v>
      </c>
      <c r="D92" s="670" t="s">
        <v>528</v>
      </c>
      <c r="E92" s="670" t="s">
        <v>529</v>
      </c>
      <c r="F92" s="670" t="s">
        <v>530</v>
      </c>
      <c r="G92" s="670" t="s">
        <v>531</v>
      </c>
      <c r="H92" s="680"/>
      <c r="I92" s="680"/>
      <c r="J92" s="680"/>
      <c r="K92" s="680"/>
      <c r="L92" s="681"/>
      <c r="M92" s="682"/>
      <c r="N92" s="2971"/>
      <c r="O92" s="1886"/>
      <c r="P92" s="1887"/>
      <c r="Q92" s="1888"/>
      <c r="R92" s="1889"/>
      <c r="S92" s="1889"/>
      <c r="T92" s="1889"/>
      <c r="U92" s="1889"/>
      <c r="V92" s="1889"/>
      <c r="W92" s="1889"/>
      <c r="X92" s="1889"/>
      <c r="Y92" s="1889"/>
      <c r="Z92" s="1889"/>
      <c r="AA92" s="1889"/>
      <c r="AB92" s="1889"/>
      <c r="AC92" s="1889"/>
    </row>
    <row r="93" spans="1:29" s="1197" customFormat="1" ht="15.75" thickBot="1">
      <c r="A93" s="654"/>
      <c r="B93" s="645"/>
      <c r="C93" s="646">
        <v>100</v>
      </c>
      <c r="D93" s="646">
        <f>C93-$K25</f>
        <v>100</v>
      </c>
      <c r="E93" s="646">
        <f>D93-$K25</f>
        <v>100</v>
      </c>
      <c r="F93" s="646">
        <f>E93-$K25</f>
        <v>100</v>
      </c>
      <c r="G93" s="646">
        <f>F93-$K25</f>
        <v>100</v>
      </c>
      <c r="H93" s="683"/>
      <c r="I93" s="683"/>
      <c r="J93" s="683"/>
      <c r="K93" s="683"/>
      <c r="L93" s="683"/>
      <c r="M93" s="684"/>
      <c r="N93" s="2971"/>
      <c r="O93" s="1886"/>
      <c r="P93" s="1887"/>
      <c r="Q93" s="1888"/>
      <c r="R93" s="1889"/>
      <c r="S93" s="1889"/>
      <c r="T93" s="1889"/>
      <c r="U93" s="1889"/>
      <c r="V93" s="1889"/>
      <c r="W93" s="1889"/>
      <c r="X93" s="1889"/>
      <c r="Y93" s="1889"/>
      <c r="Z93" s="1889"/>
      <c r="AA93" s="1889"/>
      <c r="AB93" s="1889"/>
      <c r="AC93" s="1889"/>
    </row>
    <row r="94" spans="1:29" s="1197" customFormat="1" ht="15.75" thickTop="1">
      <c r="A94" s="654"/>
      <c r="B94" s="2202" t="s">
        <v>1833</v>
      </c>
      <c r="C94" s="2203" t="s">
        <v>1834</v>
      </c>
      <c r="D94" s="2203" t="s">
        <v>1835</v>
      </c>
      <c r="E94" s="2203" t="s">
        <v>1836</v>
      </c>
      <c r="F94" s="2203" t="s">
        <v>1837</v>
      </c>
      <c r="G94" s="2203" t="s">
        <v>1838</v>
      </c>
      <c r="H94" s="680"/>
      <c r="I94" s="680"/>
      <c r="J94" s="680"/>
      <c r="K94" s="680"/>
      <c r="L94" s="680"/>
      <c r="M94" s="682"/>
      <c r="N94" s="2971"/>
      <c r="O94" s="1886"/>
      <c r="P94" s="1887"/>
      <c r="Q94" s="1888"/>
      <c r="R94" s="1889"/>
      <c r="S94" s="1889"/>
      <c r="T94" s="1889"/>
      <c r="U94" s="1889"/>
      <c r="V94" s="1889"/>
      <c r="W94" s="1889"/>
      <c r="X94" s="1889"/>
      <c r="Y94" s="1889"/>
      <c r="Z94" s="1889"/>
      <c r="AA94" s="1889"/>
      <c r="AB94" s="1889"/>
      <c r="AC94" s="1889"/>
    </row>
    <row r="95" spans="1:29" s="1197" customFormat="1" ht="15.75" thickBot="1">
      <c r="A95" s="654"/>
      <c r="B95" s="648"/>
      <c r="C95" s="646">
        <v>100</v>
      </c>
      <c r="D95" s="646">
        <f>C95-$K27</f>
        <v>100</v>
      </c>
      <c r="E95" s="646">
        <f>D95-$K27</f>
        <v>100</v>
      </c>
      <c r="F95" s="646">
        <f>E95-$K27</f>
        <v>100</v>
      </c>
      <c r="G95" s="646">
        <f>F95-$K27</f>
        <v>100</v>
      </c>
      <c r="H95" s="650"/>
      <c r="I95" s="650"/>
      <c r="J95" s="650"/>
      <c r="K95" s="650"/>
      <c r="L95" s="650"/>
      <c r="M95" s="2195"/>
      <c r="N95" s="2971"/>
      <c r="O95" s="1886"/>
      <c r="P95" s="1887"/>
      <c r="Q95" s="1888"/>
      <c r="R95" s="1889"/>
      <c r="S95" s="1889"/>
      <c r="T95" s="1889"/>
      <c r="U95" s="1889"/>
      <c r="V95" s="1889"/>
      <c r="W95" s="1889"/>
      <c r="X95" s="1889"/>
      <c r="Y95" s="1889"/>
      <c r="Z95" s="1889"/>
      <c r="AA95" s="1889"/>
      <c r="AB95" s="1889"/>
      <c r="AC95" s="1889"/>
    </row>
    <row r="96" spans="1:29" ht="15.75" thickTop="1">
      <c r="A96" s="636"/>
      <c r="B96" s="640" t="str">
        <f>B29</f>
        <v>临街状况</v>
      </c>
      <c r="C96" s="641" t="s">
        <v>537</v>
      </c>
      <c r="D96" s="641" t="s">
        <v>538</v>
      </c>
      <c r="E96" s="641" t="s">
        <v>539</v>
      </c>
      <c r="F96" s="641" t="s">
        <v>540</v>
      </c>
      <c r="G96" s="641"/>
      <c r="H96" s="641"/>
      <c r="I96" s="641"/>
      <c r="J96" s="641"/>
      <c r="K96" s="642"/>
      <c r="L96" s="643"/>
      <c r="M96" s="644"/>
      <c r="N96" s="2969"/>
      <c r="O96" s="1883"/>
      <c r="P96" s="1884"/>
      <c r="Q96" s="1877"/>
      <c r="R96" s="1865"/>
      <c r="S96" s="1865"/>
      <c r="T96" s="1865"/>
      <c r="U96" s="1865"/>
      <c r="V96" s="1865"/>
      <c r="W96" s="1865"/>
      <c r="X96" s="1865"/>
      <c r="Y96" s="1865"/>
      <c r="Z96" s="1865"/>
      <c r="AA96" s="1865"/>
      <c r="AB96" s="1865"/>
      <c r="AC96" s="1865"/>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70"/>
      <c r="O97" s="1885"/>
      <c r="P97" s="1884"/>
      <c r="Q97" s="1877"/>
      <c r="R97" s="1865"/>
      <c r="S97" s="1865"/>
      <c r="T97" s="1865"/>
      <c r="U97" s="1865"/>
      <c r="V97" s="1865"/>
      <c r="W97" s="1865"/>
      <c r="X97" s="1865"/>
      <c r="Y97" s="1865"/>
      <c r="Z97" s="1865"/>
      <c r="AA97" s="1865"/>
      <c r="AB97" s="1865"/>
      <c r="AC97" s="1865"/>
    </row>
    <row r="98" spans="1:29" ht="27.75" thickTop="1">
      <c r="A98" s="636"/>
      <c r="B98" s="640" t="s">
        <v>497</v>
      </c>
      <c r="C98" s="655"/>
      <c r="D98" s="655"/>
      <c r="E98" s="655"/>
      <c r="F98" s="655"/>
      <c r="G98" s="655"/>
      <c r="H98" s="685"/>
      <c r="I98" s="685"/>
      <c r="J98" s="685"/>
      <c r="K98" s="686"/>
      <c r="L98" s="687"/>
      <c r="M98" s="688"/>
      <c r="N98" s="2969"/>
      <c r="O98" s="1883"/>
      <c r="P98" s="1884"/>
      <c r="Q98" s="1877"/>
      <c r="R98" s="1865"/>
      <c r="S98" s="1865"/>
      <c r="T98" s="1865"/>
      <c r="U98" s="1865"/>
      <c r="V98" s="1865"/>
      <c r="W98" s="1865"/>
      <c r="X98" s="1865"/>
      <c r="Y98" s="1865"/>
      <c r="Z98" s="1865"/>
      <c r="AA98" s="1865"/>
      <c r="AB98" s="1865"/>
      <c r="AC98" s="1865"/>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70"/>
      <c r="O99" s="1885"/>
      <c r="P99" s="1884"/>
      <c r="Q99" s="1877"/>
      <c r="R99" s="1865"/>
      <c r="S99" s="1865"/>
      <c r="T99" s="1865"/>
      <c r="U99" s="1865"/>
      <c r="V99" s="1865"/>
      <c r="W99" s="1865"/>
      <c r="X99" s="1865"/>
      <c r="Y99" s="1865"/>
      <c r="Z99" s="1865"/>
      <c r="AA99" s="1865"/>
      <c r="AB99" s="1865"/>
      <c r="AC99" s="1865"/>
    </row>
    <row r="100" spans="1:29" ht="15.75" thickTop="1">
      <c r="A100" s="636"/>
      <c r="B100" s="640" t="s">
        <v>498</v>
      </c>
      <c r="C100" s="685"/>
      <c r="D100" s="685"/>
      <c r="E100" s="685"/>
      <c r="F100" s="685"/>
      <c r="G100" s="685"/>
      <c r="H100" s="685"/>
      <c r="I100" s="685"/>
      <c r="J100" s="685"/>
      <c r="K100" s="686"/>
      <c r="L100" s="687"/>
      <c r="M100" s="688"/>
      <c r="N100" s="2969"/>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70"/>
      <c r="O101" s="1885"/>
      <c r="P101" s="1884"/>
      <c r="Q101" s="1877"/>
      <c r="R101" s="1865"/>
      <c r="S101" s="1865"/>
      <c r="T101" s="1865"/>
      <c r="U101" s="1865"/>
      <c r="V101" s="1865"/>
      <c r="W101" s="1865"/>
      <c r="X101" s="1865"/>
      <c r="Y101" s="1865"/>
      <c r="Z101" s="1865"/>
      <c r="AA101" s="1865"/>
      <c r="AB101" s="1865"/>
      <c r="AC101" s="1865"/>
    </row>
    <row r="102" spans="1:29" ht="15.75" thickTop="1">
      <c r="A102" s="636"/>
      <c r="B102" s="648">
        <f>B33</f>
        <v>111</v>
      </c>
      <c r="C102" s="655"/>
      <c r="D102" s="655"/>
      <c r="E102" s="655"/>
      <c r="F102" s="655"/>
      <c r="G102" s="689"/>
      <c r="H102" s="689"/>
      <c r="I102" s="689"/>
      <c r="J102" s="689"/>
      <c r="K102" s="690"/>
      <c r="L102" s="691"/>
      <c r="M102" s="692"/>
      <c r="N102" s="2969"/>
      <c r="O102" s="1883"/>
      <c r="P102" s="1884"/>
      <c r="Q102" s="1877"/>
      <c r="R102" s="1865"/>
      <c r="S102" s="1865"/>
      <c r="T102" s="1865"/>
      <c r="U102" s="1865"/>
      <c r="V102" s="1865"/>
      <c r="W102" s="1865"/>
      <c r="X102" s="1865"/>
      <c r="Y102" s="1865"/>
      <c r="Z102" s="1865"/>
      <c r="AA102" s="1865"/>
      <c r="AB102" s="1865"/>
      <c r="AC102" s="1865"/>
    </row>
    <row r="103" spans="1:29" ht="15.75" thickBot="1">
      <c r="A103" s="636"/>
      <c r="B103" s="666"/>
      <c r="C103" s="659"/>
      <c r="D103" s="638"/>
      <c r="E103" s="638"/>
      <c r="F103" s="638"/>
      <c r="G103" s="693"/>
      <c r="H103" s="693"/>
      <c r="I103" s="693"/>
      <c r="J103" s="693"/>
      <c r="K103" s="693"/>
      <c r="L103" s="693"/>
      <c r="M103" s="694"/>
      <c r="N103" s="2970"/>
      <c r="O103" s="1885"/>
      <c r="P103" s="1884"/>
      <c r="Q103" s="1877"/>
      <c r="R103" s="1865"/>
      <c r="S103" s="1865"/>
      <c r="T103" s="1865"/>
      <c r="U103" s="1865"/>
      <c r="V103" s="1865"/>
      <c r="W103" s="1865"/>
      <c r="X103" s="1865"/>
      <c r="Y103" s="1865"/>
      <c r="Z103" s="1865"/>
      <c r="AA103" s="1865"/>
      <c r="AB103" s="1865"/>
      <c r="AC103" s="1865"/>
    </row>
    <row r="104" spans="1:29" ht="15" thickTop="1">
      <c r="A104" s="556"/>
      <c r="B104" s="640">
        <f>B34</f>
        <v>111</v>
      </c>
      <c r="C104" s="655"/>
      <c r="D104" s="655"/>
      <c r="E104" s="655"/>
      <c r="F104" s="655"/>
      <c r="G104" s="685"/>
      <c r="H104" s="685"/>
      <c r="I104" s="685"/>
      <c r="J104" s="685"/>
      <c r="K104" s="686"/>
      <c r="L104" s="687"/>
      <c r="M104" s="688"/>
      <c r="N104" s="2969"/>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59"/>
      <c r="D105" s="659"/>
      <c r="E105" s="659"/>
      <c r="F105" s="659"/>
      <c r="G105" s="638"/>
      <c r="H105" s="638"/>
      <c r="I105" s="638"/>
      <c r="J105" s="638"/>
      <c r="K105" s="638"/>
      <c r="L105" s="638"/>
      <c r="M105" s="639"/>
      <c r="N105" s="2970"/>
      <c r="O105" s="1885"/>
      <c r="P105" s="1884"/>
      <c r="Q105" s="1877"/>
      <c r="R105" s="1865"/>
      <c r="S105" s="1865"/>
      <c r="T105" s="1865"/>
      <c r="U105" s="1865"/>
      <c r="V105" s="1865"/>
      <c r="W105" s="1865"/>
      <c r="X105" s="1865"/>
      <c r="Y105" s="1865"/>
      <c r="Z105" s="1865"/>
      <c r="AA105" s="1865"/>
      <c r="AB105" s="1865"/>
      <c r="AC105" s="1865"/>
    </row>
    <row r="106" spans="1:29" s="1197" customFormat="1" ht="15" thickTop="1">
      <c r="A106" s="695"/>
      <c r="B106" s="696">
        <f>B35</f>
        <v>111</v>
      </c>
      <c r="C106" s="628"/>
      <c r="D106" s="628"/>
      <c r="E106" s="628"/>
      <c r="F106" s="628"/>
      <c r="G106" s="697"/>
      <c r="H106" s="697"/>
      <c r="I106" s="697"/>
      <c r="J106" s="698"/>
      <c r="K106" s="698"/>
      <c r="L106" s="699"/>
      <c r="M106" s="700"/>
      <c r="N106" s="2971"/>
      <c r="O106" s="1886"/>
      <c r="P106" s="1887"/>
      <c r="Q106" s="1888"/>
      <c r="R106" s="1889"/>
      <c r="S106" s="1889"/>
      <c r="T106" s="1889"/>
      <c r="U106" s="1889"/>
      <c r="V106" s="1889"/>
      <c r="W106" s="1889"/>
      <c r="X106" s="1889"/>
      <c r="Y106" s="1889"/>
      <c r="Z106" s="1889"/>
      <c r="AA106" s="1889"/>
      <c r="AB106" s="1889"/>
      <c r="AC106" s="1889"/>
    </row>
    <row r="107" spans="1:29" s="1197" customFormat="1" ht="15.75" thickBot="1">
      <c r="A107" s="654"/>
      <c r="B107" s="648"/>
      <c r="C107" s="667"/>
      <c r="D107" s="667"/>
      <c r="E107" s="667"/>
      <c r="F107" s="667"/>
      <c r="G107" s="561"/>
      <c r="H107" s="561"/>
      <c r="I107" s="561"/>
      <c r="J107" s="561"/>
      <c r="K107" s="561"/>
      <c r="L107" s="561"/>
      <c r="M107" s="701"/>
      <c r="N107" s="2970"/>
      <c r="O107" s="1885"/>
      <c r="P107" s="1887"/>
      <c r="Q107" s="1888"/>
      <c r="R107" s="1889"/>
      <c r="S107" s="1889"/>
      <c r="T107" s="1889"/>
      <c r="U107" s="1889"/>
      <c r="V107" s="1889"/>
      <c r="W107" s="1889"/>
      <c r="X107" s="1889"/>
      <c r="Y107" s="1889"/>
      <c r="Z107" s="1889"/>
      <c r="AA107" s="1889"/>
      <c r="AB107" s="1889"/>
      <c r="AC107" s="1889"/>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4" t="str">
        <f t="shared" si="24"/>
        <v>(含)-</v>
      </c>
      <c r="L108" s="2535" t="str">
        <f t="shared" si="24"/>
        <v>(含)-</v>
      </c>
      <c r="M108" s="2536" t="str">
        <f>M109&amp;"(含)"&amp;"-"&amp;P109</f>
        <v>(含)-</v>
      </c>
      <c r="N108" s="2969"/>
      <c r="O108" s="1883"/>
      <c r="P108" s="1884"/>
      <c r="Q108" s="1877"/>
      <c r="R108" s="1865"/>
      <c r="S108" s="1865"/>
      <c r="T108" s="1865"/>
      <c r="U108" s="1865"/>
      <c r="V108" s="1865"/>
      <c r="W108" s="1865"/>
      <c r="X108" s="1865"/>
      <c r="Y108" s="1865"/>
      <c r="Z108" s="1865"/>
      <c r="AA108" s="1865"/>
      <c r="AB108" s="1865"/>
      <c r="AC108" s="1865"/>
    </row>
    <row r="109" spans="1:29" ht="15">
      <c r="A109" s="636"/>
      <c r="B109" s="648"/>
      <c r="C109" s="697"/>
      <c r="D109" s="697"/>
      <c r="E109" s="697"/>
      <c r="F109" s="697"/>
      <c r="G109" s="697"/>
      <c r="H109" s="697"/>
      <c r="I109" s="697"/>
      <c r="J109" s="698"/>
      <c r="K109" s="698"/>
      <c r="L109" s="699"/>
      <c r="M109" s="700"/>
      <c r="N109" s="2969"/>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67"/>
      <c r="D110" s="693"/>
      <c r="E110" s="693"/>
      <c r="F110" s="693"/>
      <c r="G110" s="693"/>
      <c r="H110" s="693"/>
      <c r="I110" s="693"/>
      <c r="J110" s="693"/>
      <c r="K110" s="693"/>
      <c r="L110" s="693"/>
      <c r="M110" s="694"/>
      <c r="N110" s="2970"/>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9"/>
      <c r="O111" s="1883"/>
      <c r="P111" s="1884"/>
      <c r="Q111" s="1877"/>
      <c r="R111" s="1865"/>
      <c r="S111" s="1865"/>
      <c r="T111" s="1865"/>
      <c r="U111" s="1865"/>
      <c r="V111" s="1865"/>
      <c r="W111" s="1865"/>
      <c r="X111" s="1865"/>
      <c r="Y111" s="1865"/>
      <c r="Z111" s="1865"/>
      <c r="AA111" s="1865"/>
      <c r="AB111" s="1865"/>
      <c r="AC111" s="1865"/>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70"/>
      <c r="O112" s="1885"/>
      <c r="P112" s="1884"/>
      <c r="Q112" s="1877"/>
      <c r="R112" s="1865"/>
      <c r="S112" s="1865"/>
      <c r="T112" s="1865"/>
      <c r="U112" s="1865"/>
      <c r="V112" s="1865"/>
      <c r="W112" s="1865"/>
      <c r="X112" s="1865"/>
      <c r="Y112" s="1865"/>
      <c r="Z112" s="1865"/>
      <c r="AA112" s="1865"/>
      <c r="AB112" s="1865"/>
      <c r="AC112" s="1865"/>
    </row>
    <row r="113" spans="1:29" s="1197" customFormat="1" ht="15" thickTop="1">
      <c r="A113" s="695"/>
      <c r="B113" s="1649" t="s">
        <v>1777</v>
      </c>
      <c r="C113" s="1230"/>
      <c r="D113" s="1230"/>
      <c r="E113" s="1230"/>
      <c r="F113" s="1230"/>
      <c r="G113" s="1230"/>
      <c r="H113" s="685"/>
      <c r="I113" s="685"/>
      <c r="J113" s="685"/>
      <c r="K113" s="686"/>
      <c r="L113" s="687"/>
      <c r="M113" s="688"/>
      <c r="N113" s="2971"/>
      <c r="O113" s="1886"/>
      <c r="P113" s="1887"/>
      <c r="Q113" s="1888"/>
      <c r="R113" s="1889"/>
      <c r="S113" s="1889"/>
      <c r="T113" s="1889"/>
      <c r="U113" s="1889"/>
      <c r="V113" s="1889"/>
      <c r="W113" s="1889"/>
      <c r="X113" s="1889"/>
      <c r="Y113" s="1889"/>
      <c r="Z113" s="1889"/>
      <c r="AA113" s="1889"/>
      <c r="AB113" s="1889"/>
      <c r="AC113" s="1889"/>
    </row>
    <row r="114" spans="1:29" s="1197"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1"/>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9"/>
      <c r="O115" s="1883"/>
      <c r="P115" s="1884"/>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70"/>
      <c r="O116" s="1885"/>
      <c r="P116" s="1884"/>
      <c r="Q116" s="1877"/>
      <c r="R116" s="1865"/>
      <c r="S116" s="1865"/>
      <c r="T116" s="1865"/>
      <c r="U116" s="1865"/>
      <c r="V116" s="1865"/>
      <c r="W116" s="1865"/>
      <c r="X116" s="1865"/>
      <c r="Y116" s="1865"/>
      <c r="Z116" s="1865"/>
      <c r="AA116" s="1865"/>
      <c r="AB116" s="1865"/>
      <c r="AC116" s="1865"/>
    </row>
    <row r="117" spans="1:29" ht="15" thickTop="1">
      <c r="A117" s="702"/>
      <c r="B117" s="640">
        <f>B40</f>
        <v>111</v>
      </c>
      <c r="C117" s="655"/>
      <c r="D117" s="655"/>
      <c r="E117" s="655"/>
      <c r="F117" s="655"/>
      <c r="G117" s="655"/>
      <c r="H117" s="685"/>
      <c r="I117" s="685"/>
      <c r="J117" s="685"/>
      <c r="K117" s="686"/>
      <c r="L117" s="687"/>
      <c r="M117" s="688"/>
      <c r="N117" s="2969"/>
      <c r="O117" s="1883"/>
      <c r="P117" s="1884"/>
      <c r="Q117" s="1877"/>
      <c r="R117" s="1865"/>
      <c r="S117" s="1865"/>
      <c r="T117" s="1865"/>
      <c r="U117" s="1865"/>
      <c r="V117" s="1865"/>
      <c r="W117" s="1865"/>
      <c r="X117" s="1865"/>
      <c r="Y117" s="1865"/>
      <c r="Z117" s="1865"/>
      <c r="AA117" s="1865"/>
      <c r="AB117" s="1865"/>
      <c r="AC117" s="1865"/>
    </row>
    <row r="118" spans="1:29" ht="15.75" thickBot="1">
      <c r="A118" s="636"/>
      <c r="B118" s="645"/>
      <c r="C118" s="659"/>
      <c r="D118" s="638"/>
      <c r="E118" s="638"/>
      <c r="F118" s="638"/>
      <c r="G118" s="638"/>
      <c r="H118" s="638"/>
      <c r="I118" s="638"/>
      <c r="J118" s="638"/>
      <c r="K118" s="638"/>
      <c r="L118" s="638"/>
      <c r="M118" s="639"/>
      <c r="N118" s="2970"/>
      <c r="O118" s="1885"/>
      <c r="P118" s="1884"/>
      <c r="Q118" s="1877"/>
      <c r="R118" s="1865"/>
      <c r="S118" s="1865"/>
      <c r="T118" s="1865"/>
      <c r="U118" s="1865"/>
      <c r="V118" s="1865"/>
      <c r="W118" s="1865"/>
      <c r="X118" s="1865"/>
      <c r="Y118" s="1865"/>
      <c r="Z118" s="1865"/>
      <c r="AA118" s="1865"/>
      <c r="AB118" s="1865"/>
      <c r="AC118" s="1865"/>
    </row>
    <row r="119" spans="1:29" ht="15" thickTop="1">
      <c r="A119" s="702"/>
      <c r="B119" s="640">
        <f>B41</f>
        <v>111</v>
      </c>
      <c r="C119" s="655"/>
      <c r="D119" s="655"/>
      <c r="E119" s="655"/>
      <c r="F119" s="655"/>
      <c r="G119" s="685"/>
      <c r="H119" s="685"/>
      <c r="I119" s="685"/>
      <c r="J119" s="685"/>
      <c r="K119" s="686"/>
      <c r="L119" s="687"/>
      <c r="M119" s="688"/>
      <c r="N119" s="2969"/>
      <c r="O119" s="1883"/>
      <c r="P119" s="1884"/>
      <c r="Q119" s="1877"/>
      <c r="R119" s="1865"/>
      <c r="S119" s="1865"/>
      <c r="T119" s="1865"/>
      <c r="U119" s="1865"/>
      <c r="V119" s="1865"/>
      <c r="W119" s="1865"/>
      <c r="X119" s="1865"/>
      <c r="Y119" s="1865"/>
      <c r="Z119" s="1865"/>
      <c r="AA119" s="1865"/>
      <c r="AB119" s="1865"/>
      <c r="AC119" s="1865"/>
    </row>
    <row r="120" spans="1:29" ht="15.75" thickBot="1">
      <c r="A120" s="636"/>
      <c r="B120" s="645"/>
      <c r="C120" s="659"/>
      <c r="D120" s="659"/>
      <c r="E120" s="659"/>
      <c r="F120" s="659"/>
      <c r="G120" s="638"/>
      <c r="H120" s="638"/>
      <c r="I120" s="638"/>
      <c r="J120" s="638"/>
      <c r="K120" s="638"/>
      <c r="L120" s="638"/>
      <c r="M120" s="639"/>
      <c r="N120" s="2970"/>
      <c r="O120" s="1885"/>
      <c r="P120" s="1884"/>
      <c r="Q120" s="1877"/>
      <c r="R120" s="1865"/>
      <c r="S120" s="1865"/>
      <c r="T120" s="1865"/>
      <c r="U120" s="1865"/>
      <c r="V120" s="1865"/>
      <c r="W120" s="1865"/>
      <c r="X120" s="1865"/>
      <c r="Y120" s="1865"/>
      <c r="Z120" s="1865"/>
      <c r="AA120" s="1865"/>
      <c r="AB120" s="1865"/>
      <c r="AC120" s="1865"/>
    </row>
    <row r="121" spans="1:29" s="1197" customFormat="1" ht="15" thickTop="1">
      <c r="A121" s="695"/>
      <c r="B121" s="640">
        <f>B42</f>
        <v>111</v>
      </c>
      <c r="C121" s="628"/>
      <c r="D121" s="628"/>
      <c r="E121" s="628"/>
      <c r="F121" s="628"/>
      <c r="G121" s="656"/>
      <c r="H121" s="656"/>
      <c r="I121" s="656"/>
      <c r="J121" s="656"/>
      <c r="K121" s="656"/>
      <c r="L121" s="657"/>
      <c r="M121" s="658"/>
      <c r="N121" s="2971"/>
      <c r="O121" s="1886"/>
      <c r="P121" s="1887"/>
      <c r="Q121" s="1888"/>
      <c r="R121" s="1889"/>
      <c r="S121" s="1889"/>
      <c r="T121" s="1889"/>
      <c r="U121" s="1889"/>
      <c r="V121" s="1889"/>
      <c r="W121" s="1889"/>
      <c r="X121" s="1889"/>
      <c r="Y121" s="1889"/>
      <c r="Z121" s="1889"/>
      <c r="AA121" s="1889"/>
      <c r="AB121" s="1889"/>
      <c r="AC121" s="1889"/>
    </row>
    <row r="122" spans="1:29" s="1197" customFormat="1" ht="15.75" thickBot="1">
      <c r="A122" s="665"/>
      <c r="B122" s="703"/>
      <c r="C122" s="667"/>
      <c r="D122" s="667"/>
      <c r="E122" s="667"/>
      <c r="F122" s="667"/>
      <c r="G122" s="693"/>
      <c r="H122" s="693"/>
      <c r="I122" s="693"/>
      <c r="J122" s="693"/>
      <c r="K122" s="693"/>
      <c r="L122" s="693"/>
      <c r="M122" s="694"/>
      <c r="N122" s="2971"/>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58" t="s">
        <v>848</v>
      </c>
      <c r="B2" s="988" t="e">
        <f>C30</f>
        <v>#DIV/0!</v>
      </c>
      <c r="C2" s="1259" t="s">
        <v>849</v>
      </c>
      <c r="D2" s="1260" t="s">
        <v>850</v>
      </c>
      <c r="E2" s="1261"/>
      <c r="F2" s="1260" t="s">
        <v>852</v>
      </c>
      <c r="G2" s="1454" t="str">
        <f>IF(E2="商业",项目基本情况!B43,IF(E2="办公",项目基本情况!C43,IF(E2="住宅",项目基本情况!D43,IF(E2="工业",项目基本情况!E43,项目基本情况!F43))))</f>
        <v>九级</v>
      </c>
      <c r="H2" s="1260" t="s">
        <v>854</v>
      </c>
      <c r="I2" s="1455" t="str">
        <f>IF(E2="商业",项目基本情况!B44,IF(E2="办公",项目基本情况!C44,IF(E2="住宅",项目基本情况!D44,IF(E2="工业",项目基本情况!E44,项目基本情况!F44))))</f>
        <v>Ⅸ-房4</v>
      </c>
      <c r="J2" s="1262"/>
      <c r="K2" s="2972"/>
      <c r="L2" s="1638" t="s">
        <v>1598</v>
      </c>
      <c r="M2" s="1639">
        <f>SUMPRODUCT((区片价!B10:B29=I2)*(区片价!C3:G3=E2)*(区片价!C10:G29))</f>
        <v>0</v>
      </c>
      <c r="N2" s="1640">
        <f>SUMPRODUCT((因素修正幅度!B10:B29=I2)*(因素修正幅度!C3:G3=E2)*(因素修正幅度!C10:G29))</f>
        <v>0</v>
      </c>
      <c r="O2" s="2972"/>
      <c r="P2" s="1908"/>
      <c r="Q2" s="1908"/>
      <c r="R2" s="2413">
        <v>1</v>
      </c>
      <c r="S2" s="2413">
        <f>ROUND(SUMPRODUCT((B107:B111=R2)*(C106:N106=G2)*(C107:N111)),4)</f>
        <v>1.5418000000000001</v>
      </c>
      <c r="T2" s="2413" t="e">
        <f>ROUND($C$5*$C$22*$C$23*$C$24*S2*$C$28,0)</f>
        <v>#DIV/0!</v>
      </c>
      <c r="U2" s="2403"/>
      <c r="V2" s="2413" t="e">
        <f>ROUND(T2*U2/10000,0)</f>
        <v>#DIV/0!</v>
      </c>
      <c r="W2" s="1908"/>
      <c r="X2" s="1908"/>
      <c r="Y2" s="1908"/>
      <c r="Z2" s="1908"/>
      <c r="AA2" s="1908"/>
      <c r="AB2" s="1908"/>
      <c r="AC2" s="1909"/>
    </row>
    <row r="3" spans="1:39" ht="15.75">
      <c r="A3" s="1263" t="s">
        <v>1220</v>
      </c>
      <c r="B3" s="988" t="e">
        <f>ROUND(B2*10000/D1,0)</f>
        <v>#DIV/0!</v>
      </c>
      <c r="C3" s="1259" t="s">
        <v>855</v>
      </c>
      <c r="D3" s="1260" t="s">
        <v>856</v>
      </c>
      <c r="E3" s="1264"/>
      <c r="F3" s="1265"/>
      <c r="G3" s="989">
        <f>IF(F3="宗地容积率",'数据-汇总表'!I4,IF(F3="估价对象容积率",'数据-汇总表'!I6,'数据-汇总表'!I7))</f>
        <v>0</v>
      </c>
      <c r="H3" s="1266" t="s">
        <v>857</v>
      </c>
      <c r="I3" s="990"/>
      <c r="J3" s="1262" t="s">
        <v>858</v>
      </c>
      <c r="K3" s="2972"/>
      <c r="L3" s="1638" t="s">
        <v>1599</v>
      </c>
      <c r="M3" s="1639">
        <f>SUMPRODUCT((区片价!B30:B54=I2)*(区片价!C3:G3=E2)*(区片价!C30:G54))</f>
        <v>0</v>
      </c>
      <c r="N3" s="1640">
        <f>SUMPRODUCT((因素修正幅度!B30:B54=I2)*(因素修正幅度!C3:G3=E2)*(因素修正幅度!C30:G54))</f>
        <v>0</v>
      </c>
      <c r="O3" s="2972"/>
      <c r="P3" s="1908"/>
      <c r="Q3" s="1908"/>
      <c r="R3" s="2413">
        <v>2</v>
      </c>
      <c r="S3" s="2413">
        <f>ROUND(SUMPRODUCT((B107:B111=R3)*(C106:N106=G2)*(C107:N111)),4)</f>
        <v>1.1883999999999999</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3"/>
      <c r="L4" s="1638" t="s">
        <v>1600</v>
      </c>
      <c r="M4" s="1639">
        <f>SUMPRODUCT((区片价!B55:B86=I2)*(区片价!C3:G3=E2)*(区片价!C55:G86))</f>
        <v>0</v>
      </c>
      <c r="N4" s="1640">
        <f>SUMPRODUCT((因素修正幅度!B55:B86=I2)*(因素修正幅度!C3:G3=E2)*(因素修正幅度!C55:G86))</f>
        <v>0</v>
      </c>
      <c r="O4" s="2973"/>
      <c r="P4" s="1908"/>
      <c r="Q4" s="1908"/>
      <c r="R4" s="2413">
        <v>3</v>
      </c>
      <c r="S4" s="2413">
        <f>ROUND(SUMPRODUCT((B107:B111=R4)*(C106:N106=G2)*(C107:N111)),4)</f>
        <v>0.96940000000000004</v>
      </c>
      <c r="T4" s="2413" t="e">
        <f t="shared" si="0"/>
        <v>#DIV/0!</v>
      </c>
      <c r="U4" s="2403"/>
      <c r="V4" s="2413" t="e">
        <f t="shared" si="1"/>
        <v>#DIV/0!</v>
      </c>
      <c r="W4" s="1908"/>
      <c r="X4" s="1908"/>
      <c r="Y4" s="1908"/>
      <c r="Z4" s="1908"/>
      <c r="AA4" s="1908"/>
      <c r="AB4" s="1908"/>
      <c r="AC4" s="1909"/>
    </row>
    <row r="5" spans="1:39" s="1273" customFormat="1" ht="15.75" thickBot="1">
      <c r="A5" s="1441" t="s">
        <v>1352</v>
      </c>
      <c r="B5" s="1267" t="s">
        <v>859</v>
      </c>
      <c r="C5" s="991" t="e">
        <f>ROUND(IF(E2="商业",C6*C7*C17+C20,(IF(E2="住宅",C6*C13*C17+C20,IF(E2="办公",C6*C12*C17+C20,C6+C20)))),0)</f>
        <v>#DIV/0!</v>
      </c>
      <c r="D5" s="2545" t="e">
        <f>ROUND(C6*C17+C20,0)</f>
        <v>#DIV/0!</v>
      </c>
      <c r="E5" s="2545"/>
      <c r="F5" s="1268"/>
      <c r="G5" s="1269"/>
      <c r="H5" s="1269"/>
      <c r="I5" s="1269"/>
      <c r="J5" s="1270"/>
      <c r="K5" s="2974"/>
      <c r="L5" s="1638" t="s">
        <v>1601</v>
      </c>
      <c r="M5" s="1639">
        <f>SUMPRODUCT((区片价!B87:B126=I2)*(区片价!C3:G3=E2)*(区片价!C87:G126))</f>
        <v>0</v>
      </c>
      <c r="N5" s="1640">
        <f>SUMPRODUCT((因素修正幅度!B87:B126=I2)*(因素修正幅度!C3:G3=E2)*(因素修正幅度!C87:G126))</f>
        <v>0</v>
      </c>
      <c r="O5" s="2974"/>
      <c r="P5" s="2977"/>
      <c r="Q5" s="1908"/>
      <c r="R5" s="2413">
        <v>4</v>
      </c>
      <c r="S5" s="2413">
        <f>ROUND(SUMPRODUCT((B107:B111=R5)*(C106:N106=G2)*(C107:N111)),4)</f>
        <v>0.82299999999999995</v>
      </c>
      <c r="T5" s="2413" t="e">
        <f t="shared" si="0"/>
        <v>#DIV/0!</v>
      </c>
      <c r="U5" s="2403"/>
      <c r="V5" s="2413"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8" t="s">
        <v>1395</v>
      </c>
      <c r="B6" s="1274" t="s">
        <v>859</v>
      </c>
      <c r="C6" s="3519">
        <f>SUMIF(L1:L12,G2,M1:M12)</f>
        <v>0</v>
      </c>
      <c r="D6" s="3520" t="s">
        <v>1228</v>
      </c>
      <c r="E6" s="1274"/>
      <c r="F6" s="1274"/>
      <c r="G6" s="3521"/>
      <c r="H6" s="3521"/>
      <c r="I6" s="3521"/>
      <c r="J6" s="3522"/>
      <c r="K6" s="2975"/>
      <c r="L6" s="1638" t="s">
        <v>1602</v>
      </c>
      <c r="M6" s="1639">
        <f>SUMPRODUCT((区片价!B127:B189=I2)*(区片价!C3:G3=E2)*(区片价!C127:G189))</f>
        <v>0</v>
      </c>
      <c r="N6" s="1640">
        <f>SUMPRODUCT((因素修正幅度!B127:B189=I2)*(因素修正幅度!C3:G3=E2)*(因素修正幅度!C127:G189))</f>
        <v>0</v>
      </c>
      <c r="O6" s="2975"/>
      <c r="P6" s="2978"/>
      <c r="Q6" s="1908"/>
      <c r="R6" s="2413">
        <v>5</v>
      </c>
      <c r="S6" s="2413">
        <f>ROUND(SUMPRODUCT((B107:B111=R6)*(C106:N106=G2)*(C107:N111)),4)</f>
        <v>0.74980000000000002</v>
      </c>
      <c r="T6" s="2413" t="e">
        <f t="shared" si="0"/>
        <v>#DIV/0!</v>
      </c>
      <c r="U6" s="2403"/>
      <c r="V6" s="2413" t="e">
        <f t="shared" si="1"/>
        <v>#DIV/0!</v>
      </c>
      <c r="W6" s="1908"/>
      <c r="X6" s="1908"/>
      <c r="Y6" s="1908"/>
      <c r="Z6" s="1908"/>
      <c r="AA6" s="1908"/>
      <c r="AB6" s="1908"/>
      <c r="AC6" s="1910"/>
      <c r="AD6" s="1271"/>
      <c r="AE6" s="1271"/>
      <c r="AF6" s="1271"/>
      <c r="AG6" s="1271"/>
      <c r="AH6" s="1271"/>
      <c r="AI6" s="1271"/>
      <c r="AJ6" s="1272"/>
    </row>
    <row r="7" spans="1:39" ht="24.75" thickBot="1">
      <c r="A7" s="3523" t="s">
        <v>3187</v>
      </c>
      <c r="B7" s="1275" t="s">
        <v>860</v>
      </c>
      <c r="C7" s="3524" t="e">
        <f>IF(C8="不临65条商业街",1,ROUND(1+(1.6*E8+1.2*E9+0.8*E10+0.4*E11)*C9,4))</f>
        <v>#DIV/0!</v>
      </c>
      <c r="D7" s="3525" t="s">
        <v>861</v>
      </c>
      <c r="E7" s="3526"/>
      <c r="F7" s="3527"/>
      <c r="G7" s="3527"/>
      <c r="H7" s="3527"/>
      <c r="I7" s="3527"/>
      <c r="J7" s="3528"/>
      <c r="K7" s="2975"/>
      <c r="L7" s="1638" t="s">
        <v>1603</v>
      </c>
      <c r="M7" s="1639">
        <f>SUMPRODUCT((区片价!B190:B233=I2)*(区片价!C3:G3=E2)*(区片价!C190:G233))</f>
        <v>0</v>
      </c>
      <c r="N7" s="1640">
        <f>SUMPRODUCT((因素修正幅度!B190:B233=I2)*(因素修正幅度!C3:G3=E2)*(因素修正幅度!C190:G233))</f>
        <v>0</v>
      </c>
      <c r="O7" s="2975"/>
      <c r="P7" s="2978"/>
      <c r="Q7" s="1908"/>
      <c r="R7" s="2413">
        <v>6</v>
      </c>
      <c r="S7" s="2403"/>
      <c r="T7" s="2413" t="e">
        <f t="shared" si="0"/>
        <v>#DIV/0!</v>
      </c>
      <c r="U7" s="2403"/>
      <c r="V7" s="2413" t="e">
        <f t="shared" si="1"/>
        <v>#DIV/0!</v>
      </c>
      <c r="W7" s="2411" t="s">
        <v>2046</v>
      </c>
      <c r="X7" s="2404" t="str">
        <f>G2</f>
        <v>九级</v>
      </c>
      <c r="Y7" s="2404" t="s">
        <v>2047</v>
      </c>
      <c r="Z7" s="2405">
        <f>G3</f>
        <v>0</v>
      </c>
      <c r="AA7" s="1911"/>
      <c r="AB7" s="1911"/>
      <c r="AC7" s="1912"/>
      <c r="AD7" s="2406"/>
      <c r="AE7" s="2406"/>
      <c r="AF7" s="2406"/>
      <c r="AG7" s="2406"/>
      <c r="AH7" s="2406"/>
      <c r="AI7" s="2406"/>
      <c r="AJ7" s="2407"/>
    </row>
    <row r="8" spans="1:39" ht="15">
      <c r="A8" s="3529"/>
      <c r="B8" s="1266" t="s">
        <v>862</v>
      </c>
      <c r="C8" s="3530"/>
      <c r="D8" s="3531" t="s">
        <v>863</v>
      </c>
      <c r="E8" s="3532" t="e">
        <f>ROUND(C11/E7,4)</f>
        <v>#DIV/0!</v>
      </c>
      <c r="F8" s="3533" t="s">
        <v>864</v>
      </c>
      <c r="G8" s="3534"/>
      <c r="H8" s="3534"/>
      <c r="I8" s="3534"/>
      <c r="J8" s="3535"/>
      <c r="K8" s="2975"/>
      <c r="L8" s="1638" t="s">
        <v>1604</v>
      </c>
      <c r="M8" s="1639">
        <f>SUMPRODUCT((区片价!B234:B276=I2)*(区片价!C3:G3=E2)*(区片价!C234:G276))</f>
        <v>0</v>
      </c>
      <c r="N8" s="1640">
        <f>SUMPRODUCT((因素修正幅度!B234:B276=I2)*(因素修正幅度!C3:G3=E2)*(因素修正幅度!C234:G276))</f>
        <v>0</v>
      </c>
      <c r="O8" s="2975"/>
      <c r="P8" s="1908"/>
      <c r="Q8" s="1908"/>
      <c r="R8" s="2413">
        <v>7</v>
      </c>
      <c r="S8" s="2403"/>
      <c r="T8" s="2413" t="e">
        <f t="shared" si="0"/>
        <v>#DIV/0!</v>
      </c>
      <c r="U8" s="2403"/>
      <c r="V8" s="2413" t="e">
        <f t="shared" si="1"/>
        <v>#DIV/0!</v>
      </c>
      <c r="W8" s="3950" t="s">
        <v>2060</v>
      </c>
      <c r="X8" s="3951"/>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9"/>
      <c r="B9" s="1266" t="s">
        <v>865</v>
      </c>
      <c r="C9" s="3536">
        <f>SUMIF(修正!C71:C139,C8,修正!E71:E139)</f>
        <v>0</v>
      </c>
      <c r="D9" s="3537" t="s">
        <v>866</v>
      </c>
      <c r="E9" s="3537" t="e">
        <f>ROUND(C11/E7,4)</f>
        <v>#DIV/0!</v>
      </c>
      <c r="F9" s="3533" t="s">
        <v>867</v>
      </c>
      <c r="G9" s="3534"/>
      <c r="H9" s="3534"/>
      <c r="I9" s="3534"/>
      <c r="J9" s="3535"/>
      <c r="K9" s="2975"/>
      <c r="L9" s="1638" t="s">
        <v>1605</v>
      </c>
      <c r="M9" s="1639">
        <f>SUMPRODUCT((区片价!B277:B326=I2)*(区片价!C3:G3=E2)*(区片价!C277:G326))</f>
        <v>0</v>
      </c>
      <c r="N9" s="1640">
        <f>SUMPRODUCT((因素修正幅度!B277:B326=I2)*(因素修正幅度!C3:G3=E2)*(因素修正幅度!C277:G326))</f>
        <v>0</v>
      </c>
      <c r="O9" s="2975"/>
      <c r="P9" s="1908"/>
      <c r="Q9" s="1908"/>
      <c r="R9" s="2413">
        <v>8</v>
      </c>
      <c r="S9" s="2403"/>
      <c r="T9" s="2413" t="e">
        <f t="shared" si="0"/>
        <v>#DIV/0!</v>
      </c>
      <c r="U9" s="2403"/>
      <c r="V9" s="2413" t="e">
        <f t="shared" si="1"/>
        <v>#DIV/0!</v>
      </c>
      <c r="W9" s="3949"/>
      <c r="X9" s="2408" t="s">
        <v>3211</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9"/>
      <c r="B10" s="1266" t="s">
        <v>868</v>
      </c>
      <c r="C10" s="3537">
        <f>SUMIF(修正!C71:C139,C8,修正!F71:F139)</f>
        <v>0</v>
      </c>
      <c r="D10" s="3537" t="s">
        <v>869</v>
      </c>
      <c r="E10" s="3537" t="e">
        <f>ROUND(C11/E7,4)</f>
        <v>#DIV/0!</v>
      </c>
      <c r="F10" s="3533" t="s">
        <v>870</v>
      </c>
      <c r="G10" s="3534"/>
      <c r="H10" s="3534"/>
      <c r="I10" s="3534"/>
      <c r="J10" s="3535"/>
      <c r="K10" s="2975"/>
      <c r="L10" s="1638" t="s">
        <v>1606</v>
      </c>
      <c r="M10" s="1639">
        <f>SUMPRODUCT((区片价!B327:B357=I2)*(区片价!C3:G3=E2)*(区片价!C327:G357))</f>
        <v>0</v>
      </c>
      <c r="N10" s="1640">
        <f>SUMPRODUCT((因素修正幅度!B327:B357=I2)*(因素修正幅度!C3:G3=E2)*(因素修正幅度!C327:G357))</f>
        <v>0</v>
      </c>
      <c r="O10" s="2975"/>
      <c r="P10" s="1908"/>
      <c r="Q10" s="1908"/>
      <c r="R10" s="2413">
        <v>9</v>
      </c>
      <c r="S10" s="2403"/>
      <c r="T10" s="2413" t="e">
        <f t="shared" si="0"/>
        <v>#DIV/0!</v>
      </c>
      <c r="U10" s="2403"/>
      <c r="V10" s="2413" t="e">
        <f t="shared" si="1"/>
        <v>#DIV/0!</v>
      </c>
      <c r="W10" s="3949"/>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9"/>
      <c r="B11" s="1279" t="s">
        <v>871</v>
      </c>
      <c r="C11" s="3538">
        <f>C10/4</f>
        <v>0</v>
      </c>
      <c r="D11" s="3538" t="s">
        <v>872</v>
      </c>
      <c r="E11" s="3538" t="e">
        <f>ROUND(C11/E7,4)</f>
        <v>#DIV/0!</v>
      </c>
      <c r="F11" s="3539" t="s">
        <v>873</v>
      </c>
      <c r="G11" s="3540"/>
      <c r="H11" s="3540"/>
      <c r="I11" s="3540"/>
      <c r="J11" s="3541"/>
      <c r="K11" s="2975"/>
      <c r="L11" s="1638" t="s">
        <v>1607</v>
      </c>
      <c r="M11" s="1639">
        <f>SUMPRODUCT((区片价!B358:B377=I2)*(区片价!C3:G3=E2)*(区片价!C358:G377))</f>
        <v>0</v>
      </c>
      <c r="N11" s="1640">
        <f>SUMPRODUCT((因素修正幅度!B358:B377=I2)*(因素修正幅度!C3:G3=E2)*(因素修正幅度!C358:G377))</f>
        <v>0</v>
      </c>
      <c r="O11" s="2975"/>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3" t="s">
        <v>3188</v>
      </c>
      <c r="B12" s="3504" t="s">
        <v>3189</v>
      </c>
      <c r="C12" s="3510">
        <v>1.02</v>
      </c>
      <c r="D12" s="3505" t="s">
        <v>3190</v>
      </c>
      <c r="E12" s="3506" t="s">
        <v>3191</v>
      </c>
      <c r="F12" s="3507"/>
      <c r="G12" s="3508"/>
      <c r="H12" s="3508"/>
      <c r="I12" s="3508"/>
      <c r="J12" s="3509"/>
      <c r="K12" s="2975"/>
      <c r="L12" s="1641" t="s">
        <v>1608</v>
      </c>
      <c r="M12" s="1642">
        <f>SUMPRODUCT((区片价!B378:B384=I2)*(区片价!C3:G3=E2)*(区片价!C378:G384))</f>
        <v>0</v>
      </c>
      <c r="N12" s="1643">
        <f>SUMPRODUCT((因素修正幅度!B378:B384=I2)*(因素修正幅度!C3:G3=E2)*(因素修正幅度!C378:G384))</f>
        <v>0</v>
      </c>
      <c r="O12" s="2975"/>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3" t="s">
        <v>3192</v>
      </c>
      <c r="B13" s="1280" t="s">
        <v>874</v>
      </c>
      <c r="C13" s="3524">
        <f>ROUND(C16*D16*E16*F16*G16*H16*I16*J16,4)</f>
        <v>0</v>
      </c>
      <c r="D13" s="3542" t="s">
        <v>3193</v>
      </c>
      <c r="E13" s="3543"/>
      <c r="F13" s="3543"/>
      <c r="G13" s="3543"/>
      <c r="H13" s="3543"/>
      <c r="I13" s="3543"/>
      <c r="J13" s="3544"/>
      <c r="K13" s="2593"/>
      <c r="L13" s="2593"/>
      <c r="M13" s="2593"/>
      <c r="N13" s="2593"/>
      <c r="O13" s="2593"/>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5"/>
      <c r="B14" s="1284" t="s">
        <v>1229</v>
      </c>
      <c r="C14" s="3458" t="s">
        <v>1230</v>
      </c>
      <c r="D14" s="1286" t="s">
        <v>1231</v>
      </c>
      <c r="E14" s="780" t="s">
        <v>3194</v>
      </c>
      <c r="F14" s="3546" t="s">
        <v>1178</v>
      </c>
      <c r="G14" s="3546" t="s">
        <v>1178</v>
      </c>
      <c r="H14" s="3547" t="s">
        <v>1178</v>
      </c>
      <c r="I14" s="3548" t="s">
        <v>1178</v>
      </c>
      <c r="J14" s="3548" t="s">
        <v>1178</v>
      </c>
      <c r="K14" s="2976"/>
      <c r="L14" s="2976"/>
      <c r="M14" s="2976"/>
      <c r="N14" s="2976"/>
      <c r="O14" s="2976"/>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5"/>
      <c r="B15" s="1286"/>
      <c r="C15" s="3549"/>
      <c r="D15" s="3550"/>
      <c r="E15" s="3551"/>
      <c r="F15" s="3551"/>
      <c r="G15" s="3513" t="s">
        <v>3195</v>
      </c>
      <c r="H15" s="3514"/>
      <c r="I15" s="3515"/>
      <c r="J15" s="3516"/>
      <c r="K15" s="3517"/>
      <c r="L15" s="2594"/>
      <c r="M15" s="2594"/>
      <c r="N15" s="2594"/>
      <c r="O15" s="2594"/>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3" t="s">
        <v>3196</v>
      </c>
      <c r="B17" s="3554" t="s">
        <v>3197</v>
      </c>
      <c r="C17" s="3562">
        <f>ROUND(IF(OR(E2="工业",E2="公共服务"),1,IF(AND(E18=0,E19=0),1,IF(AND(E18=J24,E19=G19),0.8,IF(E19=0,1+E17*(-0.2),1+E17*G17*(-0.2))))),4)</f>
        <v>1</v>
      </c>
      <c r="D17" s="3555" t="s">
        <v>3198</v>
      </c>
      <c r="E17" s="3562" t="e">
        <f>ROUND(G18/I18,2)</f>
        <v>#DIV/0!</v>
      </c>
      <c r="F17" s="3555" t="s">
        <v>3201</v>
      </c>
      <c r="G17" s="3562" t="e">
        <f>ROUND(E19/G19,2)</f>
        <v>#DIV/0!</v>
      </c>
      <c r="H17" s="3562"/>
      <c r="I17" s="3562"/>
      <c r="J17" s="3643"/>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5"/>
      <c r="B18" s="3421"/>
      <c r="C18" s="3560"/>
      <c r="D18" s="3556" t="s">
        <v>3199</v>
      </c>
      <c r="E18" s="3561"/>
      <c r="F18" s="3558" t="s">
        <v>3202</v>
      </c>
      <c r="G18" s="3560">
        <f>ROUND(1-(1/(POWER(1+G24,E18))),4)</f>
        <v>0</v>
      </c>
      <c r="H18" s="3558" t="s">
        <v>3204</v>
      </c>
      <c r="I18" s="3560">
        <f>ROUND(1-(1/(POWER(1+G24,J24))),4)</f>
        <v>0</v>
      </c>
      <c r="J18" s="3644"/>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2"/>
      <c r="B19" s="3424"/>
      <c r="C19" s="3557"/>
      <c r="D19" s="3557" t="s">
        <v>3200</v>
      </c>
      <c r="E19" s="3563"/>
      <c r="F19" s="3559" t="s">
        <v>3203</v>
      </c>
      <c r="G19" s="3563"/>
      <c r="H19" s="3557"/>
      <c r="I19" s="3557"/>
      <c r="J19" s="3645"/>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60" t="s">
        <v>1370</v>
      </c>
      <c r="B20" s="1275" t="s">
        <v>875</v>
      </c>
      <c r="C20" s="995" t="e">
        <f>ROUND(IF(F21="与级别开发程度一致",0,(G21-E21)/C21),0)</f>
        <v>#DIV/0!</v>
      </c>
      <c r="D20" s="3955" t="s">
        <v>879</v>
      </c>
      <c r="E20" s="3956"/>
      <c r="F20" s="3955" t="s">
        <v>876</v>
      </c>
      <c r="G20" s="3956"/>
      <c r="H20" s="1288"/>
      <c r="I20" s="1288"/>
      <c r="J20" s="1288"/>
      <c r="K20" s="1288"/>
      <c r="L20" s="1288"/>
      <c r="M20" s="1288"/>
      <c r="N20" s="1288"/>
      <c r="O20" s="2603"/>
      <c r="P20" s="1908"/>
      <c r="Q20" s="1911"/>
      <c r="R20" s="1914"/>
      <c r="S20" s="1914"/>
      <c r="T20" s="1914"/>
      <c r="U20" s="1914"/>
      <c r="V20" s="1914"/>
      <c r="W20" s="1914"/>
      <c r="X20" s="1914"/>
      <c r="Y20" s="1292"/>
      <c r="Z20" s="1292"/>
      <c r="AA20" s="1292"/>
      <c r="AB20" s="1292"/>
      <c r="AC20" s="1292"/>
      <c r="AD20" s="1292"/>
    </row>
    <row r="21" spans="1:40" s="1273" customFormat="1" ht="15" thickBot="1">
      <c r="A21" s="3961"/>
      <c r="B21" s="2604" t="s">
        <v>878</v>
      </c>
      <c r="C21" s="2605">
        <f>IF(E3="M4科研用地",SUMPRODUCT((修正!A2:A7=E3)*(修正!B1:M1=G2)*(修正!B2:M7)),SUMPRODUCT((修正!A2:A7=E2)*(修正!B1:M1=G2)*(修正!B2:M7)))</f>
        <v>0</v>
      </c>
      <c r="D21" s="2606" t="str">
        <f>IF(OR(G2="八级",G2="九级",G2="十级",G2="十一级",G2="十二级"),"五通一平","七通一平")</f>
        <v>五通一平</v>
      </c>
      <c r="E21" s="2596">
        <f>SUMPRODUCT((修正!B1:M1=G2)*(修正!B17:M17))</f>
        <v>185</v>
      </c>
      <c r="F21" s="2597"/>
      <c r="G21" s="2596">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9" t="s">
        <v>880</v>
      </c>
      <c r="C22" s="2600">
        <f>SUMIF(修正!C20:C51,E3,修正!E20:E51)</f>
        <v>0</v>
      </c>
      <c r="D22" s="2601"/>
      <c r="E22" s="2602"/>
      <c r="F22" s="2587"/>
      <c r="G22" s="2586"/>
      <c r="H22" s="2586"/>
      <c r="I22" s="2586"/>
      <c r="J22" s="2592"/>
      <c r="K22" s="2974"/>
      <c r="L22" s="2586"/>
      <c r="M22" s="2586"/>
      <c r="N22" s="2586"/>
      <c r="O22" s="2586"/>
      <c r="P22" s="2979"/>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7">
        <v>44197</v>
      </c>
      <c r="F23" s="1294" t="s">
        <v>883</v>
      </c>
      <c r="G23" s="998">
        <f>'数据-取费表'!B2</f>
        <v>45138</v>
      </c>
      <c r="H23" s="1295" t="s">
        <v>2237</v>
      </c>
      <c r="I23" s="2263" t="str">
        <f>IF(H23="季度增幅（自定义）",SUMIF(N25:N28,E2,O25:O28),"")</f>
        <v/>
      </c>
      <c r="J23" s="3564"/>
      <c r="K23" s="2974"/>
      <c r="L23" s="2508" t="s">
        <v>2116</v>
      </c>
      <c r="M23" s="2509">
        <f>ROUND(SUMIF(地价!B2:F2,E2,地价!B41:F41),0)</f>
        <v>0</v>
      </c>
      <c r="N23" s="2265" t="s">
        <v>1211</v>
      </c>
      <c r="O23" s="2264">
        <f>ROUNDDOWN(DATEDIF(E23,G23,"M")/3,0)</f>
        <v>10</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7">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2"/>
      <c r="Z24" s="1292"/>
      <c r="AA24" s="1292"/>
      <c r="AB24" s="1292"/>
      <c r="AC24" s="1292"/>
      <c r="AD24" s="1292"/>
    </row>
    <row r="25" spans="1:40" ht="14.25">
      <c r="A25" s="1444" t="s">
        <v>1366</v>
      </c>
      <c r="B25" s="1300" t="s">
        <v>2269</v>
      </c>
      <c r="C25" s="1054">
        <f>IF(B25="容积率修正",IF(G3&lt;10,D26,J26),C27)</f>
        <v>0</v>
      </c>
      <c r="D25" s="1301"/>
      <c r="E25" s="1301"/>
      <c r="F25" s="1301"/>
      <c r="G25" s="1301"/>
      <c r="H25" s="1301"/>
      <c r="I25" s="1301"/>
      <c r="J25" s="1302"/>
      <c r="K25" s="2974"/>
      <c r="L25" s="1301"/>
      <c r="M25" s="1301"/>
      <c r="N25" s="1298" t="s">
        <v>900</v>
      </c>
      <c r="O25" s="1358"/>
      <c r="P25" s="2255">
        <f>SUMPRODUCT((地价!A3:A41=YEAR(G23)&amp;"-"&amp;ROUNDUP(MONTH(G23)/3,0))*(地价!AD2:AH2=N25)*(地价!AD3:AH41))</f>
        <v>0</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5" t="s">
        <v>3205</v>
      </c>
      <c r="D26" s="999">
        <f>IF(E26=G26,F26,IF(G3&lt;10,ROUND(F26+(H26-F26)*(G3-E26)/(G26-E26),4),"——"))</f>
        <v>0</v>
      </c>
      <c r="E26" s="989">
        <f>ROUNDDOWN(G3,1)</f>
        <v>0</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0</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3206</v>
      </c>
      <c r="J26" s="999" t="str">
        <f>IF(G3&gt;=10,D116,"——")</f>
        <v>——</v>
      </c>
      <c r="K26" s="2980"/>
      <c r="L26" s="1301"/>
      <c r="M26" s="1301"/>
      <c r="N26" s="1298" t="s">
        <v>902</v>
      </c>
      <c r="O26" s="1358"/>
      <c r="P26" s="2255">
        <f>SUMPRODUCT((地价!A3:A41=YEAR(G23)&amp;"-"&amp;ROUNDUP(MONTH(G23)/3,0))*(地价!AD2:AH2=N26)*(地价!AD3:AH41))</f>
        <v>0</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0">
        <f>ROUND(IF(I3&lt;6,SUMPRODUCT((B107:B111=I3)*(C106:N106=G2)*(C107:N111)),SUMIF(C106:N106,G2,C113:N113)),4)</f>
        <v>0</v>
      </c>
      <c r="D27" s="1346"/>
      <c r="E27" s="1346"/>
      <c r="F27" s="1347"/>
      <c r="G27" s="1348"/>
      <c r="H27" s="1349"/>
      <c r="I27" s="1350"/>
      <c r="J27" s="1350"/>
      <c r="K27" s="2981"/>
      <c r="L27" s="1253"/>
      <c r="M27" s="1253"/>
      <c r="N27" s="1298" t="s">
        <v>851</v>
      </c>
      <c r="O27" s="1358"/>
      <c r="P27" s="2255">
        <f>SUMPRODUCT((地价!A3:A41=YEAR(G23)&amp;"-"&amp;ROUNDUP(MONTH(G23)/3,0))*(地价!AD2:AH2=N27)*(地价!AD3:AH41))</f>
        <v>0</v>
      </c>
      <c r="Q27" s="2402"/>
      <c r="R27" s="2402"/>
      <c r="S27" s="2402"/>
      <c r="T27" s="2402"/>
      <c r="U27" s="2402"/>
      <c r="V27" s="2402"/>
      <c r="W27" s="1914"/>
      <c r="X27" s="1914"/>
      <c r="Y27" s="1914"/>
      <c r="Z27" s="1914"/>
      <c r="AA27" s="1914"/>
      <c r="AB27" s="1914"/>
      <c r="AC27" s="1914"/>
    </row>
    <row r="28" spans="1:40" ht="15.75" thickBot="1">
      <c r="A28" s="1443" t="s">
        <v>1397</v>
      </c>
      <c r="B28" s="1267" t="s">
        <v>904</v>
      </c>
      <c r="C28" s="1001">
        <f>SUMIF(A47:A101,E2,B47:B101)</f>
        <v>0</v>
      </c>
      <c r="D28" s="1351"/>
      <c r="E28" s="1352"/>
      <c r="F28" s="1352"/>
      <c r="G28" s="1352"/>
      <c r="H28" s="1352"/>
      <c r="I28" s="1352"/>
      <c r="J28" s="1352"/>
      <c r="K28" s="2981"/>
      <c r="L28" s="1301"/>
      <c r="M28" s="1301"/>
      <c r="N28" s="1298" t="s">
        <v>905</v>
      </c>
      <c r="O28" s="2588"/>
      <c r="P28" s="2255">
        <f>SUMPRODUCT((地价!A3:A41=YEAR(G23)&amp;"-"&amp;ROUNDUP(MONTH(G23)/3,0))*(地价!AD2:AH2=N28)*(地价!AD3:AH41))</f>
        <v>0</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5"/>
      <c r="L29" s="1914"/>
      <c r="M29" s="1914"/>
      <c r="N29" s="2590" t="s">
        <v>1930</v>
      </c>
      <c r="O29" s="2591"/>
      <c r="P29" s="2097">
        <f>SUMPRODUCT((地价!A3:A41=YEAR(G23)&amp;"-"&amp;ROUNDUP(MONTH(G23)/3,0))*(地价!AD2:AH2=N29)*(地价!AD3:AH41))</f>
        <v>0</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3.5">
      <c r="A30" s="1308"/>
      <c r="B30" s="1303" t="s">
        <v>910</v>
      </c>
      <c r="C30" s="2757" t="e">
        <f>IF(B25="容积率修正",E33+SUM(E37:E42),SUM(V2:V16)+SUM(E37:E42))</f>
        <v>#DIV/0!</v>
      </c>
      <c r="D30" s="1309"/>
      <c r="E30" s="1287"/>
      <c r="F30" s="1310"/>
      <c r="G30" s="1287"/>
      <c r="H30" s="1287"/>
      <c r="I30" s="1287"/>
      <c r="J30" s="1311"/>
      <c r="K30" s="2975"/>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3" t="e">
        <f>E34+SUM(I37:I42)</f>
        <v>#DIV/0!</v>
      </c>
      <c r="D31" s="1313"/>
      <c r="E31" s="1314"/>
      <c r="F31" s="1315"/>
      <c r="G31" s="1314"/>
      <c r="H31" s="1314"/>
      <c r="I31" s="1314"/>
      <c r="J31" s="1316"/>
      <c r="K31" s="2975"/>
      <c r="L31" s="1289" t="s">
        <v>911</v>
      </c>
      <c r="M31" s="992">
        <v>0.25</v>
      </c>
      <c r="N31" s="992">
        <v>0.2</v>
      </c>
      <c r="O31" s="992">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5"/>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2" t="e">
        <f>ROUND(C5*C22*C23*C24*C25*C28,0)</f>
        <v>#DIV/0!</v>
      </c>
      <c r="D33" s="1323"/>
      <c r="E33" s="1632" t="e">
        <f>ROUND(C33*D33/10000,0)</f>
        <v>#DIV/0!</v>
      </c>
      <c r="F33" s="3566" t="s">
        <v>3208</v>
      </c>
      <c r="G33" s="1324"/>
      <c r="H33" s="1324"/>
      <c r="I33" s="1324"/>
      <c r="J33" s="1325"/>
      <c r="K33" s="2982"/>
      <c r="L33" s="3636" t="s">
        <v>3234</v>
      </c>
      <c r="M33" s="3637">
        <v>5.5E-2</v>
      </c>
      <c r="N33" s="3637">
        <v>5.5E-2</v>
      </c>
      <c r="O33" s="3637">
        <v>0.05</v>
      </c>
      <c r="P33" s="3637">
        <v>0.05</v>
      </c>
      <c r="Q33" s="3637">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4" t="e">
        <f>ROUND(IF(E2="工业",C33*M42,IF(B25="楼层修正",SUM(V2:V16)*M41*10000/D34,C33*M41)),0)</f>
        <v>#DIV/0!</v>
      </c>
      <c r="D34" s="1328"/>
      <c r="E34" s="1632" t="e">
        <f>ROUND(IF(B25="楼层修正",SUM(V2:V16)*#REF!,C34*D34/10000),0)</f>
        <v>#DIV/0!</v>
      </c>
      <c r="F34" s="3567" t="s">
        <v>3209</v>
      </c>
      <c r="G34" s="1329"/>
      <c r="H34" s="1329"/>
      <c r="I34" s="1329"/>
      <c r="J34" s="1330"/>
      <c r="K34" s="2975"/>
      <c r="L34" s="3636" t="s">
        <v>3235</v>
      </c>
      <c r="M34" s="3637">
        <v>6.5000000000000002E-2</v>
      </c>
      <c r="N34" s="3637">
        <v>6.5000000000000002E-2</v>
      </c>
      <c r="O34" s="3637">
        <v>0.06</v>
      </c>
      <c r="P34" s="3637">
        <v>0.06</v>
      </c>
      <c r="Q34" s="3637">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5"/>
      <c r="L35" s="2975"/>
      <c r="M35" s="2975"/>
      <c r="N35" s="2975"/>
      <c r="O35" s="2975"/>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8" t="s">
        <v>3236</v>
      </c>
      <c r="L36" s="3640">
        <f ca="1">'数据-取费表'!B40</f>
        <v>3.5499999999999997E-2</v>
      </c>
      <c r="M36" s="3641">
        <f ca="1">ROUND($L$36*(1+M31),3)</f>
        <v>4.3999999999999997E-2</v>
      </c>
      <c r="N36" s="3641">
        <f ca="1">ROUND($L$36*(1+N31),3)</f>
        <v>4.2999999999999997E-2</v>
      </c>
      <c r="O36" s="3641">
        <f ca="1">ROUND($L$36*(1+O31),3)</f>
        <v>4.1000000000000002E-2</v>
      </c>
      <c r="P36" s="3641">
        <f ca="1">ROUND($L$36*(1+P31),3)</f>
        <v>3.9E-2</v>
      </c>
      <c r="Q36" s="3641">
        <f ca="1">ROUND($L$36*(1+Q31),3)</f>
        <v>4.1000000000000002E-2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57"/>
      <c r="B37" s="1341" t="s">
        <v>923</v>
      </c>
      <c r="C37" s="1002" t="e">
        <f>ROUND(D5*C22*C23*C24*C28*F37,0)</f>
        <v>#DIV/0!</v>
      </c>
      <c r="D37" s="1353"/>
      <c r="E37" s="993" t="e">
        <f>ROUND(C37*D37/10000,0)</f>
        <v>#DIV/0!</v>
      </c>
      <c r="F37" s="993">
        <f>SUMIF(修正!A57:A68,G2,修正!B57:B68)</f>
        <v>0.5</v>
      </c>
      <c r="G37" s="993" t="e">
        <f>ROUND(IF(E2="工业",C37*$M$42,C37*$M$41),0)</f>
        <v>#DIV/0!</v>
      </c>
      <c r="H37" s="993">
        <f>D37</f>
        <v>0</v>
      </c>
      <c r="I37" s="993" t="e">
        <f>ROUND(G37*H37/10000,0)</f>
        <v>#DIV/0!</v>
      </c>
      <c r="J37" s="3957"/>
      <c r="K37" s="3639" t="s">
        <v>3237</v>
      </c>
      <c r="L37" s="3640">
        <f ca="1">L36+K38</f>
        <v>4.0499999999999994E-2</v>
      </c>
      <c r="M37" s="3641">
        <f ca="1">ROUND($L$37*(1+M31),3)</f>
        <v>5.0999999999999997E-2</v>
      </c>
      <c r="N37" s="3641">
        <f t="shared" ref="N37:Q37" ca="1" si="3">ROUND($L$37*(1+N31),3)</f>
        <v>4.9000000000000002E-2</v>
      </c>
      <c r="O37" s="3641">
        <f t="shared" ca="1" si="3"/>
        <v>4.7E-2</v>
      </c>
      <c r="P37" s="3641">
        <f t="shared" ca="1" si="3"/>
        <v>4.4999999999999998E-2</v>
      </c>
      <c r="Q37" s="3641">
        <f t="shared" ca="1" si="3"/>
        <v>4.7E-2</v>
      </c>
      <c r="R37" s="1909"/>
      <c r="S37" s="1909"/>
      <c r="T37" s="1909"/>
      <c r="U37" s="1909"/>
      <c r="V37" s="1909"/>
      <c r="W37" s="1908"/>
      <c r="X37" s="1908"/>
      <c r="Y37" s="1908"/>
      <c r="Z37" s="1908"/>
      <c r="AA37" s="1908"/>
      <c r="AB37" s="1908"/>
      <c r="AC37" s="1909"/>
    </row>
    <row r="38" spans="1:44" ht="12.75">
      <c r="A38" s="3958"/>
      <c r="B38" s="1285" t="s">
        <v>924</v>
      </c>
      <c r="C38" s="1002" t="e">
        <f>ROUND(D5*C22*C23*C24*C28*F38,0)</f>
        <v>#DIV/0!</v>
      </c>
      <c r="D38" s="1353"/>
      <c r="E38" s="993" t="e">
        <f t="shared" ref="E38:E42" si="4">ROUND(C38*D38/10000,0)</f>
        <v>#DIV/0!</v>
      </c>
      <c r="F38" s="993">
        <f>SUMIF(修正!A57:A68,G2,修正!C57:C68)</f>
        <v>0.2</v>
      </c>
      <c r="G38" s="993" t="e">
        <f>ROUND(IF(E2="工业",C38*$M$42,C38*$M$41),0)</f>
        <v>#DIV/0!</v>
      </c>
      <c r="H38" s="993">
        <f t="shared" ref="H38:H42" si="5">D38</f>
        <v>0</v>
      </c>
      <c r="I38" s="993" t="e">
        <f t="shared" ref="I38:I42" si="6">ROUND(G38*H38/10000,0)</f>
        <v>#DIV/0!</v>
      </c>
      <c r="J38" s="3958"/>
      <c r="K38" s="3638">
        <v>5.0000000000000001E-3</v>
      </c>
      <c r="L38" s="3638"/>
      <c r="M38" s="3638"/>
      <c r="N38" s="3638"/>
      <c r="O38" s="3638"/>
      <c r="P38" s="3638"/>
      <c r="Q38" s="3638"/>
      <c r="R38" s="1909"/>
      <c r="S38" s="1909"/>
      <c r="T38" s="1909"/>
      <c r="U38" s="1909"/>
      <c r="V38" s="1909"/>
      <c r="W38" s="1908"/>
      <c r="X38" s="1908"/>
      <c r="Y38" s="1908"/>
      <c r="Z38" s="1908"/>
      <c r="AA38" s="1908"/>
      <c r="AB38" s="1908"/>
      <c r="AC38" s="1909"/>
    </row>
    <row r="39" spans="1:44" ht="13.5" thickBot="1">
      <c r="A39" s="3958"/>
      <c r="B39" s="3568" t="s">
        <v>3210</v>
      </c>
      <c r="C39" s="1002" t="e">
        <f>ROUND(D5*C22*C23*C24*C28*F39,0)</f>
        <v>#DIV/0!</v>
      </c>
      <c r="D39" s="1353"/>
      <c r="E39" s="993" t="e">
        <f t="shared" si="4"/>
        <v>#DIV/0!</v>
      </c>
      <c r="F39" s="993">
        <f>SUMIF(修正!A57:A68,G2,修正!D57:D68)</f>
        <v>0.2</v>
      </c>
      <c r="G39" s="993" t="e">
        <f>ROUND(IF(E2="工业",C39*$M$42,C39*$M$41),0)</f>
        <v>#DIV/0!</v>
      </c>
      <c r="H39" s="993">
        <f t="shared" si="5"/>
        <v>0</v>
      </c>
      <c r="I39" s="993" t="e">
        <f t="shared" si="6"/>
        <v>#DIV/0!</v>
      </c>
      <c r="J39" s="3958"/>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3" t="e">
        <f>ROUND(D5*C22*C23*C24*C28*F40,0)</f>
        <v>#DIV/0!</v>
      </c>
      <c r="D40" s="1353"/>
      <c r="E40" s="993" t="e">
        <f t="shared" si="4"/>
        <v>#DIV/0!</v>
      </c>
      <c r="F40" s="1002">
        <f>SUMIF(修正!A57:A68,G2,修正!E57:E68)</f>
        <v>0.2</v>
      </c>
      <c r="G40" s="993" t="e">
        <f>ROUND(IF(E2="工业",C40*$M$42,C40*$M$41),0)</f>
        <v>#DIV/0!</v>
      </c>
      <c r="H40" s="993">
        <f t="shared" si="5"/>
        <v>0</v>
      </c>
      <c r="I40" s="993"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3" t="e">
        <f>ROUND(D5*C22*C23*C44*C28*F41,0)</f>
        <v>#DIV/0!</v>
      </c>
      <c r="D41" s="1353"/>
      <c r="E41" s="993" t="e">
        <f t="shared" si="4"/>
        <v>#DIV/0!</v>
      </c>
      <c r="F41" s="1002">
        <f>SUMIF(修正!A57:A68,G2,修正!F57:F68)</f>
        <v>0.2</v>
      </c>
      <c r="G41" s="993" t="e">
        <f>ROUND(IF(E2="工业",C41*$M$42,C41*$M$41),0)</f>
        <v>#DIV/0!</v>
      </c>
      <c r="H41" s="993">
        <f t="shared" si="5"/>
        <v>0</v>
      </c>
      <c r="I41" s="993" t="e">
        <f t="shared" si="6"/>
        <v>#DIV/0!</v>
      </c>
      <c r="J41" s="1342"/>
      <c r="K41" s="1908"/>
      <c r="L41" s="3642"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4" t="e">
        <f>ROUND(D5*C22*C23*C44*C28*F42,0)</f>
        <v>#DIV/0!</v>
      </c>
      <c r="D42" s="1354"/>
      <c r="E42" s="994" t="e">
        <f t="shared" si="4"/>
        <v>#DIV/0!</v>
      </c>
      <c r="F42" s="1004">
        <f>SUMIF(修正!A57:A68,G2,修正!G57:G68)</f>
        <v>0.1</v>
      </c>
      <c r="G42" s="994" t="e">
        <f>ROUND(IF(E2="工业",C42*$M$42,C42*$M$41),0)</f>
        <v>#DIV/0!</v>
      </c>
      <c r="H42" s="994">
        <f t="shared" si="5"/>
        <v>0</v>
      </c>
      <c r="I42" s="994"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5" t="s">
        <v>2233</v>
      </c>
      <c r="C44" s="803" t="e">
        <f>ROUND(POWER(1+E44,H44-G44)*(POWER(1+E44,G44)-1)/(POWER(1+E44,H44)-1),4)</f>
        <v>#DIV/0!</v>
      </c>
      <c r="D44" s="364" t="s">
        <v>2231</v>
      </c>
      <c r="E44" s="2584">
        <f>G24</f>
        <v>0</v>
      </c>
      <c r="F44" s="364" t="s">
        <v>2232</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1" customFormat="1" ht="15" thickBot="1">
      <c r="A47" s="3577" t="s">
        <v>928</v>
      </c>
      <c r="B47" s="3578"/>
      <c r="C47" s="3579"/>
      <c r="D47" s="3580"/>
      <c r="E47" s="3580"/>
      <c r="F47" s="3580"/>
      <c r="G47" s="3431"/>
      <c r="H47" s="3580"/>
      <c r="I47" s="3431"/>
      <c r="J47" s="3431"/>
      <c r="K47" s="3431"/>
      <c r="L47" s="3431"/>
      <c r="M47" s="3431"/>
      <c r="O47" s="1917"/>
      <c r="P47" s="1917"/>
      <c r="Q47" s="1917"/>
      <c r="R47" s="1917"/>
      <c r="S47" s="1917"/>
      <c r="T47" s="1917"/>
      <c r="U47" s="1917"/>
      <c r="V47" s="1917"/>
      <c r="W47" s="1917"/>
      <c r="X47" s="1917"/>
      <c r="Y47" s="1917"/>
      <c r="Z47" s="1917"/>
      <c r="AA47" s="1917"/>
      <c r="AB47" s="1917"/>
      <c r="AC47" s="1917"/>
      <c r="AD47" s="1917"/>
    </row>
    <row r="48" spans="1:44" s="3581" customFormat="1" ht="15">
      <c r="A48" s="3582" t="s">
        <v>929</v>
      </c>
      <c r="B48" s="3646">
        <f>1+E50</f>
        <v>1</v>
      </c>
      <c r="C48" s="3583"/>
      <c r="D48" s="3584"/>
      <c r="E48" s="3585"/>
      <c r="F48" s="3586"/>
      <c r="G48" s="3580"/>
      <c r="H48" s="3580"/>
      <c r="I48" s="3431"/>
      <c r="J48" s="3431"/>
      <c r="K48" s="3431"/>
      <c r="L48" s="3431"/>
      <c r="M48" s="3431"/>
      <c r="O48" s="1917"/>
      <c r="P48" s="1917"/>
      <c r="Q48" s="1917"/>
      <c r="R48" s="1917"/>
      <c r="S48" s="1917"/>
      <c r="T48" s="1917"/>
      <c r="U48" s="1917"/>
      <c r="V48" s="1917"/>
      <c r="W48" s="1917"/>
      <c r="X48" s="1917"/>
      <c r="Y48" s="1917"/>
      <c r="Z48" s="1917"/>
      <c r="AA48" s="1917"/>
      <c r="AB48" s="1917"/>
      <c r="AC48" s="1917"/>
      <c r="AD48" s="1917"/>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7"/>
      <c r="Q49" s="1917"/>
      <c r="R49" s="1917"/>
      <c r="S49" s="1917"/>
      <c r="T49" s="1917"/>
      <c r="U49" s="1917"/>
      <c r="V49" s="1917"/>
      <c r="W49" s="1917"/>
      <c r="X49" s="1917"/>
      <c r="Y49" s="1917"/>
      <c r="Z49" s="1917"/>
      <c r="AA49" s="1917"/>
      <c r="AB49" s="1917"/>
      <c r="AC49" s="1917"/>
      <c r="AD49" s="1917"/>
    </row>
    <row r="50" spans="1:30" s="3581" customFormat="1" ht="24">
      <c r="A50" s="3587" t="s">
        <v>942</v>
      </c>
      <c r="B50" s="3594">
        <f>估价对象房地状况!C16</f>
        <v>0</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7"/>
      <c r="Q50" s="1917"/>
      <c r="R50" s="1917"/>
      <c r="S50" s="1917"/>
      <c r="T50" s="1917"/>
      <c r="U50" s="1917"/>
      <c r="V50" s="1917"/>
      <c r="W50" s="1917"/>
      <c r="X50" s="1917"/>
      <c r="Y50" s="1917"/>
      <c r="Z50" s="1917"/>
      <c r="AA50" s="1917"/>
      <c r="AB50" s="1917"/>
      <c r="AC50" s="1917"/>
      <c r="AD50" s="1917"/>
    </row>
    <row r="51" spans="1:30" s="3581" customFormat="1" ht="14.25">
      <c r="A51" s="3587" t="s">
        <v>943</v>
      </c>
      <c r="B51" s="3588">
        <f>估价对象房地状况!C18</f>
        <v>0</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7"/>
      <c r="Q51" s="1917"/>
      <c r="R51" s="1917"/>
      <c r="S51" s="1917"/>
      <c r="T51" s="1917"/>
      <c r="U51" s="1917"/>
      <c r="V51" s="1917"/>
      <c r="W51" s="1917"/>
      <c r="X51" s="1917"/>
      <c r="Y51" s="1917"/>
      <c r="Z51" s="1917"/>
      <c r="AA51" s="1917"/>
      <c r="AB51" s="1917"/>
      <c r="AC51" s="1917"/>
      <c r="AD51" s="1917"/>
    </row>
    <row r="52" spans="1:30" s="3581" customFormat="1" ht="36">
      <c r="A52" s="3569" t="s">
        <v>3212</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7"/>
      <c r="Q52" s="1917"/>
      <c r="R52" s="1917"/>
      <c r="S52" s="1917"/>
      <c r="T52" s="1917"/>
      <c r="U52" s="1917"/>
      <c r="V52" s="1917"/>
      <c r="W52" s="1917"/>
      <c r="X52" s="1917"/>
      <c r="Y52" s="1917"/>
      <c r="Z52" s="1917"/>
      <c r="AA52" s="1917"/>
      <c r="AB52" s="1917"/>
      <c r="AC52" s="1917"/>
      <c r="AD52" s="1917"/>
    </row>
    <row r="53" spans="1:30" s="3581" customFormat="1" ht="36">
      <c r="A53" s="3587" t="s">
        <v>945</v>
      </c>
      <c r="B53" s="3603" t="s">
        <v>2190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7"/>
      <c r="Q53" s="1917"/>
      <c r="R53" s="1917"/>
      <c r="S53" s="1917"/>
      <c r="T53" s="1917"/>
      <c r="U53" s="1917"/>
      <c r="V53" s="1917"/>
      <c r="W53" s="1917"/>
      <c r="X53" s="1917"/>
      <c r="Y53" s="1917"/>
      <c r="Z53" s="1917"/>
      <c r="AA53" s="1917"/>
      <c r="AB53" s="1917"/>
      <c r="AC53" s="1917"/>
      <c r="AD53" s="1917"/>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7"/>
      <c r="Q54" s="1917"/>
      <c r="R54" s="1917"/>
      <c r="S54" s="1917"/>
      <c r="T54" s="1917"/>
      <c r="U54" s="1917"/>
      <c r="V54" s="1917"/>
      <c r="W54" s="1917"/>
      <c r="X54" s="1917"/>
      <c r="Y54" s="1917"/>
      <c r="Z54" s="1917"/>
      <c r="AA54" s="1917"/>
      <c r="AB54" s="1917"/>
      <c r="AC54" s="1917"/>
      <c r="AD54" s="1917"/>
    </row>
    <row r="55" spans="1:30" s="3581" customFormat="1" ht="24">
      <c r="A55" s="3587" t="s">
        <v>947</v>
      </c>
      <c r="B55" s="3604" t="s">
        <v>2189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7"/>
      <c r="Q55" s="1917"/>
      <c r="R55" s="1917"/>
      <c r="S55" s="1917"/>
      <c r="T55" s="1917"/>
      <c r="U55" s="1917"/>
      <c r="V55" s="1917"/>
      <c r="W55" s="1917"/>
      <c r="X55" s="1917"/>
      <c r="Y55" s="1917"/>
      <c r="Z55" s="1917"/>
      <c r="AA55" s="1917"/>
      <c r="AB55" s="1917"/>
      <c r="AC55" s="1917"/>
      <c r="AD55" s="1917"/>
    </row>
    <row r="56" spans="1:30" s="3581" customFormat="1" ht="24">
      <c r="A56" s="3605" t="s">
        <v>948</v>
      </c>
      <c r="B56" s="3606">
        <f>估价对象房地状况!C21</f>
        <v>0</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7"/>
      <c r="Q56" s="1917"/>
      <c r="R56" s="1917"/>
      <c r="S56" s="1917"/>
      <c r="T56" s="1917"/>
      <c r="U56" s="1917"/>
      <c r="V56" s="1917"/>
      <c r="W56" s="1917"/>
      <c r="X56" s="1917"/>
      <c r="Y56" s="1917"/>
      <c r="Z56" s="1917"/>
      <c r="AA56" s="1917"/>
      <c r="AB56" s="1917"/>
      <c r="AC56" s="1917"/>
      <c r="AD56" s="1917"/>
    </row>
    <row r="57" spans="1:30" s="3581" customFormat="1" ht="24">
      <c r="A57" s="3605" t="s">
        <v>949</v>
      </c>
      <c r="B57" s="3588">
        <f>估价对象房地状况!C22</f>
        <v>0</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7"/>
      <c r="Q57" s="1917"/>
      <c r="R57" s="1917"/>
      <c r="S57" s="1917"/>
      <c r="T57" s="1917"/>
      <c r="U57" s="1917"/>
      <c r="V57" s="1917"/>
      <c r="W57" s="1917"/>
      <c r="X57" s="1917"/>
      <c r="Y57" s="1917"/>
      <c r="Z57" s="1917"/>
      <c r="AA57" s="1917"/>
      <c r="AB57" s="1917"/>
      <c r="AC57" s="1917"/>
      <c r="AD57" s="1917"/>
    </row>
    <row r="58" spans="1:30" s="3581" customFormat="1" ht="24.75" thickBot="1">
      <c r="A58" s="3607" t="s">
        <v>950</v>
      </c>
      <c r="B58" s="3608">
        <f>估价对象房地状况!C20</f>
        <v>0</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7"/>
      <c r="Q58" s="1917"/>
      <c r="R58" s="1917"/>
      <c r="S58" s="1917"/>
      <c r="T58" s="1917"/>
      <c r="U58" s="1917"/>
      <c r="V58" s="1917"/>
      <c r="W58" s="1917"/>
      <c r="X58" s="1917"/>
      <c r="Y58" s="1917"/>
      <c r="Z58" s="1917"/>
      <c r="AA58" s="1917"/>
      <c r="AB58" s="1917"/>
      <c r="AC58" s="1917"/>
      <c r="AD58" s="1917"/>
    </row>
    <row r="59" spans="1:30" s="3581" customFormat="1" ht="15">
      <c r="A59" s="3582" t="s">
        <v>951</v>
      </c>
      <c r="B59" s="3646">
        <f>1+E61</f>
        <v>1</v>
      </c>
      <c r="C59" s="3610"/>
      <c r="D59" s="3584"/>
      <c r="E59" s="3585"/>
      <c r="F59" s="3586"/>
      <c r="G59" s="3580"/>
      <c r="H59" s="3580"/>
      <c r="I59" s="3580"/>
      <c r="J59" s="3431"/>
      <c r="K59" s="3431"/>
      <c r="L59" s="3431"/>
      <c r="M59" s="3431"/>
      <c r="N59" s="3431"/>
      <c r="P59" s="1917"/>
      <c r="Q59" s="1917"/>
      <c r="R59" s="1917"/>
      <c r="S59" s="1917"/>
      <c r="T59" s="1917"/>
      <c r="U59" s="1917"/>
      <c r="V59" s="1917"/>
      <c r="W59" s="1917"/>
      <c r="X59" s="1917"/>
      <c r="Y59" s="1917"/>
      <c r="Z59" s="1917"/>
      <c r="AA59" s="1917"/>
      <c r="AB59" s="1917"/>
      <c r="AC59" s="1917"/>
      <c r="AD59" s="1917"/>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7"/>
      <c r="Q60" s="1917"/>
      <c r="R60" s="1917"/>
      <c r="S60" s="1917"/>
      <c r="T60" s="1917"/>
      <c r="U60" s="1917"/>
      <c r="V60" s="1917"/>
      <c r="W60" s="1917"/>
      <c r="X60" s="1917"/>
      <c r="Y60" s="1917"/>
      <c r="Z60" s="1917"/>
      <c r="AA60" s="1917"/>
      <c r="AB60" s="1917"/>
      <c r="AC60" s="1917"/>
      <c r="AD60" s="1917"/>
    </row>
    <row r="61" spans="1:30" s="3581" customFormat="1" ht="24">
      <c r="A61" s="3587" t="s">
        <v>952</v>
      </c>
      <c r="B61" s="3594">
        <f>估价对象房地状况!C17</f>
        <v>0</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7"/>
      <c r="Q61" s="1917"/>
      <c r="R61" s="1917"/>
      <c r="S61" s="1917"/>
      <c r="T61" s="1917"/>
      <c r="U61" s="1917"/>
      <c r="V61" s="1917"/>
      <c r="W61" s="1917"/>
      <c r="X61" s="1917"/>
      <c r="Y61" s="1917"/>
      <c r="Z61" s="1917"/>
      <c r="AA61" s="1917"/>
      <c r="AB61" s="1917"/>
      <c r="AC61" s="1917"/>
      <c r="AD61" s="1917"/>
    </row>
    <row r="62" spans="1:30" s="3581" customFormat="1" ht="14.25">
      <c r="A62" s="3587" t="s">
        <v>943</v>
      </c>
      <c r="B62" s="3588">
        <f>估价对象房地状况!C18</f>
        <v>0</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7"/>
      <c r="Q62" s="1917"/>
      <c r="R62" s="1917"/>
      <c r="S62" s="1917"/>
      <c r="T62" s="1917"/>
      <c r="U62" s="1917"/>
      <c r="V62" s="1917"/>
      <c r="W62" s="1917"/>
      <c r="X62" s="1917"/>
      <c r="Y62" s="1917"/>
      <c r="Z62" s="1917"/>
      <c r="AA62" s="1917"/>
      <c r="AB62" s="1917"/>
      <c r="AC62" s="1917"/>
      <c r="AD62" s="1917"/>
    </row>
    <row r="63" spans="1:30" s="3581" customFormat="1" ht="36">
      <c r="A63" s="3569" t="s">
        <v>3212</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7"/>
      <c r="Q63" s="1917"/>
      <c r="R63" s="1917"/>
      <c r="S63" s="1917"/>
      <c r="T63" s="1917"/>
      <c r="U63" s="1917"/>
      <c r="V63" s="1917"/>
      <c r="W63" s="1917"/>
      <c r="X63" s="1917"/>
      <c r="Y63" s="1917"/>
      <c r="Z63" s="1917"/>
      <c r="AA63" s="1917"/>
      <c r="AB63" s="1917"/>
      <c r="AC63" s="1917"/>
      <c r="AD63" s="1917"/>
    </row>
    <row r="64" spans="1:30" s="3581" customFormat="1" ht="36">
      <c r="A64" s="3587" t="s">
        <v>945</v>
      </c>
      <c r="B64" s="3603" t="s">
        <v>2191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7"/>
      <c r="Q64" s="1917"/>
      <c r="R64" s="1917"/>
      <c r="S64" s="1917"/>
      <c r="T64" s="1917"/>
      <c r="U64" s="1917"/>
      <c r="V64" s="1917"/>
      <c r="W64" s="1917"/>
      <c r="X64" s="1917"/>
      <c r="Y64" s="1917"/>
      <c r="Z64" s="1917"/>
      <c r="AA64" s="1917"/>
      <c r="AB64" s="1917"/>
      <c r="AC64" s="1917"/>
      <c r="AD64" s="1917"/>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7"/>
      <c r="Q65" s="1917"/>
      <c r="R65" s="1917"/>
      <c r="S65" s="1917"/>
      <c r="T65" s="1917"/>
      <c r="U65" s="1917"/>
      <c r="V65" s="1917"/>
      <c r="W65" s="1917"/>
      <c r="X65" s="1917"/>
      <c r="Y65" s="1917"/>
      <c r="Z65" s="1917"/>
      <c r="AA65" s="1917"/>
      <c r="AB65" s="1917"/>
      <c r="AC65" s="1917"/>
      <c r="AD65" s="1917"/>
    </row>
    <row r="66" spans="1:36" s="3581" customFormat="1" ht="24">
      <c r="A66" s="3587" t="s">
        <v>947</v>
      </c>
      <c r="B66" s="3604" t="s">
        <v>2189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7"/>
      <c r="Q66" s="1917"/>
      <c r="R66" s="1917"/>
      <c r="S66" s="1917"/>
      <c r="T66" s="1917"/>
      <c r="U66" s="1917"/>
      <c r="V66" s="1917"/>
      <c r="W66" s="1917"/>
      <c r="X66" s="1917"/>
      <c r="Y66" s="1917"/>
      <c r="Z66" s="1917"/>
      <c r="AA66" s="1917"/>
      <c r="AB66" s="1917"/>
      <c r="AC66" s="1917"/>
      <c r="AD66" s="1917"/>
    </row>
    <row r="67" spans="1:36" s="3581" customFormat="1" ht="24">
      <c r="A67" s="3587" t="s">
        <v>948</v>
      </c>
      <c r="B67" s="3606">
        <f>估价对象房地状况!C21</f>
        <v>0</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7"/>
      <c r="Q67" s="1917"/>
      <c r="R67" s="1917"/>
      <c r="S67" s="1917"/>
      <c r="T67" s="1917"/>
      <c r="U67" s="1917"/>
      <c r="V67" s="1917"/>
      <c r="W67" s="1917"/>
      <c r="X67" s="1917"/>
      <c r="Y67" s="1917"/>
      <c r="Z67" s="1917"/>
      <c r="AA67" s="1917"/>
      <c r="AB67" s="1917"/>
      <c r="AC67" s="1917"/>
      <c r="AD67" s="1917"/>
    </row>
    <row r="68" spans="1:36" s="3581" customFormat="1" ht="24">
      <c r="A68" s="3587" t="s">
        <v>949</v>
      </c>
      <c r="B68" s="3606">
        <f>估价对象房地状况!C22</f>
        <v>0</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7"/>
      <c r="Q68" s="1917"/>
      <c r="R68" s="1917"/>
      <c r="S68" s="1917"/>
      <c r="T68" s="1917"/>
      <c r="U68" s="1917"/>
      <c r="V68" s="1917"/>
      <c r="W68" s="1917"/>
      <c r="X68" s="1917"/>
      <c r="Y68" s="1917"/>
      <c r="Z68" s="1917"/>
      <c r="AA68" s="1917"/>
      <c r="AB68" s="1917"/>
      <c r="AC68" s="1917"/>
      <c r="AD68" s="1917"/>
    </row>
    <row r="69" spans="1:36" s="3581" customFormat="1" ht="24.75" thickBot="1">
      <c r="A69" s="3607" t="s">
        <v>950</v>
      </c>
      <c r="B69" s="3611">
        <f>估价对象房地状况!C20</f>
        <v>0</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7"/>
      <c r="Q69" s="1917"/>
      <c r="R69" s="1917"/>
      <c r="S69" s="1917"/>
      <c r="T69" s="1917"/>
      <c r="U69" s="1917"/>
      <c r="V69" s="1917"/>
      <c r="W69" s="1917"/>
      <c r="X69" s="1917"/>
      <c r="Y69" s="1917"/>
      <c r="Z69" s="1917"/>
      <c r="AA69" s="1917"/>
      <c r="AB69" s="1917"/>
      <c r="AC69" s="1917"/>
      <c r="AD69" s="1917"/>
    </row>
    <row r="70" spans="1:36" s="3581" customFormat="1" ht="15">
      <c r="A70" s="3582" t="s">
        <v>953</v>
      </c>
      <c r="B70" s="3646">
        <f>1+E72</f>
        <v>1</v>
      </c>
      <c r="C70" s="3610"/>
      <c r="D70" s="3584"/>
      <c r="E70" s="3585"/>
      <c r="F70" s="3586"/>
      <c r="G70" s="3580"/>
      <c r="H70" s="3580"/>
      <c r="I70" s="3580"/>
      <c r="J70" s="3431"/>
      <c r="K70" s="3431"/>
      <c r="L70" s="3431"/>
      <c r="M70" s="3431"/>
      <c r="N70" s="3431"/>
      <c r="P70" s="1917"/>
      <c r="Q70" s="1917"/>
      <c r="R70" s="1917"/>
      <c r="S70" s="1917"/>
      <c r="T70" s="1917"/>
      <c r="U70" s="1917"/>
      <c r="V70" s="1917"/>
      <c r="W70" s="1917"/>
      <c r="X70" s="1917"/>
      <c r="Y70" s="1917"/>
      <c r="Z70" s="1917"/>
      <c r="AA70" s="1917"/>
      <c r="AB70" s="1917"/>
      <c r="AC70" s="1917"/>
      <c r="AD70" s="1917"/>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7"/>
      <c r="Q71" s="1917"/>
      <c r="R71" s="1917"/>
      <c r="S71" s="1917"/>
      <c r="T71" s="1917"/>
      <c r="U71" s="1917"/>
      <c r="V71" s="1917"/>
      <c r="W71" s="1917"/>
      <c r="X71" s="1917"/>
      <c r="Y71" s="1917"/>
      <c r="Z71" s="1917"/>
      <c r="AA71" s="1917"/>
      <c r="AB71" s="1917"/>
      <c r="AC71" s="1917"/>
      <c r="AD71" s="1917"/>
    </row>
    <row r="72" spans="1:36" s="3581" customFormat="1" ht="24">
      <c r="A72" s="3587" t="s">
        <v>954</v>
      </c>
      <c r="B72" s="3588">
        <f>估价对象房地状况!C15</f>
        <v>0</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7"/>
      <c r="Q72" s="1917"/>
      <c r="R72" s="1917"/>
      <c r="S72" s="1917"/>
      <c r="T72" s="1917"/>
      <c r="U72" s="1917"/>
      <c r="V72" s="1917"/>
      <c r="W72" s="1917"/>
      <c r="X72" s="1917"/>
      <c r="Y72" s="1917"/>
      <c r="Z72" s="1917"/>
      <c r="AA72" s="1917"/>
      <c r="AB72" s="1917"/>
      <c r="AC72" s="1917"/>
      <c r="AD72" s="1917"/>
    </row>
    <row r="73" spans="1:36" s="3581" customFormat="1" ht="14.25">
      <c r="A73" s="3587" t="s">
        <v>955</v>
      </c>
      <c r="B73" s="3588">
        <f>估价对象房地状况!C18</f>
        <v>0</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7"/>
      <c r="Q73" s="1917"/>
      <c r="R73" s="1917"/>
      <c r="S73" s="1917"/>
      <c r="T73" s="1917"/>
      <c r="U73" s="1917"/>
      <c r="V73" s="1917"/>
      <c r="W73" s="1917"/>
      <c r="X73" s="1917"/>
      <c r="Y73" s="1917"/>
      <c r="Z73" s="1917"/>
      <c r="AA73" s="1917"/>
      <c r="AB73" s="1917"/>
      <c r="AC73" s="1917"/>
      <c r="AD73" s="1917"/>
    </row>
    <row r="74" spans="1:36" s="3581" customFormat="1" ht="36">
      <c r="A74" s="3569" t="s">
        <v>3212</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7"/>
      <c r="Q75" s="1917"/>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5" customFormat="1" ht="24">
      <c r="A76" s="3587" t="s">
        <v>948</v>
      </c>
      <c r="B76" s="3606">
        <f>估价对象房地状况!C21</f>
        <v>0</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7"/>
      <c r="Q76" s="1917"/>
      <c r="AE76" s="3581"/>
      <c r="AF76" s="3581"/>
      <c r="AG76" s="3581"/>
      <c r="AH76" s="3581"/>
      <c r="AI76" s="3581"/>
      <c r="AJ76" s="3581"/>
    </row>
    <row r="77" spans="1:36" s="1345" customFormat="1" ht="24">
      <c r="A77" s="3587" t="s">
        <v>949</v>
      </c>
      <c r="B77" s="3606">
        <f>估价对象房地状况!C22</f>
        <v>0</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7"/>
      <c r="Q77" s="1917"/>
      <c r="AE77" s="3581"/>
      <c r="AF77" s="3581"/>
      <c r="AG77" s="3581"/>
      <c r="AH77" s="3581"/>
      <c r="AI77" s="3581"/>
      <c r="AJ77" s="3581"/>
    </row>
    <row r="78" spans="1:36" s="1345" customFormat="1" ht="24">
      <c r="A78" s="3587" t="s">
        <v>947</v>
      </c>
      <c r="B78" s="3604" t="s">
        <v>2189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7"/>
      <c r="Q78" s="1917"/>
      <c r="AE78" s="3581"/>
      <c r="AF78" s="3581"/>
      <c r="AG78" s="3581"/>
      <c r="AH78" s="3581"/>
      <c r="AI78" s="3581"/>
      <c r="AJ78" s="3581"/>
    </row>
    <row r="79" spans="1:36" s="1345" customFormat="1" ht="24">
      <c r="A79" s="3587" t="s">
        <v>950</v>
      </c>
      <c r="B79" s="3594">
        <f>估价对象房地状况!C20</f>
        <v>0</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5"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5"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5"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5" customFormat="1" ht="24">
      <c r="A83" s="3587" t="s">
        <v>959</v>
      </c>
      <c r="B83" s="3588">
        <f>估价对象房地状况!G15</f>
        <v>0</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5" customFormat="1" ht="14.25">
      <c r="A84" s="3587" t="s">
        <v>955</v>
      </c>
      <c r="B84" s="3588">
        <f>估价对象房地状况!G16</f>
        <v>0</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5"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5"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5" customFormat="1" ht="24">
      <c r="A87" s="3587" t="s">
        <v>948</v>
      </c>
      <c r="B87" s="3606">
        <f>估价对象房地状况!G19</f>
        <v>0</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5" customFormat="1" ht="24">
      <c r="A88" s="3587" t="s">
        <v>949</v>
      </c>
      <c r="B88" s="3606">
        <f>估价对象房地状况!G20</f>
        <v>0</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5" customFormat="1" ht="24">
      <c r="A89" s="3587" t="s">
        <v>947</v>
      </c>
      <c r="B89" s="3604" t="s">
        <v>2189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5" customFormat="1" ht="15" thickBot="1">
      <c r="A90" s="3607" t="s">
        <v>960</v>
      </c>
      <c r="B90" s="3617">
        <f>估价对象房地状况!G18</f>
        <v>0</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5" customFormat="1" ht="15">
      <c r="A91" s="3570" t="s">
        <v>3221</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5" customFormat="1" ht="24">
      <c r="A92" s="3571" t="s">
        <v>3222</v>
      </c>
      <c r="B92" s="3571"/>
      <c r="C92" s="3571" t="s">
        <v>3227</v>
      </c>
      <c r="D92" s="3571" t="s">
        <v>3214</v>
      </c>
      <c r="E92" s="3628" t="s">
        <v>3215</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5" customFormat="1" ht="24">
      <c r="A93" s="3626" t="s">
        <v>3223</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5" customFormat="1" ht="14.25">
      <c r="A94" s="3571" t="s">
        <v>3224</v>
      </c>
      <c r="B94" s="3588">
        <f>估价对象房地状况!G16</f>
        <v>0</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5" customFormat="1" ht="36">
      <c r="A95" s="3626" t="s">
        <v>3212</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5" customFormat="1" ht="36.75">
      <c r="A96" s="3571" t="s">
        <v>3216</v>
      </c>
      <c r="B96" s="3575" t="s">
        <v>3217</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5" customFormat="1" ht="24">
      <c r="A97" s="3571" t="s">
        <v>3218</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5" customFormat="1" ht="24">
      <c r="A98" s="3571" t="s">
        <v>3225</v>
      </c>
      <c r="B98" s="3603" t="s">
        <v>2189</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5" customFormat="1" ht="24">
      <c r="A99" s="3571" t="s">
        <v>3226</v>
      </c>
      <c r="B99" s="3588">
        <f>估价对象房地状况!C21</f>
        <v>0</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5" customFormat="1" ht="24">
      <c r="A100" s="3571" t="s">
        <v>3219</v>
      </c>
      <c r="B100" s="3588">
        <f>估价对象房地状况!C22</f>
        <v>0</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5" customFormat="1" ht="24.75" thickBot="1">
      <c r="A101" s="3571" t="s">
        <v>3220</v>
      </c>
      <c r="B101" s="3594">
        <f>估价对象房地状况!C20</f>
        <v>0</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5"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5" customFormat="1">
      <c r="K103" s="3581"/>
      <c r="AD103" s="3581"/>
      <c r="AE103" s="3581"/>
      <c r="AF103" s="3581"/>
      <c r="AG103" s="3581"/>
      <c r="AH103" s="3581"/>
      <c r="AI103" s="3581"/>
    </row>
    <row r="104" spans="1:36">
      <c r="A104" s="3962" t="s">
        <v>1172</v>
      </c>
      <c r="B104" s="3962"/>
      <c r="C104" s="3962"/>
      <c r="D104" s="3962"/>
      <c r="E104" s="3962"/>
      <c r="F104" s="3962"/>
      <c r="G104" s="3962"/>
      <c r="H104" s="3962"/>
      <c r="I104" s="3962"/>
      <c r="J104" s="3962"/>
      <c r="K104" s="2100"/>
      <c r="L104" s="2100"/>
      <c r="M104" s="2100"/>
      <c r="N104" s="2100"/>
    </row>
    <row r="105" spans="1:36">
      <c r="A105" s="3963" t="s">
        <v>1161</v>
      </c>
      <c r="B105" s="3963" t="s">
        <v>1173</v>
      </c>
      <c r="C105" s="1038" t="s">
        <v>1174</v>
      </c>
      <c r="D105" s="1039"/>
      <c r="E105" s="1039"/>
      <c r="F105" s="1039"/>
      <c r="G105" s="1039"/>
      <c r="H105" s="1039"/>
      <c r="I105" s="1039"/>
      <c r="J105" s="1040"/>
      <c r="K105" s="1032"/>
      <c r="L105" s="1032"/>
      <c r="M105" s="1032"/>
      <c r="N105" s="1032"/>
    </row>
    <row r="106" spans="1:36">
      <c r="A106" s="3963"/>
      <c r="B106" s="3963"/>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52" t="s">
        <v>2045</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53"/>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53"/>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53"/>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53"/>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53"/>
      <c r="B112" s="1041" t="s">
        <v>3228</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54"/>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59" t="s">
        <v>1175</v>
      </c>
      <c r="B114" s="3959"/>
      <c r="C114" s="3959"/>
      <c r="D114" s="3959"/>
      <c r="E114" s="3959"/>
      <c r="F114" s="3959"/>
      <c r="G114" s="3959"/>
      <c r="H114" s="3959"/>
      <c r="I114" s="3959"/>
      <c r="J114" s="3959"/>
      <c r="K114" s="2098"/>
      <c r="L114" s="2098"/>
      <c r="M114" s="2098"/>
      <c r="N114" s="2098"/>
    </row>
    <row r="116" spans="1:14" ht="12.75" thickBot="1"/>
    <row r="117" spans="1:14" ht="25.5" thickBot="1">
      <c r="A117" s="973" t="s">
        <v>831</v>
      </c>
      <c r="B117" s="2101">
        <f>G3</f>
        <v>0</v>
      </c>
      <c r="C117" s="974" t="s">
        <v>832</v>
      </c>
      <c r="D117" s="975" t="e">
        <f>SUMPRODUCT((A118:A122=F116)*(B117:M117=H116)*B118:M122)</f>
        <v>#VALUE!</v>
      </c>
      <c r="E117" s="976" t="s">
        <v>833</v>
      </c>
      <c r="F117" s="977">
        <f>E2</f>
        <v>0</v>
      </c>
      <c r="G117" s="976" t="s">
        <v>834</v>
      </c>
      <c r="H117" s="977" t="str">
        <f>G2</f>
        <v>九级</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30" t="s">
        <v>3229</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2.75">
      <c r="A120" s="3630" t="s">
        <v>3230</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2.75">
      <c r="A121" s="3630" t="s">
        <v>3231</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5" thickBot="1">
      <c r="A122" s="3631" t="s">
        <v>3232</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2.75">
      <c r="A123" s="3632" t="s">
        <v>3213</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2754</v>
      </c>
      <c r="B1" s="1010" t="s">
        <v>990</v>
      </c>
      <c r="C1" s="1010" t="s">
        <v>1031</v>
      </c>
      <c r="D1" s="1010" t="s">
        <v>1145</v>
      </c>
      <c r="E1" s="1010" t="s">
        <v>853</v>
      </c>
      <c r="F1" s="1010" t="s">
        <v>1152</v>
      </c>
      <c r="G1" s="1010" t="s">
        <v>1153</v>
      </c>
      <c r="H1" s="1010" t="s">
        <v>1154</v>
      </c>
      <c r="I1" s="1010" t="s">
        <v>1155</v>
      </c>
      <c r="J1" s="1010" t="s">
        <v>1156</v>
      </c>
      <c r="K1" s="1010" t="s">
        <v>1157</v>
      </c>
      <c r="L1" s="1010" t="s">
        <v>2755</v>
      </c>
      <c r="M1" s="1011" t="s">
        <v>2756</v>
      </c>
    </row>
    <row r="2" spans="1:13">
      <c r="A2" s="3231" t="s">
        <v>2731</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2757</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2729</v>
      </c>
      <c r="B7" s="3245">
        <v>2.5</v>
      </c>
      <c r="C7" s="3245">
        <v>2.5</v>
      </c>
      <c r="D7" s="3245">
        <v>2</v>
      </c>
      <c r="E7" s="3245">
        <v>2</v>
      </c>
      <c r="F7" s="3245">
        <v>2</v>
      </c>
      <c r="G7" s="3245">
        <v>2</v>
      </c>
      <c r="H7" s="3245">
        <v>2</v>
      </c>
      <c r="I7" s="3246">
        <v>1.5</v>
      </c>
      <c r="J7" s="3246">
        <v>1.5</v>
      </c>
      <c r="K7" s="3246">
        <v>1.5</v>
      </c>
      <c r="L7" s="3246">
        <v>1.5</v>
      </c>
      <c r="M7" s="3247">
        <v>1.5</v>
      </c>
    </row>
    <row r="8" spans="1:13">
      <c r="A8" s="1024" t="s">
        <v>2758</v>
      </c>
      <c r="B8" s="3248">
        <v>80</v>
      </c>
      <c r="C8" s="3248">
        <v>80</v>
      </c>
      <c r="D8" s="3248">
        <v>70</v>
      </c>
      <c r="E8" s="3248">
        <v>70</v>
      </c>
      <c r="F8" s="3248">
        <v>70</v>
      </c>
      <c r="G8" s="3248">
        <v>70</v>
      </c>
      <c r="H8" s="3248">
        <v>70</v>
      </c>
      <c r="I8" s="3248">
        <v>60</v>
      </c>
      <c r="J8" s="3248">
        <v>60</v>
      </c>
      <c r="K8" s="3248">
        <v>60</v>
      </c>
      <c r="L8" s="3248">
        <v>60</v>
      </c>
      <c r="M8" s="3249">
        <v>60</v>
      </c>
    </row>
    <row r="9" spans="1:13">
      <c r="A9" s="1006" t="s">
        <v>2759</v>
      </c>
      <c r="B9" s="3250">
        <v>70</v>
      </c>
      <c r="C9" s="3250">
        <v>70</v>
      </c>
      <c r="D9" s="3250">
        <v>60</v>
      </c>
      <c r="E9" s="3250">
        <v>60</v>
      </c>
      <c r="F9" s="3250">
        <v>60</v>
      </c>
      <c r="G9" s="3250">
        <v>60</v>
      </c>
      <c r="H9" s="3250">
        <v>60</v>
      </c>
      <c r="I9" s="3250">
        <v>50</v>
      </c>
      <c r="J9" s="3250">
        <v>50</v>
      </c>
      <c r="K9" s="3250">
        <v>50</v>
      </c>
      <c r="L9" s="3250">
        <v>50</v>
      </c>
      <c r="M9" s="3251">
        <v>50</v>
      </c>
    </row>
    <row r="10" spans="1:13">
      <c r="A10" s="1006" t="s">
        <v>2760</v>
      </c>
      <c r="B10" s="3250">
        <v>20</v>
      </c>
      <c r="C10" s="3250">
        <v>20</v>
      </c>
      <c r="D10" s="3250">
        <v>15</v>
      </c>
      <c r="E10" s="3250">
        <v>15</v>
      </c>
      <c r="F10" s="3250">
        <v>15</v>
      </c>
      <c r="G10" s="3250">
        <v>15</v>
      </c>
      <c r="H10" s="3250">
        <v>15</v>
      </c>
      <c r="I10" s="3250">
        <v>10</v>
      </c>
      <c r="J10" s="3250">
        <v>10</v>
      </c>
      <c r="K10" s="3250">
        <v>10</v>
      </c>
      <c r="L10" s="3250">
        <v>10</v>
      </c>
      <c r="M10" s="3251">
        <v>10</v>
      </c>
    </row>
    <row r="11" spans="1:13">
      <c r="A11" s="1006" t="s">
        <v>2761</v>
      </c>
      <c r="B11" s="3250">
        <v>30</v>
      </c>
      <c r="C11" s="3250">
        <v>30</v>
      </c>
      <c r="D11" s="3250">
        <v>25</v>
      </c>
      <c r="E11" s="3250">
        <v>25</v>
      </c>
      <c r="F11" s="3250">
        <v>25</v>
      </c>
      <c r="G11" s="3250">
        <v>25</v>
      </c>
      <c r="H11" s="3250">
        <v>25</v>
      </c>
      <c r="I11" s="3250">
        <v>20</v>
      </c>
      <c r="J11" s="3250">
        <v>20</v>
      </c>
      <c r="K11" s="3250">
        <v>20</v>
      </c>
      <c r="L11" s="3250">
        <v>20</v>
      </c>
      <c r="M11" s="3251">
        <v>20</v>
      </c>
    </row>
    <row r="12" spans="1:13">
      <c r="A12" s="1006" t="s">
        <v>2762</v>
      </c>
      <c r="B12" s="3250">
        <v>45</v>
      </c>
      <c r="C12" s="3250">
        <v>45</v>
      </c>
      <c r="D12" s="3250">
        <v>40</v>
      </c>
      <c r="E12" s="3250">
        <v>40</v>
      </c>
      <c r="F12" s="3250">
        <v>40</v>
      </c>
      <c r="G12" s="3250">
        <v>40</v>
      </c>
      <c r="H12" s="3250">
        <v>40</v>
      </c>
      <c r="I12" s="3250">
        <v>35</v>
      </c>
      <c r="J12" s="3250">
        <v>35</v>
      </c>
      <c r="K12" s="3250">
        <v>35</v>
      </c>
      <c r="L12" s="3250">
        <v>35</v>
      </c>
      <c r="M12" s="3251">
        <v>35</v>
      </c>
    </row>
    <row r="13" spans="1:13">
      <c r="A13" s="1006" t="s">
        <v>2763</v>
      </c>
      <c r="B13" s="3250">
        <v>60</v>
      </c>
      <c r="C13" s="3250">
        <v>60</v>
      </c>
      <c r="D13" s="3250">
        <v>50</v>
      </c>
      <c r="E13" s="3250">
        <v>50</v>
      </c>
      <c r="F13" s="3250">
        <v>50</v>
      </c>
      <c r="G13" s="3250">
        <v>50</v>
      </c>
      <c r="H13" s="3250">
        <v>50</v>
      </c>
      <c r="I13" s="3250">
        <v>40</v>
      </c>
      <c r="J13" s="3250">
        <v>40</v>
      </c>
      <c r="K13" s="3250">
        <v>40</v>
      </c>
      <c r="L13" s="3250">
        <v>40</v>
      </c>
      <c r="M13" s="3251">
        <v>40</v>
      </c>
    </row>
    <row r="14" spans="1:13">
      <c r="A14" s="1006" t="s">
        <v>2764</v>
      </c>
      <c r="B14" s="3250">
        <v>50</v>
      </c>
      <c r="C14" s="3250">
        <v>50</v>
      </c>
      <c r="D14" s="3250">
        <v>40</v>
      </c>
      <c r="E14" s="3250">
        <v>40</v>
      </c>
      <c r="F14" s="3250">
        <v>40</v>
      </c>
      <c r="G14" s="3250">
        <v>40</v>
      </c>
      <c r="H14" s="3250">
        <v>40</v>
      </c>
      <c r="I14" s="3250">
        <v>30</v>
      </c>
      <c r="J14" s="3250">
        <v>30</v>
      </c>
      <c r="K14" s="3250">
        <v>30</v>
      </c>
      <c r="L14" s="3250">
        <v>30</v>
      </c>
      <c r="M14" s="3251">
        <v>30</v>
      </c>
    </row>
    <row r="15" spans="1:13">
      <c r="A15" s="1025" t="s">
        <v>2765</v>
      </c>
      <c r="B15" s="3252">
        <v>20</v>
      </c>
      <c r="C15" s="3252">
        <v>20</v>
      </c>
      <c r="D15" s="3252">
        <v>15</v>
      </c>
      <c r="E15" s="3252">
        <v>15</v>
      </c>
      <c r="F15" s="3252">
        <v>15</v>
      </c>
      <c r="G15" s="3252">
        <v>15</v>
      </c>
      <c r="H15" s="3252">
        <v>15</v>
      </c>
      <c r="I15" s="3252">
        <v>10</v>
      </c>
      <c r="J15" s="3252">
        <v>10</v>
      </c>
      <c r="K15" s="3252">
        <v>10</v>
      </c>
      <c r="L15" s="3252">
        <v>10</v>
      </c>
      <c r="M15" s="3253">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5" t="s">
        <v>2766</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7" t="s">
        <v>1160</v>
      </c>
      <c r="B18" s="1027"/>
      <c r="C18" s="1028"/>
      <c r="D18" s="1028"/>
      <c r="E18" s="1027"/>
      <c r="F18" s="1028"/>
      <c r="G18" s="1028"/>
    </row>
    <row r="19" spans="1:13" ht="14.25" thickBot="1">
      <c r="A19" s="3252" t="s">
        <v>2448</v>
      </c>
      <c r="B19" s="3254" t="s">
        <v>2449</v>
      </c>
      <c r="C19" s="3255" t="s">
        <v>2450</v>
      </c>
      <c r="D19" s="3256"/>
      <c r="E19" s="3250" t="s">
        <v>2451</v>
      </c>
      <c r="F19" s="1030"/>
      <c r="G19" s="1030"/>
    </row>
    <row r="20" spans="1:13" s="1405" customFormat="1">
      <c r="A20" s="3964" t="s">
        <v>2442</v>
      </c>
      <c r="B20" s="3967" t="s">
        <v>2452</v>
      </c>
      <c r="C20" s="3257" t="s">
        <v>2453</v>
      </c>
      <c r="D20" s="3258"/>
      <c r="E20" s="3259">
        <v>1</v>
      </c>
      <c r="F20" s="3260" t="s">
        <v>2454</v>
      </c>
      <c r="G20" s="1032"/>
      <c r="H20" s="1022"/>
      <c r="I20" s="1022"/>
    </row>
    <row r="21" spans="1:13" s="1405" customFormat="1">
      <c r="A21" s="3965"/>
      <c r="B21" s="3968"/>
      <c r="C21" s="3261" t="s">
        <v>2455</v>
      </c>
      <c r="D21" s="3262"/>
      <c r="E21" s="3263">
        <v>1</v>
      </c>
      <c r="F21" s="3260" t="s">
        <v>2456</v>
      </c>
      <c r="G21" s="1032"/>
      <c r="H21" s="1022"/>
      <c r="I21" s="1022"/>
    </row>
    <row r="22" spans="1:13" s="1405" customFormat="1">
      <c r="A22" s="3965"/>
      <c r="B22" s="3968"/>
      <c r="C22" s="3261" t="s">
        <v>2457</v>
      </c>
      <c r="D22" s="3262"/>
      <c r="E22" s="3263">
        <v>0.9</v>
      </c>
      <c r="F22" s="3260" t="s">
        <v>2458</v>
      </c>
      <c r="G22" s="1032"/>
      <c r="H22" s="1022"/>
      <c r="I22" s="1022"/>
    </row>
    <row r="23" spans="1:13" s="1405" customFormat="1">
      <c r="A23" s="3965"/>
      <c r="B23" s="3968"/>
      <c r="C23" s="3261" t="s">
        <v>2459</v>
      </c>
      <c r="D23" s="3262"/>
      <c r="E23" s="3263">
        <v>0.9</v>
      </c>
      <c r="F23" s="3260" t="s">
        <v>2460</v>
      </c>
      <c r="G23" s="1032"/>
      <c r="H23" s="1022"/>
      <c r="I23" s="1022"/>
    </row>
    <row r="24" spans="1:13" s="1405" customFormat="1">
      <c r="A24" s="3965"/>
      <c r="B24" s="3968"/>
      <c r="C24" s="3261" t="s">
        <v>2461</v>
      </c>
      <c r="D24" s="3262"/>
      <c r="E24" s="3263">
        <v>0.8</v>
      </c>
      <c r="F24" s="3260" t="s">
        <v>2462</v>
      </c>
      <c r="G24" s="1032"/>
      <c r="H24" s="1022"/>
      <c r="I24" s="1022"/>
    </row>
    <row r="25" spans="1:13" s="1405" customFormat="1" ht="14.25" thickBot="1">
      <c r="A25" s="3966"/>
      <c r="B25" s="3969"/>
      <c r="C25" s="3264" t="s">
        <v>2463</v>
      </c>
      <c r="D25" s="3265"/>
      <c r="E25" s="3266">
        <v>0.8</v>
      </c>
      <c r="F25" s="3260" t="s">
        <v>2464</v>
      </c>
      <c r="G25" s="1032"/>
      <c r="H25" s="1022"/>
      <c r="I25" s="1022"/>
    </row>
    <row r="26" spans="1:13" s="1405" customFormat="1" ht="14.25" thickBot="1">
      <c r="A26" s="3267" t="s">
        <v>2443</v>
      </c>
      <c r="B26" s="3268" t="s">
        <v>2452</v>
      </c>
      <c r="C26" s="3269" t="s">
        <v>2465</v>
      </c>
      <c r="D26" s="3270"/>
      <c r="E26" s="3271">
        <v>1</v>
      </c>
      <c r="F26" s="3260" t="s">
        <v>2466</v>
      </c>
      <c r="G26" s="1032"/>
      <c r="H26" s="1022"/>
      <c r="I26" s="1022"/>
    </row>
    <row r="27" spans="1:13" s="1405" customFormat="1">
      <c r="A27" s="3970" t="s">
        <v>2447</v>
      </c>
      <c r="B27" s="3967" t="s">
        <v>2447</v>
      </c>
      <c r="C27" s="3257" t="s">
        <v>2467</v>
      </c>
      <c r="D27" s="3258"/>
      <c r="E27" s="3259">
        <v>1</v>
      </c>
      <c r="F27" s="3260" t="s">
        <v>2468</v>
      </c>
      <c r="G27" s="1032"/>
      <c r="H27" s="1022"/>
      <c r="I27" s="1022"/>
    </row>
    <row r="28" spans="1:13" s="1405" customFormat="1">
      <c r="A28" s="3971"/>
      <c r="B28" s="3968"/>
      <c r="C28" s="3261" t="s">
        <v>2469</v>
      </c>
      <c r="D28" s="3262"/>
      <c r="E28" s="3263">
        <v>1</v>
      </c>
      <c r="F28" s="3260" t="s">
        <v>2470</v>
      </c>
      <c r="G28" s="1032"/>
      <c r="H28" s="1022"/>
      <c r="I28" s="1022"/>
    </row>
    <row r="29" spans="1:13" s="1405" customFormat="1">
      <c r="A29" s="3971"/>
      <c r="B29" s="3968"/>
      <c r="C29" s="3261" t="s">
        <v>2471</v>
      </c>
      <c r="D29" s="3262"/>
      <c r="E29" s="3263">
        <v>0.8</v>
      </c>
      <c r="F29" s="3260" t="s">
        <v>2472</v>
      </c>
      <c r="G29" s="1032"/>
      <c r="H29" s="1022"/>
      <c r="I29" s="1022"/>
    </row>
    <row r="30" spans="1:13" s="1405" customFormat="1">
      <c r="A30" s="3971"/>
      <c r="B30" s="3968"/>
      <c r="C30" s="3261" t="s">
        <v>2473</v>
      </c>
      <c r="D30" s="3262"/>
      <c r="E30" s="3263">
        <v>0.8</v>
      </c>
      <c r="F30" s="3260" t="s">
        <v>2474</v>
      </c>
      <c r="G30" s="1032"/>
      <c r="H30" s="1022"/>
      <c r="I30" s="1022"/>
    </row>
    <row r="31" spans="1:13" s="1405" customFormat="1">
      <c r="A31" s="3971"/>
      <c r="B31" s="3968"/>
      <c r="C31" s="3261" t="s">
        <v>2475</v>
      </c>
      <c r="D31" s="3262"/>
      <c r="E31" s="3263">
        <v>0.8</v>
      </c>
      <c r="F31" s="3260" t="s">
        <v>2476</v>
      </c>
      <c r="G31" s="1032"/>
      <c r="H31" s="1022"/>
      <c r="I31" s="1022"/>
    </row>
    <row r="32" spans="1:13" s="1405" customFormat="1">
      <c r="A32" s="3971"/>
      <c r="B32" s="3968"/>
      <c r="C32" s="3261" t="s">
        <v>2477</v>
      </c>
      <c r="D32" s="3262"/>
      <c r="E32" s="3263">
        <v>0.7</v>
      </c>
      <c r="F32" s="3260" t="s">
        <v>2478</v>
      </c>
      <c r="G32" s="1032"/>
      <c r="H32" s="1022"/>
      <c r="I32" s="1022"/>
    </row>
    <row r="33" spans="1:9" s="1405" customFormat="1">
      <c r="A33" s="3971"/>
      <c r="B33" s="3968"/>
      <c r="C33" s="3261" t="s">
        <v>2479</v>
      </c>
      <c r="D33" s="3262"/>
      <c r="E33" s="3263">
        <v>0.8</v>
      </c>
      <c r="F33" s="3260" t="s">
        <v>2480</v>
      </c>
      <c r="G33" s="1032"/>
      <c r="H33" s="1022"/>
      <c r="I33" s="1022"/>
    </row>
    <row r="34" spans="1:9" s="1405" customFormat="1">
      <c r="A34" s="3971"/>
      <c r="B34" s="3968"/>
      <c r="C34" s="3261" t="s">
        <v>2481</v>
      </c>
      <c r="D34" s="3262"/>
      <c r="E34" s="3263">
        <v>0.6</v>
      </c>
      <c r="F34" s="3260" t="s">
        <v>2482</v>
      </c>
      <c r="G34" s="1032"/>
      <c r="H34" s="1022"/>
      <c r="I34" s="1022"/>
    </row>
    <row r="35" spans="1:9" s="1405" customFormat="1">
      <c r="A35" s="3971"/>
      <c r="B35" s="3968"/>
      <c r="C35" s="3261" t="s">
        <v>2483</v>
      </c>
      <c r="D35" s="3262"/>
      <c r="E35" s="3263">
        <v>0.2</v>
      </c>
      <c r="F35" s="3260" t="s">
        <v>2484</v>
      </c>
      <c r="G35" s="1032"/>
      <c r="H35" s="1022"/>
      <c r="I35" s="1022"/>
    </row>
    <row r="36" spans="1:9" s="1405" customFormat="1">
      <c r="A36" s="3971"/>
      <c r="B36" s="3968"/>
      <c r="C36" s="3261" t="s">
        <v>2485</v>
      </c>
      <c r="D36" s="3262"/>
      <c r="E36" s="3263">
        <v>0.2</v>
      </c>
      <c r="F36" s="3260" t="s">
        <v>2486</v>
      </c>
      <c r="G36" s="1032"/>
      <c r="H36" s="1022"/>
      <c r="I36" s="1022"/>
    </row>
    <row r="37" spans="1:9" s="1405" customFormat="1">
      <c r="A37" s="3971"/>
      <c r="B37" s="3973" t="s">
        <v>2487</v>
      </c>
      <c r="C37" s="3261" t="s">
        <v>2488</v>
      </c>
      <c r="D37" s="3262"/>
      <c r="E37" s="3263">
        <v>0.6</v>
      </c>
      <c r="F37" s="3260" t="s">
        <v>2489</v>
      </c>
      <c r="G37" s="1032"/>
      <c r="H37" s="1022"/>
      <c r="I37" s="1022"/>
    </row>
    <row r="38" spans="1:9" s="1405" customFormat="1">
      <c r="A38" s="3971"/>
      <c r="B38" s="3968"/>
      <c r="C38" s="3261" t="s">
        <v>2490</v>
      </c>
      <c r="D38" s="3262"/>
      <c r="E38" s="3263">
        <v>0.6</v>
      </c>
      <c r="F38" s="3260" t="s">
        <v>2491</v>
      </c>
      <c r="G38" s="1032"/>
      <c r="H38" s="1022"/>
      <c r="I38" s="1022"/>
    </row>
    <row r="39" spans="1:9" s="1405" customFormat="1" ht="14.25" thickBot="1">
      <c r="A39" s="3972"/>
      <c r="B39" s="3969"/>
      <c r="C39" s="3264" t="s">
        <v>2492</v>
      </c>
      <c r="D39" s="3265"/>
      <c r="E39" s="3266">
        <v>0.6</v>
      </c>
      <c r="F39" s="3260" t="s">
        <v>2493</v>
      </c>
      <c r="G39" s="1032"/>
      <c r="H39" s="1022"/>
      <c r="I39" s="1022"/>
    </row>
    <row r="40" spans="1:9" s="1405" customFormat="1" ht="14.25" thickBot="1">
      <c r="A40" s="3267" t="s">
        <v>2444</v>
      </c>
      <c r="B40" s="3268" t="s">
        <v>2444</v>
      </c>
      <c r="C40" s="3269" t="s">
        <v>2494</v>
      </c>
      <c r="D40" s="3270"/>
      <c r="E40" s="3271">
        <v>1</v>
      </c>
      <c r="F40" s="3260" t="s">
        <v>2495</v>
      </c>
      <c r="G40" s="1032"/>
      <c r="H40" s="1022"/>
      <c r="I40" s="1022"/>
    </row>
    <row r="41" spans="1:9" s="1405" customFormat="1">
      <c r="A41" s="3964" t="s">
        <v>2445</v>
      </c>
      <c r="B41" s="3967" t="s">
        <v>2496</v>
      </c>
      <c r="C41" s="3257" t="s">
        <v>2497</v>
      </c>
      <c r="D41" s="3258"/>
      <c r="E41" s="3259">
        <v>1</v>
      </c>
      <c r="F41" s="3260" t="s">
        <v>2498</v>
      </c>
      <c r="G41" s="1032"/>
      <c r="H41" s="1022"/>
      <c r="I41" s="1022"/>
    </row>
    <row r="42" spans="1:9" s="1405" customFormat="1">
      <c r="A42" s="3965"/>
      <c r="B42" s="3968"/>
      <c r="C42" s="3261" t="s">
        <v>2499</v>
      </c>
      <c r="D42" s="3262"/>
      <c r="E42" s="3263">
        <v>1</v>
      </c>
      <c r="F42" s="3260" t="s">
        <v>2500</v>
      </c>
      <c r="G42" s="1032"/>
      <c r="H42" s="1022"/>
      <c r="I42" s="1022"/>
    </row>
    <row r="43" spans="1:9" s="1405" customFormat="1">
      <c r="A43" s="3965"/>
      <c r="B43" s="3974"/>
      <c r="C43" s="3261" t="s">
        <v>2501</v>
      </c>
      <c r="D43" s="3262"/>
      <c r="E43" s="3263">
        <v>1.5</v>
      </c>
      <c r="F43" s="3260" t="s">
        <v>2502</v>
      </c>
      <c r="G43" s="1032"/>
      <c r="H43" s="1022"/>
      <c r="I43" s="1022"/>
    </row>
    <row r="44" spans="1:9" s="1405" customFormat="1">
      <c r="A44" s="3965"/>
      <c r="B44" s="3272" t="s">
        <v>2447</v>
      </c>
      <c r="C44" s="3261" t="s">
        <v>2446</v>
      </c>
      <c r="D44" s="3262"/>
      <c r="E44" s="3263">
        <v>2</v>
      </c>
      <c r="F44" s="3260" t="s">
        <v>2503</v>
      </c>
      <c r="G44" s="1032"/>
      <c r="H44" s="1022"/>
      <c r="I44" s="1022"/>
    </row>
    <row r="45" spans="1:9" s="1405" customFormat="1">
      <c r="A45" s="3965"/>
      <c r="B45" s="3973" t="s">
        <v>2504</v>
      </c>
      <c r="C45" s="3261" t="s">
        <v>2505</v>
      </c>
      <c r="D45" s="3262"/>
      <c r="E45" s="3263">
        <v>1</v>
      </c>
      <c r="F45" s="3260" t="s">
        <v>2506</v>
      </c>
      <c r="G45" s="1032"/>
      <c r="H45" s="1022"/>
      <c r="I45" s="1022"/>
    </row>
    <row r="46" spans="1:9" s="1405" customFormat="1">
      <c r="A46" s="3965"/>
      <c r="B46" s="3968"/>
      <c r="C46" s="3261" t="s">
        <v>2507</v>
      </c>
      <c r="D46" s="3262"/>
      <c r="E46" s="3263">
        <v>1</v>
      </c>
      <c r="F46" s="3260" t="s">
        <v>2508</v>
      </c>
      <c r="G46" s="1032"/>
      <c r="H46" s="1022"/>
      <c r="I46" s="1022"/>
    </row>
    <row r="47" spans="1:9" s="1405" customFormat="1">
      <c r="A47" s="3965"/>
      <c r="B47" s="3968"/>
      <c r="C47" s="3261" t="s">
        <v>2509</v>
      </c>
      <c r="D47" s="3262"/>
      <c r="E47" s="3263">
        <v>1</v>
      </c>
      <c r="F47" s="3260" t="s">
        <v>2510</v>
      </c>
      <c r="G47" s="1032"/>
      <c r="H47" s="1022"/>
      <c r="I47" s="1022"/>
    </row>
    <row r="48" spans="1:9" s="1405" customFormat="1">
      <c r="A48" s="3965"/>
      <c r="B48" s="3968"/>
      <c r="C48" s="3261" t="s">
        <v>2511</v>
      </c>
      <c r="D48" s="3262"/>
      <c r="E48" s="3263">
        <v>1</v>
      </c>
      <c r="F48" s="3260" t="s">
        <v>2512</v>
      </c>
      <c r="G48" s="1032"/>
      <c r="H48" s="1022"/>
      <c r="I48" s="1022"/>
    </row>
    <row r="49" spans="1:9" s="1405" customFormat="1">
      <c r="A49" s="3965"/>
      <c r="B49" s="3968"/>
      <c r="C49" s="3261" t="s">
        <v>2513</v>
      </c>
      <c r="D49" s="3262"/>
      <c r="E49" s="3263">
        <v>1</v>
      </c>
      <c r="F49" s="3260" t="s">
        <v>2514</v>
      </c>
      <c r="G49" s="1032"/>
      <c r="H49" s="1022"/>
      <c r="I49" s="1022"/>
    </row>
    <row r="50" spans="1:9" s="1405" customFormat="1">
      <c r="A50" s="3965"/>
      <c r="B50" s="3968"/>
      <c r="C50" s="3261" t="s">
        <v>2515</v>
      </c>
      <c r="D50" s="3262"/>
      <c r="E50" s="3263">
        <v>1</v>
      </c>
      <c r="F50" s="3260" t="s">
        <v>2516</v>
      </c>
      <c r="G50" s="1032"/>
      <c r="H50" s="1022"/>
      <c r="I50" s="1022"/>
    </row>
    <row r="51" spans="1:9" s="1405" customFormat="1" ht="14.25" thickBot="1">
      <c r="A51" s="3966"/>
      <c r="B51" s="3969"/>
      <c r="C51" s="3264" t="s">
        <v>2517</v>
      </c>
      <c r="D51" s="3265"/>
      <c r="E51" s="3266">
        <v>1</v>
      </c>
      <c r="F51" s="3260" t="s">
        <v>2518</v>
      </c>
      <c r="G51" s="1032"/>
      <c r="H51" s="1022"/>
      <c r="I51" s="1022"/>
    </row>
    <row r="52" spans="1:9" s="1405" customFormat="1">
      <c r="A52" s="1406"/>
      <c r="B52" s="1406"/>
      <c r="C52" s="1406"/>
      <c r="D52" s="1406"/>
      <c r="E52" s="1406"/>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2767</v>
      </c>
      <c r="F56" s="1029" t="s">
        <v>2767</v>
      </c>
      <c r="G56" s="1029" t="s">
        <v>2767</v>
      </c>
      <c r="I56" s="1005"/>
    </row>
    <row r="57" spans="1:9">
      <c r="A57" s="1048" t="s">
        <v>836</v>
      </c>
      <c r="B57" s="3250">
        <v>0.7</v>
      </c>
      <c r="C57" s="3250">
        <v>0.4</v>
      </c>
      <c r="D57" s="3250">
        <v>0.3</v>
      </c>
      <c r="E57" s="3256">
        <v>0.3</v>
      </c>
      <c r="F57" s="3250">
        <v>0.3</v>
      </c>
      <c r="G57" s="3250">
        <v>0.2</v>
      </c>
      <c r="I57" s="1005"/>
    </row>
    <row r="58" spans="1:9">
      <c r="A58" s="1048" t="s">
        <v>837</v>
      </c>
      <c r="B58" s="3250">
        <v>0.7</v>
      </c>
      <c r="C58" s="3250">
        <v>0.4</v>
      </c>
      <c r="D58" s="3250">
        <v>0.3</v>
      </c>
      <c r="E58" s="3250">
        <v>0.3</v>
      </c>
      <c r="F58" s="3250">
        <v>0.3</v>
      </c>
      <c r="G58" s="3250">
        <v>0.2</v>
      </c>
      <c r="I58" s="1005"/>
    </row>
    <row r="59" spans="1:9">
      <c r="A59" s="1048" t="s">
        <v>838</v>
      </c>
      <c r="B59" s="3250">
        <v>0.6</v>
      </c>
      <c r="C59" s="3250">
        <v>0.3</v>
      </c>
      <c r="D59" s="3250">
        <v>0.25</v>
      </c>
      <c r="E59" s="3250">
        <v>0.25</v>
      </c>
      <c r="F59" s="3250">
        <v>0.25</v>
      </c>
      <c r="G59" s="3250">
        <v>0.15</v>
      </c>
      <c r="I59" s="1005"/>
    </row>
    <row r="60" spans="1:9">
      <c r="A60" s="1048" t="s">
        <v>839</v>
      </c>
      <c r="B60" s="3250">
        <v>0.6</v>
      </c>
      <c r="C60" s="3250">
        <v>0.3</v>
      </c>
      <c r="D60" s="3250">
        <v>0.25</v>
      </c>
      <c r="E60" s="3250">
        <v>0.25</v>
      </c>
      <c r="F60" s="3250">
        <v>0.25</v>
      </c>
      <c r="G60" s="3250">
        <v>0.15</v>
      </c>
      <c r="I60" s="1005"/>
    </row>
    <row r="61" spans="1:9" s="1022" customFormat="1">
      <c r="A61" s="1048" t="s">
        <v>840</v>
      </c>
      <c r="B61" s="3250">
        <v>0.6</v>
      </c>
      <c r="C61" s="3250">
        <v>0.3</v>
      </c>
      <c r="D61" s="3250">
        <v>0.25</v>
      </c>
      <c r="E61" s="3250">
        <v>0.25</v>
      </c>
      <c r="F61" s="3250">
        <v>0.25</v>
      </c>
      <c r="G61" s="3250">
        <v>0.15</v>
      </c>
    </row>
    <row r="62" spans="1:9" s="1022" customFormat="1">
      <c r="A62" s="1048" t="s">
        <v>841</v>
      </c>
      <c r="B62" s="3250">
        <v>0.6</v>
      </c>
      <c r="C62" s="3250">
        <v>0.3</v>
      </c>
      <c r="D62" s="3250">
        <v>0.25</v>
      </c>
      <c r="E62" s="3250">
        <v>0.25</v>
      </c>
      <c r="F62" s="3250">
        <v>0.25</v>
      </c>
      <c r="G62" s="3250">
        <v>0.15</v>
      </c>
    </row>
    <row r="63" spans="1:9" s="1022" customFormat="1">
      <c r="A63" s="1048" t="s">
        <v>842</v>
      </c>
      <c r="B63" s="3250">
        <v>0.6</v>
      </c>
      <c r="C63" s="3250">
        <v>0.3</v>
      </c>
      <c r="D63" s="3250">
        <v>0.25</v>
      </c>
      <c r="E63" s="3250">
        <v>0.25</v>
      </c>
      <c r="F63" s="3250">
        <v>0.25</v>
      </c>
      <c r="G63" s="3250">
        <v>0.15</v>
      </c>
    </row>
    <row r="64" spans="1:9" s="1022" customFormat="1">
      <c r="A64" s="1048" t="s">
        <v>843</v>
      </c>
      <c r="B64" s="3250">
        <v>0.5</v>
      </c>
      <c r="C64" s="3250">
        <v>0.2</v>
      </c>
      <c r="D64" s="3250">
        <v>0.2</v>
      </c>
      <c r="E64" s="3250">
        <v>0.2</v>
      </c>
      <c r="F64" s="3250">
        <v>0.2</v>
      </c>
      <c r="G64" s="3250">
        <v>0.1</v>
      </c>
    </row>
    <row r="65" spans="1:8" s="1022" customFormat="1">
      <c r="A65" s="1048" t="s">
        <v>844</v>
      </c>
      <c r="B65" s="3250">
        <v>0.5</v>
      </c>
      <c r="C65" s="3250">
        <v>0.2</v>
      </c>
      <c r="D65" s="3250">
        <v>0.2</v>
      </c>
      <c r="E65" s="3250">
        <v>0.2</v>
      </c>
      <c r="F65" s="3250">
        <v>0.2</v>
      </c>
      <c r="G65" s="3250">
        <v>0.1</v>
      </c>
    </row>
    <row r="66" spans="1:8" s="1022" customFormat="1">
      <c r="A66" s="1048" t="s">
        <v>845</v>
      </c>
      <c r="B66" s="3250">
        <v>0.5</v>
      </c>
      <c r="C66" s="3250">
        <v>0.2</v>
      </c>
      <c r="D66" s="3250">
        <v>0.2</v>
      </c>
      <c r="E66" s="3250">
        <v>0.2</v>
      </c>
      <c r="F66" s="3250">
        <v>0.2</v>
      </c>
      <c r="G66" s="3250">
        <v>0.1</v>
      </c>
    </row>
    <row r="67" spans="1:8" s="1022" customFormat="1">
      <c r="A67" s="1048" t="s">
        <v>846</v>
      </c>
      <c r="B67" s="3250">
        <v>0.5</v>
      </c>
      <c r="C67" s="3250">
        <v>0.2</v>
      </c>
      <c r="D67" s="3250">
        <v>0.2</v>
      </c>
      <c r="E67" s="3250">
        <v>0.2</v>
      </c>
      <c r="F67" s="3250">
        <v>0.2</v>
      </c>
      <c r="G67" s="3250">
        <v>0.1</v>
      </c>
    </row>
    <row r="68" spans="1:8" s="1022" customFormat="1">
      <c r="A68" s="1048" t="s">
        <v>847</v>
      </c>
      <c r="B68" s="3250">
        <v>0.5</v>
      </c>
      <c r="C68" s="3250">
        <v>0.2</v>
      </c>
      <c r="D68" s="3250">
        <v>0.2</v>
      </c>
      <c r="E68" s="3250">
        <v>0.2</v>
      </c>
      <c r="F68" s="3250">
        <v>0.2</v>
      </c>
      <c r="G68" s="3250">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2519</v>
      </c>
      <c r="D72" s="1050"/>
      <c r="E72" s="1037" t="s">
        <v>1159</v>
      </c>
      <c r="F72" s="1050" t="s">
        <v>1159</v>
      </c>
    </row>
    <row r="73" spans="1:8" s="1022" customFormat="1">
      <c r="A73" s="3272">
        <v>1</v>
      </c>
      <c r="B73" s="3973" t="s">
        <v>2520</v>
      </c>
      <c r="C73" s="3250" t="s">
        <v>2521</v>
      </c>
      <c r="D73" s="3250" t="s">
        <v>2522</v>
      </c>
      <c r="E73" s="3273">
        <v>0.2</v>
      </c>
      <c r="F73" s="3272">
        <v>25</v>
      </c>
      <c r="H73" s="1022">
        <f>SUMIF(C71:C139,基准地价!C8,E71:E139)</f>
        <v>0</v>
      </c>
    </row>
    <row r="74" spans="1:8" s="1022" customFormat="1" ht="24">
      <c r="A74" s="3272">
        <v>2</v>
      </c>
      <c r="B74" s="3968"/>
      <c r="C74" s="3250" t="s">
        <v>2523</v>
      </c>
      <c r="D74" s="3250" t="s">
        <v>2524</v>
      </c>
      <c r="E74" s="3273">
        <v>0.2</v>
      </c>
      <c r="F74" s="3272">
        <v>25</v>
      </c>
    </row>
    <row r="75" spans="1:8" s="1022" customFormat="1" ht="24">
      <c r="A75" s="3272">
        <v>3</v>
      </c>
      <c r="B75" s="3968"/>
      <c r="C75" s="3250" t="s">
        <v>2525</v>
      </c>
      <c r="D75" s="3250" t="s">
        <v>2526</v>
      </c>
      <c r="E75" s="3273">
        <v>0.2</v>
      </c>
      <c r="F75" s="3272">
        <v>25</v>
      </c>
    </row>
    <row r="76" spans="1:8" s="1022" customFormat="1">
      <c r="A76" s="3272">
        <v>4</v>
      </c>
      <c r="B76" s="3968"/>
      <c r="C76" s="3250" t="s">
        <v>2527</v>
      </c>
      <c r="D76" s="3250" t="s">
        <v>2528</v>
      </c>
      <c r="E76" s="3273">
        <v>0.15</v>
      </c>
      <c r="F76" s="3272">
        <v>20</v>
      </c>
    </row>
    <row r="77" spans="1:8" s="1022" customFormat="1" ht="24">
      <c r="A77" s="3272">
        <v>5</v>
      </c>
      <c r="B77" s="3968"/>
      <c r="C77" s="3250" t="s">
        <v>2529</v>
      </c>
      <c r="D77" s="3250" t="s">
        <v>2530</v>
      </c>
      <c r="E77" s="3273">
        <v>0.15</v>
      </c>
      <c r="F77" s="3272">
        <v>20</v>
      </c>
    </row>
    <row r="78" spans="1:8" s="1022" customFormat="1" ht="24">
      <c r="A78" s="3272">
        <v>6</v>
      </c>
      <c r="B78" s="3968"/>
      <c r="C78" s="3250" t="s">
        <v>2531</v>
      </c>
      <c r="D78" s="3250" t="s">
        <v>2532</v>
      </c>
      <c r="E78" s="3273">
        <v>0.15</v>
      </c>
      <c r="F78" s="3272">
        <v>20</v>
      </c>
    </row>
    <row r="79" spans="1:8" s="1022" customFormat="1" ht="24">
      <c r="A79" s="3272">
        <v>7</v>
      </c>
      <c r="B79" s="3968"/>
      <c r="C79" s="3250" t="s">
        <v>2533</v>
      </c>
      <c r="D79" s="3250" t="s">
        <v>2534</v>
      </c>
      <c r="E79" s="3273">
        <v>0.15</v>
      </c>
      <c r="F79" s="3272">
        <v>20</v>
      </c>
    </row>
    <row r="80" spans="1:8" s="1022" customFormat="1" ht="24">
      <c r="A80" s="3272">
        <v>8</v>
      </c>
      <c r="B80" s="3968"/>
      <c r="C80" s="3250" t="s">
        <v>2535</v>
      </c>
      <c r="D80" s="3250" t="s">
        <v>2536</v>
      </c>
      <c r="E80" s="3273">
        <v>0.1</v>
      </c>
      <c r="F80" s="3272">
        <v>15</v>
      </c>
    </row>
    <row r="81" spans="1:6" s="1022" customFormat="1" ht="24">
      <c r="A81" s="3272">
        <v>9</v>
      </c>
      <c r="B81" s="3968"/>
      <c r="C81" s="3250" t="s">
        <v>2537</v>
      </c>
      <c r="D81" s="3250" t="s">
        <v>2538</v>
      </c>
      <c r="E81" s="3273">
        <v>0.1</v>
      </c>
      <c r="F81" s="3272">
        <v>15</v>
      </c>
    </row>
    <row r="82" spans="1:6" s="1022" customFormat="1" ht="24">
      <c r="A82" s="3272">
        <v>10</v>
      </c>
      <c r="B82" s="3968"/>
      <c r="C82" s="3250" t="s">
        <v>2539</v>
      </c>
      <c r="D82" s="3250" t="s">
        <v>2540</v>
      </c>
      <c r="E82" s="3273">
        <v>0.1</v>
      </c>
      <c r="F82" s="3272">
        <v>15</v>
      </c>
    </row>
    <row r="83" spans="1:6" s="1022" customFormat="1" ht="24">
      <c r="A83" s="3272">
        <v>11</v>
      </c>
      <c r="B83" s="3968"/>
      <c r="C83" s="3250" t="s">
        <v>2541</v>
      </c>
      <c r="D83" s="3250" t="s">
        <v>2542</v>
      </c>
      <c r="E83" s="3273">
        <v>0.1</v>
      </c>
      <c r="F83" s="3272">
        <v>15</v>
      </c>
    </row>
    <row r="84" spans="1:6" s="1022" customFormat="1" ht="24">
      <c r="A84" s="3272">
        <v>12</v>
      </c>
      <c r="B84" s="3968"/>
      <c r="C84" s="3250" t="s">
        <v>2543</v>
      </c>
      <c r="D84" s="3250" t="s">
        <v>2544</v>
      </c>
      <c r="E84" s="3273">
        <v>0.1</v>
      </c>
      <c r="F84" s="3272">
        <v>15</v>
      </c>
    </row>
    <row r="85" spans="1:6" s="1022" customFormat="1">
      <c r="A85" s="3272">
        <v>13</v>
      </c>
      <c r="B85" s="3968"/>
      <c r="C85" s="3250" t="s">
        <v>2545</v>
      </c>
      <c r="D85" s="3250" t="s">
        <v>2546</v>
      </c>
      <c r="E85" s="3273">
        <v>0.1</v>
      </c>
      <c r="F85" s="3272">
        <v>15</v>
      </c>
    </row>
    <row r="86" spans="1:6" s="1022" customFormat="1">
      <c r="A86" s="3272">
        <v>14</v>
      </c>
      <c r="B86" s="3968"/>
      <c r="C86" s="3250" t="s">
        <v>2547</v>
      </c>
      <c r="D86" s="3250" t="s">
        <v>2548</v>
      </c>
      <c r="E86" s="3273">
        <v>0.1</v>
      </c>
      <c r="F86" s="3272">
        <v>15</v>
      </c>
    </row>
    <row r="87" spans="1:6" s="1022" customFormat="1">
      <c r="A87" s="3272">
        <v>15</v>
      </c>
      <c r="B87" s="3968"/>
      <c r="C87" s="3250" t="s">
        <v>2549</v>
      </c>
      <c r="D87" s="3250" t="s">
        <v>2550</v>
      </c>
      <c r="E87" s="3273">
        <v>0.1</v>
      </c>
      <c r="F87" s="3272">
        <v>15</v>
      </c>
    </row>
    <row r="88" spans="1:6" s="1022" customFormat="1" ht="24">
      <c r="A88" s="3272">
        <v>16</v>
      </c>
      <c r="B88" s="3968"/>
      <c r="C88" s="3250" t="s">
        <v>2551</v>
      </c>
      <c r="D88" s="3250" t="s">
        <v>2552</v>
      </c>
      <c r="E88" s="3273">
        <v>0.1</v>
      </c>
      <c r="F88" s="3272">
        <v>15</v>
      </c>
    </row>
    <row r="89" spans="1:6" s="1022" customFormat="1" ht="24">
      <c r="A89" s="3272">
        <v>17</v>
      </c>
      <c r="B89" s="3974"/>
      <c r="C89" s="3250" t="s">
        <v>2553</v>
      </c>
      <c r="D89" s="3250" t="s">
        <v>2554</v>
      </c>
      <c r="E89" s="3273">
        <v>0.1</v>
      </c>
      <c r="F89" s="3272">
        <v>15</v>
      </c>
    </row>
    <row r="90" spans="1:6" s="1022" customFormat="1">
      <c r="A90" s="3272">
        <v>18</v>
      </c>
      <c r="B90" s="3973" t="s">
        <v>2555</v>
      </c>
      <c r="C90" s="3250" t="s">
        <v>2556</v>
      </c>
      <c r="D90" s="3250" t="s">
        <v>2557</v>
      </c>
      <c r="E90" s="3273">
        <v>0.2</v>
      </c>
      <c r="F90" s="3272">
        <v>25</v>
      </c>
    </row>
    <row r="91" spans="1:6" s="1022" customFormat="1" ht="24">
      <c r="A91" s="3272">
        <v>19</v>
      </c>
      <c r="B91" s="3968"/>
      <c r="C91" s="3250" t="s">
        <v>2558</v>
      </c>
      <c r="D91" s="3250" t="s">
        <v>2559</v>
      </c>
      <c r="E91" s="3273">
        <v>0.2</v>
      </c>
      <c r="F91" s="3272">
        <v>25</v>
      </c>
    </row>
    <row r="92" spans="1:6" s="1022" customFormat="1">
      <c r="A92" s="3272">
        <v>20</v>
      </c>
      <c r="B92" s="3968"/>
      <c r="C92" s="3250" t="s">
        <v>2560</v>
      </c>
      <c r="D92" s="3250" t="s">
        <v>2561</v>
      </c>
      <c r="E92" s="3273">
        <v>0.15</v>
      </c>
      <c r="F92" s="3272">
        <v>20</v>
      </c>
    </row>
    <row r="93" spans="1:6" s="1022" customFormat="1" ht="24">
      <c r="A93" s="3272">
        <v>21</v>
      </c>
      <c r="B93" s="3968"/>
      <c r="C93" s="3250" t="s">
        <v>2562</v>
      </c>
      <c r="D93" s="3250" t="s">
        <v>2563</v>
      </c>
      <c r="E93" s="3273">
        <v>0.15</v>
      </c>
      <c r="F93" s="3272">
        <v>20</v>
      </c>
    </row>
    <row r="94" spans="1:6" s="1022" customFormat="1" ht="24">
      <c r="A94" s="3272">
        <v>22</v>
      </c>
      <c r="B94" s="3968"/>
      <c r="C94" s="3250" t="s">
        <v>2564</v>
      </c>
      <c r="D94" s="3250" t="s">
        <v>2565</v>
      </c>
      <c r="E94" s="3273">
        <v>0.15</v>
      </c>
      <c r="F94" s="3272">
        <v>20</v>
      </c>
    </row>
    <row r="95" spans="1:6" s="1022" customFormat="1" ht="36">
      <c r="A95" s="3272">
        <v>23</v>
      </c>
      <c r="B95" s="3968"/>
      <c r="C95" s="3250" t="s">
        <v>2566</v>
      </c>
      <c r="D95" s="3250" t="s">
        <v>2567</v>
      </c>
      <c r="E95" s="3273">
        <v>0.15</v>
      </c>
      <c r="F95" s="3272">
        <v>20</v>
      </c>
    </row>
    <row r="96" spans="1:6" s="1022" customFormat="1">
      <c r="A96" s="3272">
        <v>24</v>
      </c>
      <c r="B96" s="3968"/>
      <c r="C96" s="3250" t="s">
        <v>2568</v>
      </c>
      <c r="D96" s="3250" t="s">
        <v>2569</v>
      </c>
      <c r="E96" s="3273">
        <v>0.1</v>
      </c>
      <c r="F96" s="3272">
        <v>15</v>
      </c>
    </row>
    <row r="97" spans="1:6" s="1022" customFormat="1" ht="24">
      <c r="A97" s="3272">
        <v>25</v>
      </c>
      <c r="B97" s="3968"/>
      <c r="C97" s="3250" t="s">
        <v>2570</v>
      </c>
      <c r="D97" s="3250" t="s">
        <v>2571</v>
      </c>
      <c r="E97" s="3273">
        <v>0.1</v>
      </c>
      <c r="F97" s="3272">
        <v>15</v>
      </c>
    </row>
    <row r="98" spans="1:6" s="1022" customFormat="1" ht="24">
      <c r="A98" s="3272">
        <v>26</v>
      </c>
      <c r="B98" s="3968"/>
      <c r="C98" s="3250" t="s">
        <v>2572</v>
      </c>
      <c r="D98" s="3250" t="s">
        <v>2573</v>
      </c>
      <c r="E98" s="3273">
        <v>0.1</v>
      </c>
      <c r="F98" s="3272">
        <v>15</v>
      </c>
    </row>
    <row r="99" spans="1:6" s="1022" customFormat="1" ht="24">
      <c r="A99" s="3272">
        <v>27</v>
      </c>
      <c r="B99" s="3968"/>
      <c r="C99" s="3250" t="s">
        <v>2574</v>
      </c>
      <c r="D99" s="3250" t="s">
        <v>2575</v>
      </c>
      <c r="E99" s="3273">
        <v>0.1</v>
      </c>
      <c r="F99" s="3272">
        <v>15</v>
      </c>
    </row>
    <row r="100" spans="1:6" s="1022" customFormat="1" ht="24">
      <c r="A100" s="3272">
        <v>28</v>
      </c>
      <c r="B100" s="3968"/>
      <c r="C100" s="3250" t="s">
        <v>2576</v>
      </c>
      <c r="D100" s="3250" t="s">
        <v>2577</v>
      </c>
      <c r="E100" s="3273">
        <v>0.1</v>
      </c>
      <c r="F100" s="3272">
        <v>15</v>
      </c>
    </row>
    <row r="101" spans="1:6" s="1022" customFormat="1" ht="24">
      <c r="A101" s="3272">
        <v>29</v>
      </c>
      <c r="B101" s="3968"/>
      <c r="C101" s="3250" t="s">
        <v>2578</v>
      </c>
      <c r="D101" s="3250" t="s">
        <v>2579</v>
      </c>
      <c r="E101" s="3273">
        <v>0.1</v>
      </c>
      <c r="F101" s="3272">
        <v>15</v>
      </c>
    </row>
    <row r="102" spans="1:6" s="1022" customFormat="1" ht="24">
      <c r="A102" s="3272">
        <v>30</v>
      </c>
      <c r="B102" s="3968"/>
      <c r="C102" s="3250" t="s">
        <v>2580</v>
      </c>
      <c r="D102" s="3250" t="s">
        <v>2581</v>
      </c>
      <c r="E102" s="3273">
        <v>0.1</v>
      </c>
      <c r="F102" s="3272">
        <v>15</v>
      </c>
    </row>
    <row r="103" spans="1:6" s="1022" customFormat="1" ht="24">
      <c r="A103" s="3272">
        <v>31</v>
      </c>
      <c r="B103" s="3968"/>
      <c r="C103" s="3250" t="s">
        <v>2582</v>
      </c>
      <c r="D103" s="3250" t="s">
        <v>2583</v>
      </c>
      <c r="E103" s="3273">
        <v>0.1</v>
      </c>
      <c r="F103" s="3272">
        <v>15</v>
      </c>
    </row>
    <row r="104" spans="1:6" s="1022" customFormat="1" ht="24">
      <c r="A104" s="3272">
        <v>32</v>
      </c>
      <c r="B104" s="3968"/>
      <c r="C104" s="3250" t="s">
        <v>2584</v>
      </c>
      <c r="D104" s="3250" t="s">
        <v>2585</v>
      </c>
      <c r="E104" s="3273">
        <v>0.1</v>
      </c>
      <c r="F104" s="3272">
        <v>15</v>
      </c>
    </row>
    <row r="105" spans="1:6" s="1022" customFormat="1" ht="24">
      <c r="A105" s="3272">
        <v>33</v>
      </c>
      <c r="B105" s="3968"/>
      <c r="C105" s="3250" t="s">
        <v>2586</v>
      </c>
      <c r="D105" s="3250" t="s">
        <v>2587</v>
      </c>
      <c r="E105" s="3273">
        <v>0.1</v>
      </c>
      <c r="F105" s="3272">
        <v>15</v>
      </c>
    </row>
    <row r="106" spans="1:6" s="1022" customFormat="1" ht="24">
      <c r="A106" s="3272">
        <v>34</v>
      </c>
      <c r="B106" s="3974"/>
      <c r="C106" s="3250" t="s">
        <v>2588</v>
      </c>
      <c r="D106" s="3250" t="s">
        <v>2589</v>
      </c>
      <c r="E106" s="3273">
        <v>0.1</v>
      </c>
      <c r="F106" s="3272">
        <v>15</v>
      </c>
    </row>
    <row r="107" spans="1:6" s="1022" customFormat="1" ht="24">
      <c r="A107" s="3272">
        <v>35</v>
      </c>
      <c r="B107" s="3973" t="s">
        <v>2590</v>
      </c>
      <c r="C107" s="3272" t="s">
        <v>2591</v>
      </c>
      <c r="D107" s="3250" t="s">
        <v>2592</v>
      </c>
      <c r="E107" s="3273">
        <v>0.15</v>
      </c>
      <c r="F107" s="3272">
        <v>20</v>
      </c>
    </row>
    <row r="108" spans="1:6" s="1022" customFormat="1" ht="24">
      <c r="A108" s="3272">
        <v>36</v>
      </c>
      <c r="B108" s="3968"/>
      <c r="C108" s="3272" t="s">
        <v>2593</v>
      </c>
      <c r="D108" s="3250" t="s">
        <v>2594</v>
      </c>
      <c r="E108" s="3273">
        <v>0.15</v>
      </c>
      <c r="F108" s="3272">
        <v>20</v>
      </c>
    </row>
    <row r="109" spans="1:6" s="1022" customFormat="1" ht="24">
      <c r="A109" s="3272">
        <v>37</v>
      </c>
      <c r="B109" s="3968"/>
      <c r="C109" s="3272" t="s">
        <v>2595</v>
      </c>
      <c r="D109" s="3250" t="s">
        <v>2596</v>
      </c>
      <c r="E109" s="3273">
        <v>0.15</v>
      </c>
      <c r="F109" s="3272">
        <v>20</v>
      </c>
    </row>
    <row r="110" spans="1:6" s="1022" customFormat="1">
      <c r="A110" s="3272">
        <v>38</v>
      </c>
      <c r="B110" s="3968"/>
      <c r="C110" s="3272" t="s">
        <v>2597</v>
      </c>
      <c r="D110" s="3250" t="s">
        <v>2598</v>
      </c>
      <c r="E110" s="3273">
        <v>0.1</v>
      </c>
      <c r="F110" s="3272">
        <v>15</v>
      </c>
    </row>
    <row r="111" spans="1:6" s="1022" customFormat="1" ht="24">
      <c r="A111" s="3272">
        <v>39</v>
      </c>
      <c r="B111" s="3968"/>
      <c r="C111" s="3272" t="s">
        <v>2599</v>
      </c>
      <c r="D111" s="3250" t="s">
        <v>2600</v>
      </c>
      <c r="E111" s="3273">
        <v>0.1</v>
      </c>
      <c r="F111" s="3272">
        <v>15</v>
      </c>
    </row>
    <row r="112" spans="1:6" s="1022" customFormat="1" ht="24">
      <c r="A112" s="3272">
        <v>40</v>
      </c>
      <c r="B112" s="3974"/>
      <c r="C112" s="3272" t="s">
        <v>2601</v>
      </c>
      <c r="D112" s="3250" t="s">
        <v>2602</v>
      </c>
      <c r="E112" s="3273">
        <v>0.1</v>
      </c>
      <c r="F112" s="3272">
        <v>15</v>
      </c>
    </row>
    <row r="113" spans="1:6" s="1022" customFormat="1" ht="24">
      <c r="A113" s="3272">
        <v>41</v>
      </c>
      <c r="B113" s="3975" t="s">
        <v>2603</v>
      </c>
      <c r="C113" s="3272" t="s">
        <v>2604</v>
      </c>
      <c r="D113" s="3250" t="s">
        <v>2605</v>
      </c>
      <c r="E113" s="3273">
        <v>0.1</v>
      </c>
      <c r="F113" s="3272">
        <v>15</v>
      </c>
    </row>
    <row r="114" spans="1:6" s="1022" customFormat="1">
      <c r="A114" s="3272">
        <v>42</v>
      </c>
      <c r="B114" s="3975"/>
      <c r="C114" s="3272" t="s">
        <v>2606</v>
      </c>
      <c r="D114" s="3250" t="s">
        <v>2607</v>
      </c>
      <c r="E114" s="3273">
        <v>0.1</v>
      </c>
      <c r="F114" s="3272">
        <v>15</v>
      </c>
    </row>
    <row r="115" spans="1:6" s="1022" customFormat="1" ht="24">
      <c r="A115" s="3272">
        <v>43</v>
      </c>
      <c r="B115" s="3975"/>
      <c r="C115" s="3272" t="s">
        <v>2608</v>
      </c>
      <c r="D115" s="3250" t="s">
        <v>2609</v>
      </c>
      <c r="E115" s="3273">
        <v>0.1</v>
      </c>
      <c r="F115" s="3272">
        <v>15</v>
      </c>
    </row>
    <row r="116" spans="1:6" s="1022" customFormat="1" ht="24">
      <c r="A116" s="3272">
        <v>44</v>
      </c>
      <c r="B116" s="3973" t="s">
        <v>2610</v>
      </c>
      <c r="C116" s="3272" t="s">
        <v>2611</v>
      </c>
      <c r="D116" s="3250" t="s">
        <v>2612</v>
      </c>
      <c r="E116" s="3273">
        <v>0.1</v>
      </c>
      <c r="F116" s="3272">
        <v>15</v>
      </c>
    </row>
    <row r="117" spans="1:6" s="1022" customFormat="1" ht="24">
      <c r="A117" s="3272">
        <v>45</v>
      </c>
      <c r="B117" s="3974"/>
      <c r="C117" s="3250" t="s">
        <v>2613</v>
      </c>
      <c r="D117" s="3250" t="s">
        <v>2614</v>
      </c>
      <c r="E117" s="3273">
        <v>0.1</v>
      </c>
      <c r="F117" s="3272">
        <v>15</v>
      </c>
    </row>
    <row r="118" spans="1:6" s="1022" customFormat="1" ht="24">
      <c r="A118" s="3272">
        <v>46</v>
      </c>
      <c r="B118" s="3973" t="s">
        <v>2615</v>
      </c>
      <c r="C118" s="3272" t="s">
        <v>2616</v>
      </c>
      <c r="D118" s="3250" t="s">
        <v>2617</v>
      </c>
      <c r="E118" s="3273">
        <v>0.1</v>
      </c>
      <c r="F118" s="3272">
        <v>15</v>
      </c>
    </row>
    <row r="119" spans="1:6" s="1022" customFormat="1" ht="24">
      <c r="A119" s="3272">
        <v>47</v>
      </c>
      <c r="B119" s="3974"/>
      <c r="C119" s="3272" t="s">
        <v>2618</v>
      </c>
      <c r="D119" s="3250" t="s">
        <v>2619</v>
      </c>
      <c r="E119" s="3273">
        <v>0.1</v>
      </c>
      <c r="F119" s="3272">
        <v>15</v>
      </c>
    </row>
    <row r="120" spans="1:6" s="1022" customFormat="1" ht="24">
      <c r="A120" s="3272">
        <v>48</v>
      </c>
      <c r="B120" s="3973" t="s">
        <v>2620</v>
      </c>
      <c r="C120" s="3272" t="s">
        <v>2621</v>
      </c>
      <c r="D120" s="3250" t="s">
        <v>2622</v>
      </c>
      <c r="E120" s="3273">
        <v>0.1</v>
      </c>
      <c r="F120" s="3272">
        <v>15</v>
      </c>
    </row>
    <row r="121" spans="1:6" s="1022" customFormat="1">
      <c r="A121" s="3272">
        <v>49</v>
      </c>
      <c r="B121" s="3974"/>
      <c r="C121" s="3272" t="s">
        <v>2623</v>
      </c>
      <c r="D121" s="3250" t="s">
        <v>2624</v>
      </c>
      <c r="E121" s="3273">
        <v>0.1</v>
      </c>
      <c r="F121" s="3272">
        <v>15</v>
      </c>
    </row>
    <row r="122" spans="1:6" s="1022" customFormat="1" ht="24">
      <c r="A122" s="3272">
        <v>50</v>
      </c>
      <c r="B122" s="3975" t="s">
        <v>2625</v>
      </c>
      <c r="C122" s="3272" t="s">
        <v>2626</v>
      </c>
      <c r="D122" s="3250" t="s">
        <v>2627</v>
      </c>
      <c r="E122" s="3273">
        <v>0.1</v>
      </c>
      <c r="F122" s="3272">
        <v>15</v>
      </c>
    </row>
    <row r="123" spans="1:6" s="1022" customFormat="1" ht="24">
      <c r="A123" s="3272">
        <v>51</v>
      </c>
      <c r="B123" s="3975"/>
      <c r="C123" s="3272" t="s">
        <v>2628</v>
      </c>
      <c r="D123" s="3250" t="s">
        <v>2629</v>
      </c>
      <c r="E123" s="3273">
        <v>0.1</v>
      </c>
      <c r="F123" s="3272">
        <v>15</v>
      </c>
    </row>
    <row r="124" spans="1:6" s="1022" customFormat="1" ht="24">
      <c r="A124" s="3272">
        <v>52</v>
      </c>
      <c r="B124" s="3975" t="s">
        <v>2630</v>
      </c>
      <c r="C124" s="3272" t="s">
        <v>2631</v>
      </c>
      <c r="D124" s="3250" t="s">
        <v>2632</v>
      </c>
      <c r="E124" s="3273">
        <v>0.1</v>
      </c>
      <c r="F124" s="3272">
        <v>15</v>
      </c>
    </row>
    <row r="125" spans="1:6" s="1022" customFormat="1" ht="24">
      <c r="A125" s="3272">
        <v>53</v>
      </c>
      <c r="B125" s="3975"/>
      <c r="C125" s="3272" t="s">
        <v>2633</v>
      </c>
      <c r="D125" s="3250" t="s">
        <v>2634</v>
      </c>
      <c r="E125" s="3273">
        <v>0.1</v>
      </c>
      <c r="F125" s="3272">
        <v>15</v>
      </c>
    </row>
    <row r="126" spans="1:6" ht="24">
      <c r="A126" s="3272">
        <v>54</v>
      </c>
      <c r="B126" s="3272" t="s">
        <v>2635</v>
      </c>
      <c r="C126" s="3272" t="s">
        <v>2636</v>
      </c>
      <c r="D126" s="3250" t="s">
        <v>2637</v>
      </c>
      <c r="E126" s="3273">
        <v>0.1</v>
      </c>
      <c r="F126" s="3272">
        <v>15</v>
      </c>
    </row>
    <row r="127" spans="1:6">
      <c r="A127" s="3272">
        <v>55</v>
      </c>
      <c r="B127" s="3975" t="s">
        <v>2638</v>
      </c>
      <c r="C127" s="3272" t="s">
        <v>2639</v>
      </c>
      <c r="D127" s="3250" t="s">
        <v>2640</v>
      </c>
      <c r="E127" s="3273">
        <v>0.1</v>
      </c>
      <c r="F127" s="3272">
        <v>15</v>
      </c>
    </row>
    <row r="128" spans="1:6">
      <c r="A128" s="3272">
        <v>56</v>
      </c>
      <c r="B128" s="3975"/>
      <c r="C128" s="3272" t="s">
        <v>2641</v>
      </c>
      <c r="D128" s="3250" t="s">
        <v>2642</v>
      </c>
      <c r="E128" s="3273">
        <v>0.1</v>
      </c>
      <c r="F128" s="3272">
        <v>15</v>
      </c>
    </row>
    <row r="129" spans="1:14" ht="24">
      <c r="A129" s="3272">
        <v>57</v>
      </c>
      <c r="B129" s="3975"/>
      <c r="C129" s="3272" t="s">
        <v>2643</v>
      </c>
      <c r="D129" s="3250" t="s">
        <v>2644</v>
      </c>
      <c r="E129" s="3273">
        <v>0.1</v>
      </c>
      <c r="F129" s="3272">
        <v>15</v>
      </c>
    </row>
    <row r="130" spans="1:14" ht="24">
      <c r="A130" s="3272">
        <v>58</v>
      </c>
      <c r="B130" s="3975" t="s">
        <v>2645</v>
      </c>
      <c r="C130" s="3272" t="s">
        <v>2646</v>
      </c>
      <c r="D130" s="3250" t="s">
        <v>2647</v>
      </c>
      <c r="E130" s="3273">
        <v>0.1</v>
      </c>
      <c r="F130" s="3272">
        <v>15</v>
      </c>
    </row>
    <row r="131" spans="1:14" ht="24">
      <c r="A131" s="3272">
        <v>59</v>
      </c>
      <c r="B131" s="3975"/>
      <c r="C131" s="3272" t="s">
        <v>2648</v>
      </c>
      <c r="D131" s="3250" t="s">
        <v>2649</v>
      </c>
      <c r="E131" s="3273">
        <v>0.1</v>
      </c>
      <c r="F131" s="3272">
        <v>15</v>
      </c>
    </row>
    <row r="132" spans="1:14" ht="24">
      <c r="A132" s="3272">
        <v>60</v>
      </c>
      <c r="B132" s="3973" t="s">
        <v>2650</v>
      </c>
      <c r="C132" s="3272" t="s">
        <v>2651</v>
      </c>
      <c r="D132" s="3250" t="s">
        <v>2652</v>
      </c>
      <c r="E132" s="3273">
        <v>0.1</v>
      </c>
      <c r="F132" s="3272">
        <v>15</v>
      </c>
    </row>
    <row r="133" spans="1:14" ht="24">
      <c r="A133" s="3272">
        <v>61</v>
      </c>
      <c r="B133" s="3974"/>
      <c r="C133" s="3272" t="s">
        <v>2653</v>
      </c>
      <c r="D133" s="3250" t="s">
        <v>2654</v>
      </c>
      <c r="E133" s="3273">
        <v>0.1</v>
      </c>
      <c r="F133" s="3272">
        <v>15</v>
      </c>
    </row>
    <row r="134" spans="1:14" ht="24">
      <c r="A134" s="3272">
        <v>62</v>
      </c>
      <c r="B134" s="3272" t="s">
        <v>2655</v>
      </c>
      <c r="C134" s="3272" t="s">
        <v>2656</v>
      </c>
      <c r="D134" s="3250" t="s">
        <v>2657</v>
      </c>
      <c r="E134" s="3273">
        <v>0.1</v>
      </c>
      <c r="F134" s="3272">
        <v>15</v>
      </c>
    </row>
    <row r="135" spans="1:14" ht="24">
      <c r="A135" s="3272">
        <v>63</v>
      </c>
      <c r="B135" s="3975" t="s">
        <v>2658</v>
      </c>
      <c r="C135" s="3272" t="s">
        <v>2659</v>
      </c>
      <c r="D135" s="3250" t="s">
        <v>2660</v>
      </c>
      <c r="E135" s="3273">
        <v>0.1</v>
      </c>
      <c r="F135" s="3272">
        <v>15</v>
      </c>
    </row>
    <row r="136" spans="1:14">
      <c r="A136" s="3272">
        <v>64</v>
      </c>
      <c r="B136" s="3975"/>
      <c r="C136" s="3272" t="s">
        <v>2661</v>
      </c>
      <c r="D136" s="3250" t="s">
        <v>2662</v>
      </c>
      <c r="E136" s="3273">
        <v>0.1</v>
      </c>
      <c r="F136" s="3272">
        <v>15</v>
      </c>
    </row>
    <row r="137" spans="1:14" ht="24">
      <c r="A137" s="3272">
        <v>65</v>
      </c>
      <c r="B137" s="3272" t="s">
        <v>2663</v>
      </c>
      <c r="C137" s="3272" t="s">
        <v>2664</v>
      </c>
      <c r="D137" s="3250" t="s">
        <v>2665</v>
      </c>
      <c r="E137" s="3273">
        <v>0.1</v>
      </c>
      <c r="F137" s="3272">
        <v>15</v>
      </c>
    </row>
    <row r="138" spans="1:14">
      <c r="A138" s="1050"/>
      <c r="B138" s="3230"/>
      <c r="C138" s="1050"/>
      <c r="D138" s="1007"/>
      <c r="E138" s="1037"/>
      <c r="F138" s="1050"/>
    </row>
    <row r="139" spans="1:14">
      <c r="A139" s="1050"/>
      <c r="B139" s="1050"/>
      <c r="C139" s="1050"/>
      <c r="D139" s="1050"/>
      <c r="E139" s="1037"/>
      <c r="F139" s="1050"/>
    </row>
    <row r="141" spans="1:14">
      <c r="A141" s="3336"/>
      <c r="B141" s="3336"/>
      <c r="C141" s="3336"/>
      <c r="D141" s="3336"/>
      <c r="E141" s="3336"/>
      <c r="F141" s="3336"/>
      <c r="G141" s="3336"/>
      <c r="H141" s="3336"/>
      <c r="I141" s="3336"/>
      <c r="J141" s="3336"/>
      <c r="K141" s="1051"/>
      <c r="L141" s="1051"/>
      <c r="M141" s="1051"/>
      <c r="N141" s="105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08"/>
    <col min="9" max="9" width="9" style="1005"/>
    <col min="10" max="10" width="17.375" style="3457" customWidth="1"/>
    <col min="11" max="21" width="17.375" style="3431" customWidth="1"/>
    <col min="22" max="16384" width="9" style="1005"/>
  </cols>
  <sheetData>
    <row r="1" spans="1:21">
      <c r="A1" s="3976" t="s">
        <v>2807</v>
      </c>
      <c r="B1" s="3976"/>
      <c r="C1" s="3976"/>
      <c r="D1" s="3976"/>
      <c r="E1" s="3976"/>
      <c r="F1" s="3976"/>
      <c r="G1" s="3977"/>
      <c r="I1" s="1009"/>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2808</v>
      </c>
      <c r="B2" s="3417"/>
      <c r="C2" s="3417"/>
      <c r="D2" s="3417"/>
      <c r="E2" s="3417"/>
      <c r="F2" s="3417"/>
      <c r="G2" s="3412" t="s">
        <v>2809</v>
      </c>
      <c r="J2" s="3441" t="s">
        <v>2815</v>
      </c>
      <c r="K2" s="3421" t="s">
        <v>2817</v>
      </c>
      <c r="L2" s="3421" t="s">
        <v>2819</v>
      </c>
      <c r="M2" s="3421" t="s">
        <v>2825</v>
      </c>
      <c r="N2" s="3421" t="s">
        <v>2835</v>
      </c>
      <c r="O2" s="3421" t="s">
        <v>2850</v>
      </c>
      <c r="P2" s="3421" t="s">
        <v>2887</v>
      </c>
      <c r="Q2" s="3421" t="s">
        <v>2918</v>
      </c>
      <c r="R2" s="3421" t="s">
        <v>2946</v>
      </c>
      <c r="S2" s="3421" t="s">
        <v>2981</v>
      </c>
      <c r="T2" s="3421" t="s">
        <v>3001</v>
      </c>
      <c r="U2" s="3421" t="s">
        <v>3013</v>
      </c>
    </row>
    <row r="3" spans="1:21" s="1009" customFormat="1" ht="19.5" customHeight="1">
      <c r="A3" s="3978" t="s">
        <v>2810</v>
      </c>
      <c r="B3" s="3413"/>
      <c r="C3" s="3414" t="s">
        <v>2787</v>
      </c>
      <c r="D3" s="3414" t="s">
        <v>2811</v>
      </c>
      <c r="E3" s="3414" t="s">
        <v>2789</v>
      </c>
      <c r="F3" s="3414" t="s">
        <v>2812</v>
      </c>
      <c r="G3" s="3414" t="s">
        <v>2730</v>
      </c>
      <c r="H3" s="1012"/>
      <c r="J3" s="3441" t="s">
        <v>2816</v>
      </c>
      <c r="K3" s="3421" t="s">
        <v>973</v>
      </c>
      <c r="L3" s="3421" t="s">
        <v>974</v>
      </c>
      <c r="M3" s="3421" t="s">
        <v>975</v>
      </c>
      <c r="N3" s="3421" t="s">
        <v>976</v>
      </c>
      <c r="O3" s="3421" t="s">
        <v>977</v>
      </c>
      <c r="P3" s="3421" t="s">
        <v>978</v>
      </c>
      <c r="Q3" s="3421" t="s">
        <v>979</v>
      </c>
      <c r="R3" s="3421" t="s">
        <v>980</v>
      </c>
      <c r="S3" s="3421" t="s">
        <v>981</v>
      </c>
      <c r="T3" s="3421" t="s">
        <v>3002</v>
      </c>
      <c r="U3" s="3421" t="s">
        <v>3014</v>
      </c>
    </row>
    <row r="4" spans="1:21" s="1009" customFormat="1" ht="19.5" customHeight="1" thickBot="1">
      <c r="A4" s="3979"/>
      <c r="B4" s="3415" t="s">
        <v>2813</v>
      </c>
      <c r="C4" s="3415" t="s">
        <v>2814</v>
      </c>
      <c r="D4" s="3415" t="s">
        <v>2814</v>
      </c>
      <c r="E4" s="3415" t="s">
        <v>2814</v>
      </c>
      <c r="F4" s="3416" t="s">
        <v>2814</v>
      </c>
      <c r="G4" s="3416" t="s">
        <v>2814</v>
      </c>
      <c r="H4" s="1012"/>
      <c r="J4" s="3441" t="s">
        <v>982</v>
      </c>
      <c r="K4" s="3421" t="s">
        <v>983</v>
      </c>
      <c r="L4" s="3421" t="s">
        <v>984</v>
      </c>
      <c r="M4" s="3421" t="s">
        <v>985</v>
      </c>
      <c r="N4" s="3421" t="s">
        <v>986</v>
      </c>
      <c r="O4" s="3421" t="s">
        <v>987</v>
      </c>
      <c r="P4" s="3421" t="s">
        <v>988</v>
      </c>
      <c r="Q4" s="3421" t="s">
        <v>989</v>
      </c>
      <c r="R4" s="3421" t="s">
        <v>2947</v>
      </c>
      <c r="S4" s="3421" t="s">
        <v>2982</v>
      </c>
      <c r="T4" s="3421" t="s">
        <v>3003</v>
      </c>
      <c r="U4" s="3421" t="s">
        <v>3015</v>
      </c>
    </row>
    <row r="5" spans="1:21" ht="14.25" customHeight="1">
      <c r="A5" s="3418" t="s">
        <v>990</v>
      </c>
      <c r="B5" s="3419" t="s">
        <v>2815</v>
      </c>
      <c r="C5" s="3419">
        <v>34550</v>
      </c>
      <c r="D5" s="3419">
        <v>34470</v>
      </c>
      <c r="E5" s="3419">
        <v>34330</v>
      </c>
      <c r="F5" s="3420">
        <v>13400</v>
      </c>
      <c r="G5" s="3420">
        <v>25450</v>
      </c>
      <c r="H5" s="1013" t="s">
        <v>961</v>
      </c>
      <c r="I5" s="1014">
        <f>SUMPRODUCT((B5:B9=基准地价!I2)*(C3:G3=基准地价!E2)*(C5:G9))</f>
        <v>0</v>
      </c>
      <c r="J5" s="3441" t="s">
        <v>991</v>
      </c>
      <c r="K5" s="3421" t="s">
        <v>992</v>
      </c>
      <c r="L5" s="3421" t="s">
        <v>993</v>
      </c>
      <c r="M5" s="3421" t="s">
        <v>994</v>
      </c>
      <c r="N5" s="3421" t="s">
        <v>995</v>
      </c>
      <c r="O5" s="3421" t="s">
        <v>996</v>
      </c>
      <c r="P5" s="3421" t="s">
        <v>997</v>
      </c>
      <c r="Q5" s="3421" t="s">
        <v>998</v>
      </c>
      <c r="R5" s="3421" t="s">
        <v>2948</v>
      </c>
      <c r="S5" s="3421" t="s">
        <v>2983</v>
      </c>
      <c r="T5" s="3421" t="s">
        <v>999</v>
      </c>
      <c r="U5" s="3421" t="s">
        <v>3016</v>
      </c>
    </row>
    <row r="6" spans="1:21" ht="14.25" customHeight="1">
      <c r="A6" s="3421" t="s">
        <v>990</v>
      </c>
      <c r="B6" s="3421" t="s">
        <v>2816</v>
      </c>
      <c r="C6" s="3421">
        <v>36990</v>
      </c>
      <c r="D6" s="3421">
        <v>36850</v>
      </c>
      <c r="E6" s="3421">
        <v>36700</v>
      </c>
      <c r="F6" s="3422">
        <v>14590</v>
      </c>
      <c r="G6" s="3422">
        <v>27450</v>
      </c>
      <c r="H6" s="1015" t="s">
        <v>1000</v>
      </c>
      <c r="I6" s="1016">
        <f>SUMPRODUCT((B10:B29=基准地价!I2)*(C3:G3=基准地价!E2)*(C10:G29))</f>
        <v>0</v>
      </c>
      <c r="J6" s="3441" t="s">
        <v>1001</v>
      </c>
      <c r="K6" s="3421" t="s">
        <v>1002</v>
      </c>
      <c r="L6" s="3421" t="s">
        <v>1003</v>
      </c>
      <c r="M6" s="3421" t="s">
        <v>1004</v>
      </c>
      <c r="N6" s="3421" t="s">
        <v>1005</v>
      </c>
      <c r="O6" s="3421" t="s">
        <v>1006</v>
      </c>
      <c r="P6" s="3421" t="s">
        <v>1007</v>
      </c>
      <c r="Q6" s="3421" t="s">
        <v>2919</v>
      </c>
      <c r="R6" s="3421" t="s">
        <v>2949</v>
      </c>
      <c r="S6" s="3421" t="s">
        <v>1008</v>
      </c>
      <c r="T6" s="3421" t="s">
        <v>3004</v>
      </c>
      <c r="U6" s="3421" t="s">
        <v>3017</v>
      </c>
    </row>
    <row r="7" spans="1:21" ht="14.25" customHeight="1">
      <c r="A7" s="3421" t="s">
        <v>990</v>
      </c>
      <c r="B7" s="1286" t="s">
        <v>982</v>
      </c>
      <c r="C7" s="3421">
        <v>34850</v>
      </c>
      <c r="D7" s="3421">
        <v>34690</v>
      </c>
      <c r="E7" s="3421">
        <v>34550</v>
      </c>
      <c r="F7" s="3422">
        <v>14360</v>
      </c>
      <c r="G7" s="3422">
        <v>25620</v>
      </c>
      <c r="H7" s="1015" t="s">
        <v>838</v>
      </c>
      <c r="I7" s="1016">
        <f>SUMPRODUCT((B30:B54=基准地价!I2)*(C3:G3=基准地价!E2)*(C30:G54))</f>
        <v>0</v>
      </c>
      <c r="K7" s="3421" t="s">
        <v>1009</v>
      </c>
      <c r="L7" s="3421" t="s">
        <v>1010</v>
      </c>
      <c r="M7" s="3421" t="s">
        <v>1011</v>
      </c>
      <c r="N7" s="3421" t="s">
        <v>1012</v>
      </c>
      <c r="O7" s="3421" t="s">
        <v>1013</v>
      </c>
      <c r="P7" s="3421" t="s">
        <v>1014</v>
      </c>
      <c r="Q7" s="3421" t="s">
        <v>2920</v>
      </c>
      <c r="R7" s="3421" t="s">
        <v>2950</v>
      </c>
      <c r="S7" s="3421" t="s">
        <v>2984</v>
      </c>
      <c r="T7" s="3421" t="s">
        <v>3005</v>
      </c>
      <c r="U7" s="1286" t="s">
        <v>3018</v>
      </c>
    </row>
    <row r="8" spans="1:21" ht="14.25" customHeight="1">
      <c r="A8" s="3421" t="s">
        <v>990</v>
      </c>
      <c r="B8" s="3421" t="s">
        <v>991</v>
      </c>
      <c r="C8" s="3421">
        <v>32630</v>
      </c>
      <c r="D8" s="3421">
        <v>32510</v>
      </c>
      <c r="E8" s="3421">
        <v>32420</v>
      </c>
      <c r="F8" s="3422">
        <v>13300</v>
      </c>
      <c r="G8" s="3422">
        <v>24010</v>
      </c>
      <c r="H8" s="1015" t="s">
        <v>839</v>
      </c>
      <c r="I8" s="1016">
        <f>SUMPRODUCT((B55:B86=基准地价!I2)*(C3:G3=基准地价!E2)*(C55:G86))</f>
        <v>0</v>
      </c>
      <c r="K8" s="3421" t="s">
        <v>1015</v>
      </c>
      <c r="L8" s="3421" t="s">
        <v>1016</v>
      </c>
      <c r="M8" s="3421" t="s">
        <v>1017</v>
      </c>
      <c r="N8" s="3421" t="s">
        <v>1018</v>
      </c>
      <c r="O8" s="3421" t="s">
        <v>1019</v>
      </c>
      <c r="P8" s="3421" t="s">
        <v>1020</v>
      </c>
      <c r="Q8" s="3421" t="s">
        <v>2921</v>
      </c>
      <c r="R8" s="3421" t="s">
        <v>1021</v>
      </c>
      <c r="S8" s="3421" t="s">
        <v>2985</v>
      </c>
      <c r="T8" s="3421" t="s">
        <v>3006</v>
      </c>
      <c r="U8" s="3421" t="s">
        <v>3019</v>
      </c>
    </row>
    <row r="9" spans="1:21" ht="14.25" customHeight="1" thickBot="1">
      <c r="A9" s="3435" t="s">
        <v>990</v>
      </c>
      <c r="B9" s="3423" t="s">
        <v>1001</v>
      </c>
      <c r="C9" s="3424">
        <v>36370</v>
      </c>
      <c r="D9" s="3424">
        <v>36210</v>
      </c>
      <c r="E9" s="3424">
        <v>36050</v>
      </c>
      <c r="F9" s="3425"/>
      <c r="G9" s="3426">
        <v>26740</v>
      </c>
      <c r="H9" s="1015" t="s">
        <v>840</v>
      </c>
      <c r="I9" s="1016">
        <f>SUMPRODUCT((B87:B126=基准地价!I2)*(C3:G3=基准地价!E2)*(C87:G126))</f>
        <v>0</v>
      </c>
      <c r="K9" s="3421" t="s">
        <v>1022</v>
      </c>
      <c r="L9" s="3421" t="s">
        <v>1023</v>
      </c>
      <c r="M9" s="3421" t="s">
        <v>1024</v>
      </c>
      <c r="N9" s="3421" t="s">
        <v>1025</v>
      </c>
      <c r="O9" s="3421" t="s">
        <v>1026</v>
      </c>
      <c r="P9" s="3421" t="s">
        <v>1027</v>
      </c>
      <c r="Q9" s="3421" t="s">
        <v>2922</v>
      </c>
      <c r="R9" s="3421" t="s">
        <v>1029</v>
      </c>
      <c r="S9" s="3421" t="s">
        <v>1030</v>
      </c>
      <c r="T9" s="3421" t="s">
        <v>1047</v>
      </c>
    </row>
    <row r="10" spans="1:21" ht="14.25" customHeight="1">
      <c r="A10" s="3418" t="s">
        <v>1031</v>
      </c>
      <c r="B10" s="3419" t="s">
        <v>2817</v>
      </c>
      <c r="C10" s="3419">
        <v>32350</v>
      </c>
      <c r="D10" s="3419">
        <v>31430</v>
      </c>
      <c r="E10" s="3419">
        <v>31320</v>
      </c>
      <c r="F10" s="3420">
        <v>10850</v>
      </c>
      <c r="G10" s="3420">
        <v>22860</v>
      </c>
      <c r="H10" s="1015" t="s">
        <v>841</v>
      </c>
      <c r="I10" s="1016">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3007</v>
      </c>
    </row>
    <row r="11" spans="1:21" ht="14.25" customHeight="1">
      <c r="A11" s="3421" t="s">
        <v>1031</v>
      </c>
      <c r="B11" s="1286" t="s">
        <v>973</v>
      </c>
      <c r="C11" s="3421">
        <v>31590</v>
      </c>
      <c r="D11" s="3421">
        <v>29490</v>
      </c>
      <c r="E11" s="3421">
        <v>28700</v>
      </c>
      <c r="F11" s="3427">
        <v>10410</v>
      </c>
      <c r="G11" s="3427">
        <v>21460</v>
      </c>
      <c r="H11" s="1015" t="s">
        <v>842</v>
      </c>
      <c r="I11" s="1016">
        <f>SUMPRODUCT((B190:B233=基准地价!I2)*(C3:G3=基准地价!E2)*(C190:G233))</f>
        <v>0</v>
      </c>
      <c r="K11" s="3421" t="s">
        <v>1041</v>
      </c>
      <c r="L11" s="3421" t="s">
        <v>1042</v>
      </c>
      <c r="M11" s="3421" t="s">
        <v>1043</v>
      </c>
      <c r="N11" s="3421" t="s">
        <v>1044</v>
      </c>
      <c r="O11" s="3421" t="s">
        <v>1045</v>
      </c>
      <c r="P11" s="3421" t="s">
        <v>2888</v>
      </c>
      <c r="Q11" s="3421" t="s">
        <v>1038</v>
      </c>
      <c r="R11" s="3421" t="s">
        <v>1046</v>
      </c>
      <c r="S11" s="3421" t="s">
        <v>2986</v>
      </c>
      <c r="T11" s="3421" t="s">
        <v>3008</v>
      </c>
    </row>
    <row r="12" spans="1:21" ht="14.25" customHeight="1">
      <c r="A12" s="3421" t="s">
        <v>1031</v>
      </c>
      <c r="B12" s="1286" t="s">
        <v>983</v>
      </c>
      <c r="C12" s="3421">
        <v>29640</v>
      </c>
      <c r="D12" s="3421">
        <v>27550</v>
      </c>
      <c r="E12" s="3421">
        <v>28010</v>
      </c>
      <c r="F12" s="3427">
        <v>8730</v>
      </c>
      <c r="G12" s="3427">
        <v>20050</v>
      </c>
      <c r="H12" s="1015" t="s">
        <v>843</v>
      </c>
      <c r="I12" s="1016">
        <f>SUMPRODUCT((B234:B276=基准地价!I2)*(C3:G3=基准地价!E2)*(C234:G276))</f>
        <v>0</v>
      </c>
      <c r="K12" s="3421" t="s">
        <v>1048</v>
      </c>
      <c r="L12" s="3421" t="s">
        <v>1049</v>
      </c>
      <c r="M12" s="3421" t="s">
        <v>1050</v>
      </c>
      <c r="N12" s="3421" t="s">
        <v>1051</v>
      </c>
      <c r="O12" s="3421" t="s">
        <v>1052</v>
      </c>
      <c r="P12" s="3421" t="s">
        <v>2889</v>
      </c>
      <c r="Q12" s="3421" t="s">
        <v>2923</v>
      </c>
      <c r="R12" s="3421" t="s">
        <v>2951</v>
      </c>
      <c r="S12" s="3421" t="s">
        <v>2987</v>
      </c>
      <c r="T12" s="3421" t="s">
        <v>3009</v>
      </c>
    </row>
    <row r="13" spans="1:21" ht="14.25" customHeight="1">
      <c r="A13" s="3421" t="s">
        <v>1031</v>
      </c>
      <c r="B13" s="1286" t="s">
        <v>992</v>
      </c>
      <c r="C13" s="3421">
        <v>29680</v>
      </c>
      <c r="D13" s="3421">
        <v>27660</v>
      </c>
      <c r="E13" s="3421">
        <v>28210</v>
      </c>
      <c r="F13" s="3427">
        <v>9590</v>
      </c>
      <c r="G13" s="3427">
        <v>20120</v>
      </c>
      <c r="H13" s="1015" t="s">
        <v>844</v>
      </c>
      <c r="I13" s="1016">
        <f>SUMPRODUCT((B277:B326=基准地价!I2)*(C3:G3=基准地价!E2)*(C277:G326))</f>
        <v>0</v>
      </c>
      <c r="K13" s="3421" t="s">
        <v>1055</v>
      </c>
      <c r="L13" s="3421" t="s">
        <v>1056</v>
      </c>
      <c r="M13" s="3421" t="s">
        <v>1057</v>
      </c>
      <c r="N13" s="3421" t="s">
        <v>1058</v>
      </c>
      <c r="O13" s="3421" t="s">
        <v>1059</v>
      </c>
      <c r="P13" s="3421" t="s">
        <v>2890</v>
      </c>
      <c r="Q13" s="3421" t="s">
        <v>1053</v>
      </c>
      <c r="R13" s="3421" t="s">
        <v>1067</v>
      </c>
      <c r="S13" s="3421" t="s">
        <v>1068</v>
      </c>
      <c r="T13" s="3421" t="s">
        <v>1061</v>
      </c>
    </row>
    <row r="14" spans="1:21" ht="14.25" customHeight="1">
      <c r="A14" s="3421" t="s">
        <v>1031</v>
      </c>
      <c r="B14" s="1286" t="s">
        <v>1002</v>
      </c>
      <c r="C14" s="3421">
        <v>30520</v>
      </c>
      <c r="D14" s="3421">
        <v>29510</v>
      </c>
      <c r="E14" s="3421">
        <v>29400</v>
      </c>
      <c r="F14" s="3427">
        <v>9630</v>
      </c>
      <c r="G14" s="3427">
        <v>21480</v>
      </c>
      <c r="H14" s="1015" t="s">
        <v>845</v>
      </c>
      <c r="I14" s="1016">
        <f>SUMPRODUCT((B327:B357=基准地价!I2)*(C3:G3=基准地价!E2)*(C327:G357))</f>
        <v>0</v>
      </c>
      <c r="K14" s="3421" t="s">
        <v>1062</v>
      </c>
      <c r="L14" s="3421" t="s">
        <v>1063</v>
      </c>
      <c r="M14" s="3421" t="s">
        <v>1064</v>
      </c>
      <c r="N14" s="3421" t="s">
        <v>1065</v>
      </c>
      <c r="O14" s="3421" t="s">
        <v>1066</v>
      </c>
      <c r="P14" s="3421" t="s">
        <v>1088</v>
      </c>
      <c r="Q14" s="3421" t="s">
        <v>1060</v>
      </c>
      <c r="R14" s="3421" t="s">
        <v>2952</v>
      </c>
      <c r="S14" s="3421" t="s">
        <v>1076</v>
      </c>
      <c r="T14" s="3421" t="s">
        <v>1069</v>
      </c>
    </row>
    <row r="15" spans="1:21" ht="14.25" customHeight="1">
      <c r="A15" s="3421" t="s">
        <v>1031</v>
      </c>
      <c r="B15" s="1286" t="s">
        <v>1009</v>
      </c>
      <c r="C15" s="3421">
        <v>29090</v>
      </c>
      <c r="D15" s="3421">
        <v>27590</v>
      </c>
      <c r="E15" s="3421">
        <v>28120</v>
      </c>
      <c r="F15" s="3427">
        <v>9110</v>
      </c>
      <c r="G15" s="3427">
        <v>20070</v>
      </c>
      <c r="H15" s="1015" t="s">
        <v>846</v>
      </c>
      <c r="I15" s="1016">
        <f>SUMPRODUCT((B358:B377=基准地价!I2)*(C3:G3=基准地价!E2)*(C358:G377))</f>
        <v>0</v>
      </c>
      <c r="K15" s="3421" t="s">
        <v>1070</v>
      </c>
      <c r="L15" s="3421" t="s">
        <v>1071</v>
      </c>
      <c r="M15" s="3421" t="s">
        <v>1072</v>
      </c>
      <c r="N15" s="3421" t="s">
        <v>1073</v>
      </c>
      <c r="O15" s="3421" t="s">
        <v>1074</v>
      </c>
      <c r="P15" s="3421" t="s">
        <v>2891</v>
      </c>
      <c r="Q15" s="3421" t="s">
        <v>2924</v>
      </c>
      <c r="R15" s="3421" t="s">
        <v>1090</v>
      </c>
      <c r="S15" s="3421" t="s">
        <v>2988</v>
      </c>
      <c r="T15" s="3421" t="s">
        <v>1077</v>
      </c>
    </row>
    <row r="16" spans="1:21" ht="14.25" customHeight="1" thickBot="1">
      <c r="A16" s="3421" t="s">
        <v>1031</v>
      </c>
      <c r="B16" s="1286" t="s">
        <v>1015</v>
      </c>
      <c r="C16" s="3421">
        <v>26790</v>
      </c>
      <c r="D16" s="3421">
        <v>30370</v>
      </c>
      <c r="E16" s="3421">
        <v>30240</v>
      </c>
      <c r="F16" s="3427">
        <v>11590</v>
      </c>
      <c r="G16" s="3427">
        <v>22090</v>
      </c>
      <c r="H16" s="1017" t="s">
        <v>847</v>
      </c>
      <c r="I16" s="1018">
        <f>SUMPRODUCT((B378:B384=基准地价!I2)*(C3:G3=基准地价!E2)*(C378:G384))</f>
        <v>0</v>
      </c>
      <c r="K16" s="3421" t="s">
        <v>1078</v>
      </c>
      <c r="L16" s="3421" t="s">
        <v>1079</v>
      </c>
      <c r="M16" s="3421" t="s">
        <v>1080</v>
      </c>
      <c r="N16" s="3421" t="s">
        <v>1081</v>
      </c>
      <c r="O16" s="3421" t="s">
        <v>1082</v>
      </c>
      <c r="P16" s="3421" t="s">
        <v>2892</v>
      </c>
      <c r="Q16" s="3421" t="s">
        <v>1075</v>
      </c>
      <c r="R16" s="3421" t="s">
        <v>1098</v>
      </c>
      <c r="S16" s="3421" t="s">
        <v>1054</v>
      </c>
      <c r="T16" s="3421" t="s">
        <v>3010</v>
      </c>
    </row>
    <row r="17" spans="1:20" ht="14.25" customHeight="1">
      <c r="A17" s="3421" t="s">
        <v>1031</v>
      </c>
      <c r="B17" s="1286" t="s">
        <v>1022</v>
      </c>
      <c r="C17" s="3421">
        <v>29180</v>
      </c>
      <c r="D17" s="3421">
        <v>27620</v>
      </c>
      <c r="E17" s="3421">
        <v>28180</v>
      </c>
      <c r="F17" s="3427">
        <v>10790</v>
      </c>
      <c r="G17" s="3428">
        <v>20090</v>
      </c>
      <c r="I17" s="1019"/>
      <c r="K17" s="3421" t="s">
        <v>1083</v>
      </c>
      <c r="L17" s="3421" t="s">
        <v>1084</v>
      </c>
      <c r="M17" s="3421" t="s">
        <v>1085</v>
      </c>
      <c r="N17" s="3421" t="s">
        <v>1086</v>
      </c>
      <c r="O17" s="3421" t="s">
        <v>1087</v>
      </c>
      <c r="P17" s="3421" t="s">
        <v>2893</v>
      </c>
      <c r="Q17" s="3421" t="s">
        <v>2925</v>
      </c>
      <c r="R17" s="3421" t="s">
        <v>1104</v>
      </c>
      <c r="S17" s="3421" t="s">
        <v>2989</v>
      </c>
      <c r="T17" s="3421" t="s">
        <v>1106</v>
      </c>
    </row>
    <row r="18" spans="1:20" ht="14.25" customHeight="1">
      <c r="A18" s="3421" t="s">
        <v>1031</v>
      </c>
      <c r="B18" s="1286" t="s">
        <v>1032</v>
      </c>
      <c r="C18" s="3421">
        <v>26840</v>
      </c>
      <c r="D18" s="3421">
        <v>28930</v>
      </c>
      <c r="E18" s="3421">
        <v>28820</v>
      </c>
      <c r="F18" s="3427"/>
      <c r="G18" s="3428">
        <v>21050</v>
      </c>
      <c r="I18" s="1019"/>
      <c r="K18" s="3421" t="s">
        <v>1092</v>
      </c>
      <c r="L18" s="3421" t="s">
        <v>1093</v>
      </c>
      <c r="M18" s="3421" t="s">
        <v>1094</v>
      </c>
      <c r="N18" s="3421" t="s">
        <v>1095</v>
      </c>
      <c r="O18" s="3421" t="s">
        <v>1096</v>
      </c>
      <c r="P18" s="3421" t="s">
        <v>2894</v>
      </c>
      <c r="Q18" s="3421" t="s">
        <v>1089</v>
      </c>
      <c r="R18" s="3421" t="s">
        <v>2953</v>
      </c>
      <c r="S18" s="3421" t="s">
        <v>1105</v>
      </c>
      <c r="T18" s="3421" t="s">
        <v>1114</v>
      </c>
    </row>
    <row r="19" spans="1:20" ht="14.25" customHeight="1">
      <c r="A19" s="3421" t="s">
        <v>1031</v>
      </c>
      <c r="B19" s="1286" t="s">
        <v>1041</v>
      </c>
      <c r="C19" s="3421">
        <v>27750</v>
      </c>
      <c r="D19" s="3421">
        <v>26680</v>
      </c>
      <c r="E19" s="3421">
        <v>26590</v>
      </c>
      <c r="F19" s="3427"/>
      <c r="G19" s="3428">
        <v>19420</v>
      </c>
      <c r="I19" s="1019"/>
      <c r="K19" s="3421" t="s">
        <v>1099</v>
      </c>
      <c r="L19" s="3421" t="s">
        <v>1100</v>
      </c>
      <c r="M19" s="3421" t="s">
        <v>1101</v>
      </c>
      <c r="N19" s="3421" t="s">
        <v>1102</v>
      </c>
      <c r="O19" s="3421" t="s">
        <v>1103</v>
      </c>
      <c r="P19" s="3421" t="s">
        <v>2895</v>
      </c>
      <c r="Q19" s="3421" t="s">
        <v>1097</v>
      </c>
      <c r="R19" s="3421" t="s">
        <v>2954</v>
      </c>
      <c r="S19" s="3421" t="s">
        <v>1113</v>
      </c>
      <c r="T19" s="3421" t="s">
        <v>3011</v>
      </c>
    </row>
    <row r="20" spans="1:20" ht="14.25" customHeight="1">
      <c r="A20" s="3421" t="s">
        <v>1031</v>
      </c>
      <c r="B20" s="1286" t="s">
        <v>1048</v>
      </c>
      <c r="C20" s="3421">
        <v>27050</v>
      </c>
      <c r="D20" s="3421">
        <v>29010</v>
      </c>
      <c r="E20" s="3421">
        <v>28910</v>
      </c>
      <c r="F20" s="3427"/>
      <c r="G20" s="3428">
        <v>21110</v>
      </c>
      <c r="K20" s="3421" t="s">
        <v>1107</v>
      </c>
      <c r="L20" s="3421" t="s">
        <v>1108</v>
      </c>
      <c r="M20" s="3421" t="s">
        <v>1109</v>
      </c>
      <c r="N20" s="3421" t="s">
        <v>1110</v>
      </c>
      <c r="O20" s="3421" t="s">
        <v>1111</v>
      </c>
      <c r="P20" s="3421" t="s">
        <v>2896</v>
      </c>
      <c r="Q20" s="3421" t="s">
        <v>2926</v>
      </c>
      <c r="R20" s="3421" t="s">
        <v>1139</v>
      </c>
      <c r="S20" s="3421" t="s">
        <v>2990</v>
      </c>
      <c r="T20" s="3421" t="s">
        <v>1126</v>
      </c>
    </row>
    <row r="21" spans="1:20" ht="14.25" customHeight="1">
      <c r="A21" s="3421" t="s">
        <v>1031</v>
      </c>
      <c r="B21" s="1286" t="s">
        <v>1055</v>
      </c>
      <c r="C21" s="3421">
        <v>32370</v>
      </c>
      <c r="D21" s="3421">
        <v>26730</v>
      </c>
      <c r="E21" s="3421">
        <v>26640</v>
      </c>
      <c r="F21" s="3427"/>
      <c r="G21" s="3428">
        <v>19440</v>
      </c>
      <c r="K21" s="3430" t="s">
        <v>2818</v>
      </c>
      <c r="L21" s="3421" t="s">
        <v>1115</v>
      </c>
      <c r="M21" s="3421" t="s">
        <v>1116</v>
      </c>
      <c r="N21" s="3421" t="s">
        <v>1117</v>
      </c>
      <c r="O21" s="3421" t="s">
        <v>1118</v>
      </c>
      <c r="P21" s="3421" t="s">
        <v>1112</v>
      </c>
      <c r="Q21" s="3421" t="s">
        <v>1132</v>
      </c>
      <c r="R21" s="3421" t="s">
        <v>1142</v>
      </c>
      <c r="S21" s="3421" t="s">
        <v>2991</v>
      </c>
      <c r="T21" s="3421" t="s">
        <v>3012</v>
      </c>
    </row>
    <row r="22" spans="1:20" ht="14.25" customHeight="1">
      <c r="A22" s="3421" t="s">
        <v>1031</v>
      </c>
      <c r="B22" s="1286" t="s">
        <v>1062</v>
      </c>
      <c r="C22" s="3421">
        <v>29830</v>
      </c>
      <c r="D22" s="3421">
        <v>27600</v>
      </c>
      <c r="E22" s="3421">
        <v>28150</v>
      </c>
      <c r="F22" s="3427"/>
      <c r="G22" s="3428">
        <v>20080</v>
      </c>
      <c r="L22" s="3430" t="s">
        <v>2820</v>
      </c>
      <c r="M22" s="3421" t="s">
        <v>1120</v>
      </c>
      <c r="N22" s="3421" t="s">
        <v>1121</v>
      </c>
      <c r="O22" s="3421" t="s">
        <v>1122</v>
      </c>
      <c r="P22" s="3421" t="s">
        <v>2897</v>
      </c>
      <c r="Q22" s="3421" t="s">
        <v>1135</v>
      </c>
      <c r="R22" s="3421" t="s">
        <v>1144</v>
      </c>
      <c r="S22" s="3421" t="s">
        <v>1091</v>
      </c>
      <c r="T22" s="1286"/>
    </row>
    <row r="23" spans="1:20" ht="14.25" customHeight="1">
      <c r="A23" s="3421" t="s">
        <v>1031</v>
      </c>
      <c r="B23" s="1286" t="s">
        <v>1070</v>
      </c>
      <c r="C23" s="3421">
        <v>27800</v>
      </c>
      <c r="D23" s="3421">
        <v>26900</v>
      </c>
      <c r="E23" s="3421">
        <v>27170</v>
      </c>
      <c r="F23" s="3427"/>
      <c r="G23" s="3428">
        <v>19570</v>
      </c>
      <c r="L23" s="3430" t="s">
        <v>2821</v>
      </c>
      <c r="M23" s="3421" t="s">
        <v>1127</v>
      </c>
      <c r="N23" s="3421" t="s">
        <v>1128</v>
      </c>
      <c r="O23" s="3421" t="s">
        <v>2851</v>
      </c>
      <c r="P23" s="3421" t="s">
        <v>2898</v>
      </c>
      <c r="Q23" s="3421" t="s">
        <v>1138</v>
      </c>
      <c r="R23" s="3421" t="s">
        <v>1147</v>
      </c>
      <c r="S23" s="3421" t="s">
        <v>2992</v>
      </c>
    </row>
    <row r="24" spans="1:20" ht="14.25" customHeight="1">
      <c r="A24" s="3421" t="s">
        <v>1031</v>
      </c>
      <c r="B24" s="1286" t="s">
        <v>1078</v>
      </c>
      <c r="C24" s="3421">
        <v>27930</v>
      </c>
      <c r="D24" s="3421">
        <v>32260</v>
      </c>
      <c r="E24" s="3421">
        <v>32120</v>
      </c>
      <c r="F24" s="3427"/>
      <c r="G24" s="3428">
        <v>23470</v>
      </c>
      <c r="L24" s="3430" t="s">
        <v>2822</v>
      </c>
      <c r="M24" s="3421" t="s">
        <v>1130</v>
      </c>
      <c r="N24" s="3421" t="s">
        <v>1131</v>
      </c>
      <c r="O24" s="3421" t="s">
        <v>2852</v>
      </c>
      <c r="P24" s="3421" t="s">
        <v>1134</v>
      </c>
      <c r="Q24" s="3421" t="s">
        <v>2927</v>
      </c>
      <c r="R24" s="3421" t="s">
        <v>2955</v>
      </c>
      <c r="S24" s="3421" t="s">
        <v>2993</v>
      </c>
    </row>
    <row r="25" spans="1:20" ht="14.25" customHeight="1">
      <c r="A25" s="3421" t="s">
        <v>1031</v>
      </c>
      <c r="B25" s="1286" t="s">
        <v>1083</v>
      </c>
      <c r="C25" s="3421">
        <v>32230</v>
      </c>
      <c r="D25" s="3421">
        <v>29640</v>
      </c>
      <c r="E25" s="3421">
        <v>29510</v>
      </c>
      <c r="F25" s="3427"/>
      <c r="G25" s="3428">
        <v>21560</v>
      </c>
      <c r="L25" s="3430" t="s">
        <v>2823</v>
      </c>
      <c r="M25" s="3421" t="s">
        <v>2826</v>
      </c>
      <c r="N25" s="3421" t="s">
        <v>1133</v>
      </c>
      <c r="O25" s="3421" t="s">
        <v>1141</v>
      </c>
      <c r="P25" s="3421" t="s">
        <v>1137</v>
      </c>
      <c r="Q25" s="3421" t="s">
        <v>1124</v>
      </c>
      <c r="R25" s="3421" t="s">
        <v>1119</v>
      </c>
      <c r="S25" s="3421" t="s">
        <v>2994</v>
      </c>
    </row>
    <row r="26" spans="1:20" ht="14.25" customHeight="1">
      <c r="A26" s="3421" t="s">
        <v>1031</v>
      </c>
      <c r="B26" s="1286" t="s">
        <v>1092</v>
      </c>
      <c r="C26" s="3421">
        <v>31690</v>
      </c>
      <c r="D26" s="3421">
        <v>27650</v>
      </c>
      <c r="E26" s="3421">
        <v>28200</v>
      </c>
      <c r="F26" s="3427"/>
      <c r="G26" s="3428">
        <v>20110</v>
      </c>
      <c r="L26" s="3430" t="s">
        <v>2824</v>
      </c>
      <c r="M26" s="3421" t="s">
        <v>2827</v>
      </c>
      <c r="N26" s="3421" t="s">
        <v>1136</v>
      </c>
      <c r="O26" s="3421" t="s">
        <v>1143</v>
      </c>
      <c r="P26" s="3421" t="s">
        <v>2899</v>
      </c>
      <c r="Q26" s="3421" t="s">
        <v>2928</v>
      </c>
      <c r="R26" s="3421" t="s">
        <v>1125</v>
      </c>
      <c r="S26" s="3421" t="s">
        <v>2995</v>
      </c>
    </row>
    <row r="27" spans="1:20" ht="14.25" customHeight="1">
      <c r="A27" s="3421" t="s">
        <v>1031</v>
      </c>
      <c r="B27" s="1286" t="s">
        <v>1099</v>
      </c>
      <c r="C27" s="3421">
        <v>29610</v>
      </c>
      <c r="D27" s="3421">
        <v>27770</v>
      </c>
      <c r="E27" s="3421">
        <v>28300</v>
      </c>
      <c r="F27" s="3427"/>
      <c r="G27" s="3428">
        <v>20210</v>
      </c>
      <c r="M27" s="3421" t="s">
        <v>2828</v>
      </c>
      <c r="N27" s="3421" t="s">
        <v>1140</v>
      </c>
      <c r="O27" s="3421" t="s">
        <v>1146</v>
      </c>
      <c r="P27" s="3421" t="s">
        <v>1123</v>
      </c>
      <c r="Q27" s="3421" t="s">
        <v>2929</v>
      </c>
      <c r="R27" s="3421" t="s">
        <v>2956</v>
      </c>
      <c r="S27" s="3421" t="s">
        <v>2996</v>
      </c>
    </row>
    <row r="28" spans="1:20" ht="14.25" customHeight="1">
      <c r="A28" s="3435" t="s">
        <v>1031</v>
      </c>
      <c r="B28" s="2598" t="s">
        <v>1107</v>
      </c>
      <c r="C28" s="1284"/>
      <c r="D28" s="1284">
        <v>31520</v>
      </c>
      <c r="E28" s="1284">
        <v>31410</v>
      </c>
      <c r="F28" s="3432"/>
      <c r="G28" s="3433">
        <v>22940</v>
      </c>
      <c r="M28" s="3421" t="s">
        <v>2829</v>
      </c>
      <c r="N28" s="3421" t="s">
        <v>2836</v>
      </c>
      <c r="O28" s="3421" t="s">
        <v>2853</v>
      </c>
      <c r="P28" s="3421" t="s">
        <v>2900</v>
      </c>
      <c r="Q28" s="3421" t="s">
        <v>2930</v>
      </c>
      <c r="R28" s="3421" t="s">
        <v>2957</v>
      </c>
      <c r="S28" s="3430" t="s">
        <v>2997</v>
      </c>
    </row>
    <row r="29" spans="1:20" ht="14.25" customHeight="1" thickBot="1">
      <c r="A29" s="3436" t="s">
        <v>1031</v>
      </c>
      <c r="B29" s="3424" t="s">
        <v>2818</v>
      </c>
      <c r="C29" s="3424"/>
      <c r="D29" s="3424">
        <v>29460</v>
      </c>
      <c r="E29" s="3424">
        <v>28640</v>
      </c>
      <c r="F29" s="3425"/>
      <c r="G29" s="3437">
        <v>21430</v>
      </c>
      <c r="M29" s="3430" t="s">
        <v>2830</v>
      </c>
      <c r="N29" s="3421" t="s">
        <v>2837</v>
      </c>
      <c r="O29" s="3421" t="s">
        <v>2854</v>
      </c>
      <c r="P29" s="3421" t="s">
        <v>2901</v>
      </c>
      <c r="Q29" s="3421" t="s">
        <v>2931</v>
      </c>
      <c r="R29" s="3421" t="s">
        <v>2958</v>
      </c>
      <c r="S29" s="3430" t="s">
        <v>1129</v>
      </c>
    </row>
    <row r="30" spans="1:20" ht="14.25" customHeight="1">
      <c r="A30" s="3435" t="s">
        <v>1145</v>
      </c>
      <c r="B30" s="1286" t="s">
        <v>2819</v>
      </c>
      <c r="C30" s="1286">
        <v>26890</v>
      </c>
      <c r="D30" s="1286">
        <v>26770</v>
      </c>
      <c r="E30" s="1286">
        <v>25700</v>
      </c>
      <c r="F30" s="3422">
        <v>8180</v>
      </c>
      <c r="G30" s="3422">
        <v>18740</v>
      </c>
      <c r="I30" s="1019"/>
      <c r="M30" s="3430" t="s">
        <v>2831</v>
      </c>
      <c r="N30" s="3421" t="s">
        <v>2838</v>
      </c>
      <c r="O30" s="3421" t="s">
        <v>2855</v>
      </c>
      <c r="P30" s="3421" t="s">
        <v>2902</v>
      </c>
      <c r="Q30" s="3421" t="s">
        <v>2932</v>
      </c>
      <c r="R30" s="3421" t="s">
        <v>2959</v>
      </c>
      <c r="S30" s="3430" t="s">
        <v>2998</v>
      </c>
    </row>
    <row r="31" spans="1:20" ht="14.25" customHeight="1">
      <c r="A31" s="3421" t="s">
        <v>1145</v>
      </c>
      <c r="B31" s="1286" t="s">
        <v>974</v>
      </c>
      <c r="C31" s="3421">
        <v>24550</v>
      </c>
      <c r="D31" s="3421">
        <v>23990</v>
      </c>
      <c r="E31" s="3421">
        <v>22930</v>
      </c>
      <c r="F31" s="3427">
        <v>7470</v>
      </c>
      <c r="G31" s="3427">
        <v>16790</v>
      </c>
      <c r="I31" s="1019"/>
      <c r="M31" s="3430" t="s">
        <v>2832</v>
      </c>
      <c r="N31" s="3421" t="s">
        <v>2839</v>
      </c>
      <c r="O31" s="3421" t="s">
        <v>2856</v>
      </c>
      <c r="P31" s="3421" t="s">
        <v>2903</v>
      </c>
      <c r="Q31" s="3421" t="s">
        <v>2933</v>
      </c>
      <c r="R31" s="3421" t="s">
        <v>2960</v>
      </c>
      <c r="S31" s="3430" t="s">
        <v>2999</v>
      </c>
    </row>
    <row r="32" spans="1:20" ht="14.25" customHeight="1">
      <c r="A32" s="3421" t="s">
        <v>1145</v>
      </c>
      <c r="B32" s="1286" t="s">
        <v>984</v>
      </c>
      <c r="C32" s="3421">
        <v>27210</v>
      </c>
      <c r="D32" s="3421">
        <v>23240</v>
      </c>
      <c r="E32" s="3421">
        <v>23260</v>
      </c>
      <c r="F32" s="3427">
        <v>7130</v>
      </c>
      <c r="G32" s="3427">
        <v>16270</v>
      </c>
      <c r="I32" s="1019"/>
      <c r="M32" s="3430" t="s">
        <v>2833</v>
      </c>
      <c r="N32" s="3421" t="s">
        <v>2840</v>
      </c>
      <c r="O32" s="3421" t="s">
        <v>1149</v>
      </c>
      <c r="P32" s="3421" t="s">
        <v>2904</v>
      </c>
      <c r="Q32" s="3421" t="s">
        <v>1148</v>
      </c>
      <c r="R32" s="3421" t="s">
        <v>2961</v>
      </c>
      <c r="S32" s="3430" t="s">
        <v>3000</v>
      </c>
    </row>
    <row r="33" spans="1:18" ht="14.25" customHeight="1">
      <c r="A33" s="3421" t="s">
        <v>1145</v>
      </c>
      <c r="B33" s="1286" t="s">
        <v>993</v>
      </c>
      <c r="C33" s="3421">
        <v>27300</v>
      </c>
      <c r="D33" s="3421">
        <v>22980</v>
      </c>
      <c r="E33" s="3421">
        <v>24260</v>
      </c>
      <c r="F33" s="3427">
        <v>5860</v>
      </c>
      <c r="G33" s="3427">
        <v>16090</v>
      </c>
      <c r="I33" s="1019"/>
      <c r="M33" s="3430" t="s">
        <v>2834</v>
      </c>
      <c r="N33" s="3421" t="s">
        <v>2841</v>
      </c>
      <c r="O33" s="3421" t="s">
        <v>1150</v>
      </c>
      <c r="P33" s="3421" t="s">
        <v>2905</v>
      </c>
      <c r="Q33" s="3421" t="s">
        <v>2934</v>
      </c>
      <c r="R33" s="3421" t="s">
        <v>2962</v>
      </c>
    </row>
    <row r="34" spans="1:18" ht="14.25" customHeight="1">
      <c r="A34" s="3421" t="s">
        <v>1145</v>
      </c>
      <c r="B34" s="1286" t="s">
        <v>1003</v>
      </c>
      <c r="C34" s="3421">
        <v>23090</v>
      </c>
      <c r="D34" s="3421">
        <v>23390</v>
      </c>
      <c r="E34" s="3421">
        <v>23510</v>
      </c>
      <c r="F34" s="3427">
        <v>6700</v>
      </c>
      <c r="G34" s="3427">
        <v>16370</v>
      </c>
      <c r="I34" s="1019"/>
      <c r="N34" s="3421" t="s">
        <v>2842</v>
      </c>
      <c r="O34" s="3421" t="s">
        <v>1151</v>
      </c>
      <c r="P34" s="3421" t="s">
        <v>2906</v>
      </c>
      <c r="Q34" s="3421" t="s">
        <v>2935</v>
      </c>
      <c r="R34" s="3421" t="s">
        <v>2963</v>
      </c>
    </row>
    <row r="35" spans="1:18" ht="14.25" customHeight="1">
      <c r="A35" s="3421" t="s">
        <v>1145</v>
      </c>
      <c r="B35" s="1286" t="s">
        <v>1010</v>
      </c>
      <c r="C35" s="3421">
        <v>27270</v>
      </c>
      <c r="D35" s="3421">
        <v>24270</v>
      </c>
      <c r="E35" s="3421">
        <v>24950</v>
      </c>
      <c r="F35" s="3427">
        <v>6600</v>
      </c>
      <c r="G35" s="3427">
        <v>16990</v>
      </c>
      <c r="I35" s="1019"/>
      <c r="N35" s="3421" t="s">
        <v>2843</v>
      </c>
      <c r="O35" s="3421" t="s">
        <v>2857</v>
      </c>
      <c r="P35" s="3421" t="s">
        <v>2907</v>
      </c>
      <c r="Q35" s="3421" t="s">
        <v>2936</v>
      </c>
      <c r="R35" s="3421" t="s">
        <v>2964</v>
      </c>
    </row>
    <row r="36" spans="1:18" ht="14.25" customHeight="1">
      <c r="A36" s="3421" t="s">
        <v>1145</v>
      </c>
      <c r="B36" s="1286" t="s">
        <v>1016</v>
      </c>
      <c r="C36" s="3421">
        <v>23490</v>
      </c>
      <c r="D36" s="3421">
        <v>23020</v>
      </c>
      <c r="E36" s="3421">
        <v>25230</v>
      </c>
      <c r="F36" s="3427">
        <v>6780</v>
      </c>
      <c r="G36" s="3427">
        <v>16120</v>
      </c>
      <c r="I36" s="1019"/>
      <c r="N36" s="3430" t="s">
        <v>2844</v>
      </c>
      <c r="O36" s="3458" t="s">
        <v>2858</v>
      </c>
      <c r="P36" s="3421" t="s">
        <v>2908</v>
      </c>
      <c r="Q36" s="3421" t="s">
        <v>2937</v>
      </c>
      <c r="R36" s="3421" t="s">
        <v>2965</v>
      </c>
    </row>
    <row r="37" spans="1:18" ht="14.25" customHeight="1">
      <c r="A37" s="3421" t="s">
        <v>1145</v>
      </c>
      <c r="B37" s="1286" t="s">
        <v>1023</v>
      </c>
      <c r="C37" s="3421">
        <v>24380</v>
      </c>
      <c r="D37" s="3421">
        <v>22240</v>
      </c>
      <c r="E37" s="3421">
        <v>25980</v>
      </c>
      <c r="F37" s="3427">
        <v>8160</v>
      </c>
      <c r="G37" s="3427">
        <v>15570</v>
      </c>
      <c r="I37" s="1020"/>
      <c r="N37" s="3430" t="s">
        <v>2845</v>
      </c>
      <c r="O37" s="3458" t="s">
        <v>2859</v>
      </c>
      <c r="P37" s="3421" t="s">
        <v>2909</v>
      </c>
      <c r="Q37" s="3421" t="s">
        <v>2938</v>
      </c>
      <c r="R37" s="3421" t="s">
        <v>2966</v>
      </c>
    </row>
    <row r="38" spans="1:18" ht="14.25" customHeight="1">
      <c r="A38" s="3421" t="s">
        <v>1145</v>
      </c>
      <c r="B38" s="1286" t="s">
        <v>1033</v>
      </c>
      <c r="C38" s="3421">
        <v>23120</v>
      </c>
      <c r="D38" s="3421">
        <v>24630</v>
      </c>
      <c r="E38" s="3421">
        <v>25030</v>
      </c>
      <c r="F38" s="3427">
        <v>7710</v>
      </c>
      <c r="G38" s="3427">
        <v>17240</v>
      </c>
      <c r="I38" s="1021"/>
      <c r="N38" s="3430" t="s">
        <v>2846</v>
      </c>
      <c r="O38" s="3458" t="s">
        <v>2860</v>
      </c>
      <c r="P38" s="3421" t="s">
        <v>2910</v>
      </c>
      <c r="Q38" s="3421" t="s">
        <v>2939</v>
      </c>
      <c r="R38" s="3421" t="s">
        <v>2967</v>
      </c>
    </row>
    <row r="39" spans="1:18" ht="14.25" customHeight="1">
      <c r="A39" s="3421" t="s">
        <v>1145</v>
      </c>
      <c r="B39" s="1286" t="s">
        <v>1042</v>
      </c>
      <c r="C39" s="3421">
        <v>22330</v>
      </c>
      <c r="D39" s="3421">
        <v>21140</v>
      </c>
      <c r="E39" s="3421">
        <v>23970</v>
      </c>
      <c r="F39" s="3427">
        <v>7940</v>
      </c>
      <c r="G39" s="3427">
        <v>14790</v>
      </c>
      <c r="I39" s="1021"/>
      <c r="N39" s="3430" t="s">
        <v>2847</v>
      </c>
      <c r="O39" s="3458" t="s">
        <v>2861</v>
      </c>
      <c r="P39" s="3421" t="s">
        <v>2911</v>
      </c>
      <c r="Q39" s="3421" t="s">
        <v>2940</v>
      </c>
      <c r="R39" s="3421" t="s">
        <v>2968</v>
      </c>
    </row>
    <row r="40" spans="1:18" ht="14.25" customHeight="1">
      <c r="A40" s="3421" t="s">
        <v>1145</v>
      </c>
      <c r="B40" s="1286" t="s">
        <v>1049</v>
      </c>
      <c r="C40" s="3421">
        <v>24740</v>
      </c>
      <c r="D40" s="3421">
        <v>24690</v>
      </c>
      <c r="E40" s="3421">
        <v>22610</v>
      </c>
      <c r="F40" s="3427"/>
      <c r="G40" s="3427">
        <v>17280</v>
      </c>
      <c r="I40" s="1021"/>
      <c r="N40" s="3430" t="s">
        <v>2848</v>
      </c>
      <c r="O40" s="3458" t="s">
        <v>2862</v>
      </c>
      <c r="P40" s="3421" t="s">
        <v>2912</v>
      </c>
      <c r="Q40" s="3421" t="s">
        <v>2941</v>
      </c>
      <c r="R40" s="3421" t="s">
        <v>2969</v>
      </c>
    </row>
    <row r="41" spans="1:18" ht="14.25" customHeight="1">
      <c r="A41" s="3421" t="s">
        <v>1145</v>
      </c>
      <c r="B41" s="1286" t="s">
        <v>1056</v>
      </c>
      <c r="C41" s="3421">
        <v>21220</v>
      </c>
      <c r="D41" s="3421">
        <v>21120</v>
      </c>
      <c r="E41" s="3421">
        <v>22590</v>
      </c>
      <c r="F41" s="3427"/>
      <c r="G41" s="3427">
        <v>14780</v>
      </c>
      <c r="I41" s="1021"/>
      <c r="N41" s="3430" t="s">
        <v>2849</v>
      </c>
      <c r="O41" s="3459" t="s">
        <v>2863</v>
      </c>
      <c r="P41" s="1286" t="s">
        <v>2913</v>
      </c>
      <c r="Q41" s="3430" t="s">
        <v>2942</v>
      </c>
      <c r="R41" s="1286" t="s">
        <v>2970</v>
      </c>
    </row>
    <row r="42" spans="1:18" ht="14.25" customHeight="1">
      <c r="A42" s="3421" t="s">
        <v>1145</v>
      </c>
      <c r="B42" s="1286" t="s">
        <v>1063</v>
      </c>
      <c r="C42" s="3421">
        <v>24800</v>
      </c>
      <c r="D42" s="3421">
        <v>22280</v>
      </c>
      <c r="E42" s="3421">
        <v>24350</v>
      </c>
      <c r="F42" s="3427"/>
      <c r="G42" s="3427">
        <v>15590</v>
      </c>
      <c r="I42" s="1021"/>
      <c r="O42" s="3421" t="s">
        <v>2864</v>
      </c>
      <c r="P42" s="3421" t="s">
        <v>2914</v>
      </c>
      <c r="Q42" s="3430" t="s">
        <v>2943</v>
      </c>
      <c r="R42" s="3421" t="s">
        <v>2971</v>
      </c>
    </row>
    <row r="43" spans="1:18" ht="14.25" customHeight="1">
      <c r="A43" s="3421" t="s">
        <v>1145</v>
      </c>
      <c r="B43" s="1286" t="s">
        <v>1071</v>
      </c>
      <c r="C43" s="3421">
        <v>21210</v>
      </c>
      <c r="D43" s="3421">
        <v>21160</v>
      </c>
      <c r="E43" s="3421">
        <v>22650</v>
      </c>
      <c r="F43" s="3427"/>
      <c r="G43" s="3427">
        <v>14800</v>
      </c>
      <c r="I43" s="1021"/>
      <c r="O43" s="3421" t="s">
        <v>2865</v>
      </c>
      <c r="P43" s="3421" t="s">
        <v>2915</v>
      </c>
      <c r="Q43" s="3430" t="s">
        <v>2944</v>
      </c>
      <c r="R43" s="3421" t="s">
        <v>2972</v>
      </c>
    </row>
    <row r="44" spans="1:18" ht="14.25" customHeight="1">
      <c r="A44" s="3421" t="s">
        <v>1145</v>
      </c>
      <c r="B44" s="1286" t="s">
        <v>1079</v>
      </c>
      <c r="C44" s="3421">
        <v>22370</v>
      </c>
      <c r="D44" s="3421">
        <v>23140</v>
      </c>
      <c r="E44" s="3421">
        <v>25090</v>
      </c>
      <c r="F44" s="3427"/>
      <c r="G44" s="3427">
        <v>16190</v>
      </c>
      <c r="I44" s="1021"/>
      <c r="O44" s="3421" t="s">
        <v>2866</v>
      </c>
      <c r="P44" s="3421" t="s">
        <v>2916</v>
      </c>
      <c r="Q44" s="3430" t="s">
        <v>2945</v>
      </c>
      <c r="R44" s="3421" t="s">
        <v>2973</v>
      </c>
    </row>
    <row r="45" spans="1:18" ht="14.25" customHeight="1">
      <c r="A45" s="3421" t="s">
        <v>1145</v>
      </c>
      <c r="B45" s="1286" t="s">
        <v>1084</v>
      </c>
      <c r="C45" s="3421">
        <v>21240</v>
      </c>
      <c r="D45" s="3421">
        <v>27050</v>
      </c>
      <c r="E45" s="3421">
        <v>28000</v>
      </c>
      <c r="F45" s="3427"/>
      <c r="G45" s="3427">
        <v>18940</v>
      </c>
      <c r="I45" s="1019"/>
      <c r="O45" s="3421" t="s">
        <v>2867</v>
      </c>
      <c r="P45" s="3421" t="s">
        <v>2917</v>
      </c>
      <c r="R45" s="3421" t="s">
        <v>2974</v>
      </c>
    </row>
    <row r="46" spans="1:18" ht="14.25" customHeight="1">
      <c r="A46" s="3421" t="s">
        <v>1145</v>
      </c>
      <c r="B46" s="1286" t="s">
        <v>1093</v>
      </c>
      <c r="C46" s="3421">
        <v>23240</v>
      </c>
      <c r="D46" s="3421">
        <v>23000</v>
      </c>
      <c r="E46" s="3421">
        <v>24980</v>
      </c>
      <c r="F46" s="3427"/>
      <c r="G46" s="3427">
        <v>16100</v>
      </c>
      <c r="I46" s="1021"/>
      <c r="O46" s="3421" t="s">
        <v>2868</v>
      </c>
      <c r="P46" s="3421"/>
      <c r="R46" s="3421" t="s">
        <v>2975</v>
      </c>
    </row>
    <row r="47" spans="1:18" ht="14.25" customHeight="1">
      <c r="A47" s="3421" t="s">
        <v>1145</v>
      </c>
      <c r="B47" s="2598" t="s">
        <v>1100</v>
      </c>
      <c r="C47" s="1284">
        <v>27150</v>
      </c>
      <c r="D47" s="1284">
        <v>23310</v>
      </c>
      <c r="E47" s="1284">
        <v>25150</v>
      </c>
      <c r="F47" s="3432"/>
      <c r="G47" s="3432">
        <v>16310</v>
      </c>
      <c r="I47" s="1021"/>
      <c r="O47" s="3421" t="s">
        <v>2869</v>
      </c>
      <c r="P47" s="3421"/>
      <c r="R47" s="3430" t="s">
        <v>2976</v>
      </c>
    </row>
    <row r="48" spans="1:18" ht="14.25" customHeight="1">
      <c r="A48" s="3421" t="s">
        <v>1145</v>
      </c>
      <c r="B48" s="3421" t="s">
        <v>1108</v>
      </c>
      <c r="C48" s="3421">
        <v>23100</v>
      </c>
      <c r="D48" s="3421">
        <v>21110</v>
      </c>
      <c r="E48" s="3421">
        <v>23080</v>
      </c>
      <c r="F48" s="3427"/>
      <c r="G48" s="3434">
        <v>14780</v>
      </c>
      <c r="I48" s="1019"/>
      <c r="O48" s="3421" t="s">
        <v>2870</v>
      </c>
      <c r="P48" s="3421"/>
      <c r="R48" s="3430" t="s">
        <v>2977</v>
      </c>
    </row>
    <row r="49" spans="1:18" ht="14.25" customHeight="1">
      <c r="A49" s="3421" t="s">
        <v>1145</v>
      </c>
      <c r="B49" s="1286" t="s">
        <v>1115</v>
      </c>
      <c r="C49" s="1286">
        <v>23400</v>
      </c>
      <c r="D49" s="1286">
        <v>22920</v>
      </c>
      <c r="E49" s="1286">
        <v>24900</v>
      </c>
      <c r="F49" s="3422"/>
      <c r="G49" s="3422">
        <v>16040</v>
      </c>
      <c r="I49" s="1021"/>
      <c r="O49" s="3421" t="s">
        <v>2871</v>
      </c>
      <c r="P49" s="3421"/>
      <c r="R49" s="3430" t="s">
        <v>2978</v>
      </c>
    </row>
    <row r="50" spans="1:18" ht="14.25" customHeight="1">
      <c r="A50" s="3421" t="s">
        <v>1145</v>
      </c>
      <c r="B50" s="3421" t="s">
        <v>2820</v>
      </c>
      <c r="C50" s="3421">
        <v>21200</v>
      </c>
      <c r="D50" s="3421">
        <v>26540</v>
      </c>
      <c r="E50" s="3421">
        <v>23200</v>
      </c>
      <c r="F50" s="3427"/>
      <c r="G50" s="3427">
        <v>18580</v>
      </c>
      <c r="I50" s="1021"/>
      <c r="O50" s="3430" t="s">
        <v>2872</v>
      </c>
      <c r="R50" s="3430" t="s">
        <v>2979</v>
      </c>
    </row>
    <row r="51" spans="1:18" ht="14.25" customHeight="1">
      <c r="A51" s="3421" t="s">
        <v>1145</v>
      </c>
      <c r="B51" s="3421" t="s">
        <v>2821</v>
      </c>
      <c r="C51" s="3421">
        <v>23000</v>
      </c>
      <c r="D51" s="3421">
        <v>23460</v>
      </c>
      <c r="E51" s="3421">
        <v>25290</v>
      </c>
      <c r="F51" s="3427"/>
      <c r="G51" s="3427">
        <v>16420</v>
      </c>
      <c r="I51" s="1021"/>
      <c r="O51" s="3430" t="s">
        <v>2873</v>
      </c>
      <c r="R51" s="3430" t="s">
        <v>2980</v>
      </c>
    </row>
    <row r="52" spans="1:18" ht="14.25" customHeight="1">
      <c r="A52" s="3421" t="s">
        <v>1145</v>
      </c>
      <c r="B52" s="3421" t="s">
        <v>2822</v>
      </c>
      <c r="C52" s="3421">
        <v>26660</v>
      </c>
      <c r="D52" s="3421">
        <v>22350</v>
      </c>
      <c r="E52" s="3421">
        <v>22920</v>
      </c>
      <c r="F52" s="3427"/>
      <c r="G52" s="3427">
        <v>15640</v>
      </c>
      <c r="I52" s="1021"/>
      <c r="O52" s="3430" t="s">
        <v>2874</v>
      </c>
    </row>
    <row r="53" spans="1:18" ht="14.25" customHeight="1">
      <c r="A53" s="3421" t="s">
        <v>1145</v>
      </c>
      <c r="B53" s="3421" t="s">
        <v>2823</v>
      </c>
      <c r="C53" s="3421">
        <v>23580</v>
      </c>
      <c r="D53" s="3421"/>
      <c r="E53" s="3421">
        <v>24280</v>
      </c>
      <c r="F53" s="3427"/>
      <c r="G53" s="3427"/>
      <c r="I53" s="1021"/>
      <c r="O53" s="3430" t="s">
        <v>2875</v>
      </c>
    </row>
    <row r="54" spans="1:18" ht="14.25" customHeight="1" thickBot="1">
      <c r="A54" s="3436" t="s">
        <v>1145</v>
      </c>
      <c r="B54" s="3424" t="s">
        <v>2824</v>
      </c>
      <c r="C54" s="3424">
        <v>22460</v>
      </c>
      <c r="D54" s="3424"/>
      <c r="E54" s="3424"/>
      <c r="F54" s="3425"/>
      <c r="G54" s="3437"/>
      <c r="I54" s="1021"/>
      <c r="O54" s="3430" t="s">
        <v>2876</v>
      </c>
    </row>
    <row r="55" spans="1:18" ht="14.25" customHeight="1">
      <c r="A55" s="3435" t="s">
        <v>853</v>
      </c>
      <c r="B55" s="1286" t="s">
        <v>2825</v>
      </c>
      <c r="C55" s="1286">
        <v>21970</v>
      </c>
      <c r="D55" s="1286">
        <v>20370</v>
      </c>
      <c r="E55" s="1286">
        <v>20180</v>
      </c>
      <c r="F55" s="3422">
        <v>5730</v>
      </c>
      <c r="G55" s="3422">
        <v>13820</v>
      </c>
      <c r="I55" s="1021"/>
      <c r="O55" s="3430" t="s">
        <v>2877</v>
      </c>
    </row>
    <row r="56" spans="1:18" ht="14.25" customHeight="1">
      <c r="A56" s="3421" t="s">
        <v>853</v>
      </c>
      <c r="B56" s="3421" t="s">
        <v>975</v>
      </c>
      <c r="C56" s="3421">
        <v>20470</v>
      </c>
      <c r="D56" s="3421">
        <v>20700</v>
      </c>
      <c r="E56" s="3421">
        <v>20380</v>
      </c>
      <c r="F56" s="3427">
        <v>4760</v>
      </c>
      <c r="G56" s="3427">
        <v>14050</v>
      </c>
      <c r="I56" s="1021"/>
      <c r="O56" s="3430" t="s">
        <v>2878</v>
      </c>
    </row>
    <row r="57" spans="1:18" ht="14.25" customHeight="1">
      <c r="A57" s="3421" t="s">
        <v>853</v>
      </c>
      <c r="B57" s="3421" t="s">
        <v>985</v>
      </c>
      <c r="C57" s="3421">
        <v>20790</v>
      </c>
      <c r="D57" s="3421">
        <v>21370</v>
      </c>
      <c r="E57" s="3421">
        <v>20890</v>
      </c>
      <c r="F57" s="3427">
        <v>4910</v>
      </c>
      <c r="G57" s="3427">
        <v>14510</v>
      </c>
      <c r="I57" s="1021"/>
      <c r="O57" s="3430" t="s">
        <v>2879</v>
      </c>
    </row>
    <row r="58" spans="1:18" ht="14.25" customHeight="1">
      <c r="A58" s="3421" t="s">
        <v>853</v>
      </c>
      <c r="B58" s="3421" t="s">
        <v>994</v>
      </c>
      <c r="C58" s="3421">
        <v>21460</v>
      </c>
      <c r="D58" s="3421">
        <v>20920</v>
      </c>
      <c r="E58" s="3421">
        <v>23410</v>
      </c>
      <c r="F58" s="3427">
        <v>5100</v>
      </c>
      <c r="G58" s="3427">
        <v>14200</v>
      </c>
      <c r="I58" s="1021"/>
      <c r="O58" s="3430" t="s">
        <v>2880</v>
      </c>
    </row>
    <row r="59" spans="1:18" ht="14.25" customHeight="1">
      <c r="A59" s="3421" t="s">
        <v>853</v>
      </c>
      <c r="B59" s="3421" t="s">
        <v>1004</v>
      </c>
      <c r="C59" s="3421">
        <v>21000</v>
      </c>
      <c r="D59" s="3421">
        <v>21550</v>
      </c>
      <c r="E59" s="3421">
        <v>21150</v>
      </c>
      <c r="F59" s="3427">
        <v>5250</v>
      </c>
      <c r="G59" s="3427">
        <v>14630</v>
      </c>
      <c r="I59" s="1021"/>
      <c r="O59" s="3430" t="s">
        <v>2881</v>
      </c>
    </row>
    <row r="60" spans="1:18" ht="14.25" customHeight="1">
      <c r="A60" s="3421" t="s">
        <v>853</v>
      </c>
      <c r="B60" s="3421" t="s">
        <v>1011</v>
      </c>
      <c r="C60" s="3421">
        <v>21640</v>
      </c>
      <c r="D60" s="3421">
        <v>21260</v>
      </c>
      <c r="E60" s="3421">
        <v>24040</v>
      </c>
      <c r="F60" s="3427">
        <v>4470</v>
      </c>
      <c r="G60" s="3427">
        <v>14430</v>
      </c>
      <c r="I60" s="1021"/>
      <c r="O60" s="3430" t="s">
        <v>2882</v>
      </c>
    </row>
    <row r="61" spans="1:18" ht="14.25" customHeight="1">
      <c r="A61" s="3421" t="s">
        <v>853</v>
      </c>
      <c r="B61" s="3421" t="s">
        <v>1017</v>
      </c>
      <c r="C61" s="3421">
        <v>21330</v>
      </c>
      <c r="D61" s="3421">
        <v>18640</v>
      </c>
      <c r="E61" s="3421">
        <v>21190</v>
      </c>
      <c r="F61" s="3427">
        <v>4180</v>
      </c>
      <c r="G61" s="3429">
        <v>12650</v>
      </c>
      <c r="I61" s="1021"/>
      <c r="O61" s="3430" t="s">
        <v>2883</v>
      </c>
    </row>
    <row r="62" spans="1:18" ht="14.25" customHeight="1">
      <c r="A62" s="3421" t="s">
        <v>853</v>
      </c>
      <c r="B62" s="3421" t="s">
        <v>1024</v>
      </c>
      <c r="C62" s="3421">
        <v>18710</v>
      </c>
      <c r="D62" s="3421">
        <v>19400</v>
      </c>
      <c r="E62" s="3421">
        <v>23750</v>
      </c>
      <c r="F62" s="3427">
        <v>4860</v>
      </c>
      <c r="G62" s="3429">
        <v>13170</v>
      </c>
      <c r="I62" s="1021"/>
      <c r="O62" s="3430" t="s">
        <v>2884</v>
      </c>
    </row>
    <row r="63" spans="1:18" ht="14.25" customHeight="1">
      <c r="A63" s="3421" t="s">
        <v>853</v>
      </c>
      <c r="B63" s="3421" t="s">
        <v>1034</v>
      </c>
      <c r="C63" s="3421">
        <v>19480</v>
      </c>
      <c r="D63" s="3421">
        <v>16830</v>
      </c>
      <c r="E63" s="3421">
        <v>21590</v>
      </c>
      <c r="F63" s="3427">
        <v>4560</v>
      </c>
      <c r="G63" s="3429">
        <v>11420</v>
      </c>
      <c r="I63" s="1021"/>
      <c r="O63" s="3430" t="s">
        <v>2885</v>
      </c>
    </row>
    <row r="64" spans="1:18" ht="14.25" customHeight="1">
      <c r="A64" s="3421" t="s">
        <v>853</v>
      </c>
      <c r="B64" s="3421" t="s">
        <v>1043</v>
      </c>
      <c r="C64" s="3421">
        <v>16920</v>
      </c>
      <c r="D64" s="3421">
        <v>19190</v>
      </c>
      <c r="E64" s="3421">
        <v>22200</v>
      </c>
      <c r="F64" s="3427">
        <v>4390</v>
      </c>
      <c r="G64" s="3429">
        <v>13030</v>
      </c>
      <c r="I64" s="1021"/>
      <c r="O64" s="3430" t="s">
        <v>2886</v>
      </c>
    </row>
    <row r="65" spans="1:21" s="1008" customFormat="1" ht="14.25" customHeight="1">
      <c r="A65" s="3421" t="s">
        <v>853</v>
      </c>
      <c r="B65" s="3421" t="s">
        <v>1050</v>
      </c>
      <c r="C65" s="3421">
        <v>19290</v>
      </c>
      <c r="D65" s="3421">
        <v>17020</v>
      </c>
      <c r="E65" s="3421">
        <v>19880</v>
      </c>
      <c r="F65" s="3427">
        <v>4070</v>
      </c>
      <c r="G65" s="3427">
        <v>11550</v>
      </c>
      <c r="I65" s="1021"/>
      <c r="J65" s="3457"/>
      <c r="K65" s="3457"/>
      <c r="L65" s="3457"/>
      <c r="M65" s="3457"/>
      <c r="N65" s="3457"/>
      <c r="O65" s="3457"/>
      <c r="P65" s="3457"/>
      <c r="Q65" s="3457"/>
      <c r="R65" s="3457"/>
      <c r="S65" s="3457"/>
      <c r="T65" s="3457"/>
      <c r="U65" s="3457"/>
    </row>
    <row r="66" spans="1:21" s="1008" customFormat="1" ht="14.25" customHeight="1">
      <c r="A66" s="3421" t="s">
        <v>853</v>
      </c>
      <c r="B66" s="3421" t="s">
        <v>1057</v>
      </c>
      <c r="C66" s="3421">
        <v>17090</v>
      </c>
      <c r="D66" s="3421">
        <v>18340</v>
      </c>
      <c r="E66" s="3421">
        <v>21830</v>
      </c>
      <c r="F66" s="3427">
        <v>4690</v>
      </c>
      <c r="G66" s="3427">
        <v>12450</v>
      </c>
      <c r="I66" s="1021"/>
      <c r="J66" s="3457"/>
      <c r="K66" s="3457"/>
      <c r="L66" s="3457"/>
      <c r="M66" s="3457"/>
      <c r="N66" s="3457"/>
      <c r="O66" s="3457"/>
      <c r="P66" s="3457"/>
      <c r="Q66" s="3457"/>
      <c r="R66" s="3457"/>
      <c r="S66" s="3457"/>
      <c r="T66" s="3457"/>
      <c r="U66" s="3457"/>
    </row>
    <row r="67" spans="1:21" s="1008" customFormat="1" ht="14.25" customHeight="1">
      <c r="A67" s="3421" t="s">
        <v>853</v>
      </c>
      <c r="B67" s="3421" t="s">
        <v>1064</v>
      </c>
      <c r="C67" s="3421">
        <v>18420</v>
      </c>
      <c r="D67" s="3421">
        <v>16360</v>
      </c>
      <c r="E67" s="3421">
        <v>20020</v>
      </c>
      <c r="F67" s="3427">
        <v>5150</v>
      </c>
      <c r="G67" s="3427">
        <v>11110</v>
      </c>
      <c r="I67" s="1021"/>
      <c r="J67" s="3457"/>
      <c r="K67" s="3457"/>
      <c r="L67" s="3457"/>
      <c r="M67" s="3457"/>
      <c r="N67" s="3457"/>
      <c r="O67" s="3457"/>
      <c r="P67" s="3457"/>
      <c r="Q67" s="3457"/>
      <c r="R67" s="3457"/>
      <c r="S67" s="3457"/>
      <c r="T67" s="3457"/>
      <c r="U67" s="3457"/>
    </row>
    <row r="68" spans="1:21" s="1008" customFormat="1" ht="14.25" customHeight="1">
      <c r="A68" s="3421" t="s">
        <v>853</v>
      </c>
      <c r="B68" s="3421" t="s">
        <v>1072</v>
      </c>
      <c r="C68" s="3421">
        <v>16450</v>
      </c>
      <c r="D68" s="3421">
        <v>18430</v>
      </c>
      <c r="E68" s="3421">
        <v>21010</v>
      </c>
      <c r="F68" s="3427">
        <v>4720</v>
      </c>
      <c r="G68" s="3427">
        <v>12510</v>
      </c>
      <c r="I68" s="1021"/>
      <c r="J68" s="3457"/>
      <c r="K68" s="3457"/>
      <c r="L68" s="3457"/>
      <c r="M68" s="3457"/>
      <c r="N68" s="3457"/>
      <c r="O68" s="3457"/>
      <c r="P68" s="3457"/>
      <c r="Q68" s="3457"/>
      <c r="R68" s="3457"/>
      <c r="S68" s="3457"/>
      <c r="T68" s="3457"/>
      <c r="U68" s="3457"/>
    </row>
    <row r="69" spans="1:21" s="1008" customFormat="1" ht="14.25" customHeight="1">
      <c r="A69" s="3421" t="s">
        <v>853</v>
      </c>
      <c r="B69" s="3421" t="s">
        <v>1080</v>
      </c>
      <c r="C69" s="3421">
        <v>18510</v>
      </c>
      <c r="D69" s="3421">
        <v>16300</v>
      </c>
      <c r="E69" s="3421">
        <v>18830</v>
      </c>
      <c r="F69" s="3427">
        <v>5400</v>
      </c>
      <c r="G69" s="3427">
        <v>11070</v>
      </c>
      <c r="I69" s="1021"/>
      <c r="J69" s="3457"/>
      <c r="K69" s="3457"/>
      <c r="L69" s="3457"/>
      <c r="M69" s="3457"/>
      <c r="N69" s="3457"/>
      <c r="O69" s="3457"/>
      <c r="P69" s="3457"/>
      <c r="Q69" s="3457"/>
      <c r="R69" s="3457"/>
      <c r="S69" s="3457"/>
      <c r="T69" s="3457"/>
      <c r="U69" s="3457"/>
    </row>
    <row r="70" spans="1:21" s="1008" customFormat="1" ht="14.25" customHeight="1">
      <c r="A70" s="3421" t="s">
        <v>853</v>
      </c>
      <c r="B70" s="3421" t="s">
        <v>1085</v>
      </c>
      <c r="C70" s="3421">
        <v>16370</v>
      </c>
      <c r="D70" s="3421">
        <v>18620</v>
      </c>
      <c r="E70" s="3421">
        <v>21100</v>
      </c>
      <c r="F70" s="3427">
        <v>5700</v>
      </c>
      <c r="G70" s="3427">
        <v>12640</v>
      </c>
      <c r="I70" s="1021"/>
      <c r="J70" s="3457"/>
      <c r="K70" s="3457"/>
      <c r="L70" s="3457"/>
      <c r="M70" s="3457"/>
      <c r="N70" s="3457"/>
      <c r="O70" s="3457"/>
      <c r="P70" s="3457"/>
      <c r="Q70" s="3457"/>
      <c r="R70" s="3457"/>
      <c r="S70" s="3457"/>
      <c r="T70" s="3457"/>
      <c r="U70" s="3457"/>
    </row>
    <row r="71" spans="1:21" s="1008" customFormat="1" ht="14.25" customHeight="1">
      <c r="A71" s="3421" t="s">
        <v>853</v>
      </c>
      <c r="B71" s="3421" t="s">
        <v>1094</v>
      </c>
      <c r="C71" s="3421">
        <v>18700</v>
      </c>
      <c r="D71" s="3421">
        <v>16290</v>
      </c>
      <c r="E71" s="3421">
        <v>18760</v>
      </c>
      <c r="F71" s="3427">
        <v>4780</v>
      </c>
      <c r="G71" s="3427">
        <v>11050</v>
      </c>
      <c r="I71" s="1021"/>
      <c r="J71" s="3457"/>
      <c r="K71" s="3457"/>
      <c r="L71" s="3457"/>
      <c r="M71" s="3457"/>
      <c r="N71" s="3457"/>
      <c r="O71" s="3457"/>
      <c r="P71" s="3457"/>
      <c r="Q71" s="3457"/>
      <c r="R71" s="3457"/>
      <c r="S71" s="3457"/>
      <c r="T71" s="3457"/>
      <c r="U71" s="3457"/>
    </row>
    <row r="72" spans="1:21" s="1008" customFormat="1" ht="14.25" customHeight="1">
      <c r="A72" s="3421" t="s">
        <v>853</v>
      </c>
      <c r="B72" s="3421" t="s">
        <v>1101</v>
      </c>
      <c r="C72" s="3421">
        <v>16340</v>
      </c>
      <c r="D72" s="3421">
        <v>17520</v>
      </c>
      <c r="E72" s="3421">
        <v>21170</v>
      </c>
      <c r="F72" s="3427"/>
      <c r="G72" s="3427">
        <v>11900</v>
      </c>
      <c r="I72" s="1021"/>
      <c r="J72" s="3457"/>
      <c r="K72" s="3457"/>
      <c r="L72" s="3457"/>
      <c r="M72" s="3457"/>
      <c r="N72" s="3457"/>
      <c r="O72" s="3457"/>
      <c r="P72" s="3457"/>
      <c r="Q72" s="3457"/>
      <c r="R72" s="3457"/>
      <c r="S72" s="3457"/>
      <c r="T72" s="3457"/>
      <c r="U72" s="3457"/>
    </row>
    <row r="73" spans="1:21" s="1008" customFormat="1" ht="14.25" customHeight="1">
      <c r="A73" s="3421" t="s">
        <v>853</v>
      </c>
      <c r="B73" s="3421" t="s">
        <v>1109</v>
      </c>
      <c r="C73" s="3421">
        <v>17610</v>
      </c>
      <c r="D73" s="3421">
        <v>18520</v>
      </c>
      <c r="E73" s="3421">
        <v>18720</v>
      </c>
      <c r="F73" s="3427"/>
      <c r="G73" s="3427">
        <v>12570</v>
      </c>
      <c r="I73" s="1021"/>
      <c r="J73" s="3457"/>
      <c r="K73" s="3457"/>
      <c r="L73" s="3457"/>
      <c r="M73" s="3457"/>
      <c r="N73" s="3457"/>
      <c r="O73" s="3457"/>
      <c r="P73" s="3457"/>
      <c r="Q73" s="3457"/>
      <c r="R73" s="3457"/>
      <c r="S73" s="3457"/>
      <c r="T73" s="3457"/>
      <c r="U73" s="3457"/>
    </row>
    <row r="74" spans="1:21" s="1008" customFormat="1" ht="14.25" customHeight="1">
      <c r="A74" s="3421" t="s">
        <v>853</v>
      </c>
      <c r="B74" s="3421" t="s">
        <v>1116</v>
      </c>
      <c r="C74" s="3421">
        <v>18600</v>
      </c>
      <c r="D74" s="3421">
        <v>16480</v>
      </c>
      <c r="E74" s="3421">
        <v>20100</v>
      </c>
      <c r="F74" s="3427"/>
      <c r="G74" s="3427">
        <v>11190</v>
      </c>
      <c r="I74" s="1021"/>
      <c r="J74" s="3457"/>
      <c r="K74" s="3457"/>
      <c r="L74" s="3457"/>
      <c r="M74" s="3457"/>
      <c r="N74" s="3457"/>
      <c r="O74" s="3457"/>
      <c r="P74" s="3457"/>
      <c r="Q74" s="3457"/>
      <c r="R74" s="3457"/>
      <c r="S74" s="3457"/>
      <c r="T74" s="3457"/>
      <c r="U74" s="3457"/>
    </row>
    <row r="75" spans="1:21" s="1008" customFormat="1" ht="14.25" customHeight="1">
      <c r="A75" s="3421" t="s">
        <v>853</v>
      </c>
      <c r="B75" s="3421" t="s">
        <v>1120</v>
      </c>
      <c r="C75" s="3421">
        <v>16570</v>
      </c>
      <c r="D75" s="3421">
        <v>17530</v>
      </c>
      <c r="E75" s="3421">
        <v>21030</v>
      </c>
      <c r="F75" s="3427"/>
      <c r="G75" s="3434">
        <v>11900</v>
      </c>
      <c r="I75" s="1021"/>
      <c r="J75" s="3457"/>
      <c r="K75" s="3457"/>
      <c r="L75" s="3457"/>
      <c r="M75" s="3457"/>
      <c r="N75" s="3457"/>
      <c r="O75" s="3457"/>
      <c r="P75" s="3457"/>
      <c r="Q75" s="3457"/>
      <c r="R75" s="3457"/>
      <c r="S75" s="3457"/>
      <c r="T75" s="3457"/>
      <c r="U75" s="3457"/>
    </row>
    <row r="76" spans="1:21" s="1008" customFormat="1" ht="14.25" customHeight="1">
      <c r="A76" s="3421" t="s">
        <v>853</v>
      </c>
      <c r="B76" s="1286" t="s">
        <v>1127</v>
      </c>
      <c r="C76" s="1286">
        <v>17610</v>
      </c>
      <c r="D76" s="1286">
        <v>20800</v>
      </c>
      <c r="E76" s="1286">
        <v>18920</v>
      </c>
      <c r="F76" s="3422"/>
      <c r="G76" s="3422">
        <v>14120</v>
      </c>
      <c r="I76" s="1021"/>
      <c r="J76" s="3457"/>
      <c r="K76" s="3457"/>
      <c r="L76" s="3457"/>
      <c r="M76" s="3457"/>
      <c r="N76" s="3457"/>
      <c r="O76" s="3457"/>
      <c r="P76" s="3457"/>
      <c r="Q76" s="3457"/>
      <c r="R76" s="3457"/>
      <c r="S76" s="3457"/>
      <c r="T76" s="3457"/>
      <c r="U76" s="3457"/>
    </row>
    <row r="77" spans="1:21" s="1008" customFormat="1" ht="14.25" customHeight="1">
      <c r="A77" s="3421" t="s">
        <v>853</v>
      </c>
      <c r="B77" s="3421" t="s">
        <v>1130</v>
      </c>
      <c r="C77" s="3421">
        <v>20890</v>
      </c>
      <c r="D77" s="3421">
        <v>19740</v>
      </c>
      <c r="E77" s="3421">
        <v>20110</v>
      </c>
      <c r="F77" s="3427"/>
      <c r="G77" s="3427">
        <v>13400</v>
      </c>
      <c r="I77" s="1021"/>
      <c r="J77" s="3457"/>
      <c r="K77" s="3457"/>
      <c r="L77" s="3457"/>
      <c r="M77" s="3457"/>
      <c r="N77" s="3457"/>
      <c r="O77" s="3457"/>
      <c r="P77" s="3457"/>
      <c r="Q77" s="3457"/>
      <c r="R77" s="3457"/>
      <c r="S77" s="3457"/>
      <c r="T77" s="3457"/>
      <c r="U77" s="3457"/>
    </row>
    <row r="78" spans="1:21" s="1008" customFormat="1" ht="14.25" customHeight="1">
      <c r="A78" s="3421" t="s">
        <v>853</v>
      </c>
      <c r="B78" s="3421" t="s">
        <v>2826</v>
      </c>
      <c r="C78" s="3421">
        <v>19820</v>
      </c>
      <c r="D78" s="3421">
        <v>19780</v>
      </c>
      <c r="E78" s="3421">
        <v>18560</v>
      </c>
      <c r="F78" s="3427"/>
      <c r="G78" s="3427">
        <v>13430</v>
      </c>
      <c r="I78" s="1021"/>
      <c r="J78" s="3457"/>
      <c r="K78" s="3457"/>
      <c r="L78" s="3457"/>
      <c r="M78" s="3457"/>
      <c r="N78" s="3457"/>
      <c r="O78" s="3457"/>
      <c r="P78" s="3457"/>
      <c r="Q78" s="3457"/>
      <c r="R78" s="3457"/>
      <c r="S78" s="3457"/>
      <c r="T78" s="3457"/>
      <c r="U78" s="3457"/>
    </row>
    <row r="79" spans="1:21" s="1008" customFormat="1" ht="14.25" customHeight="1">
      <c r="A79" s="3421" t="s">
        <v>853</v>
      </c>
      <c r="B79" s="3421" t="s">
        <v>2827</v>
      </c>
      <c r="C79" s="3421">
        <v>21660</v>
      </c>
      <c r="D79" s="3421">
        <v>18000</v>
      </c>
      <c r="E79" s="3421">
        <v>22570</v>
      </c>
      <c r="F79" s="3427"/>
      <c r="G79" s="3427">
        <v>12220</v>
      </c>
      <c r="I79" s="1021"/>
      <c r="J79" s="3457"/>
      <c r="K79" s="3457"/>
      <c r="L79" s="3457"/>
      <c r="M79" s="3457"/>
      <c r="N79" s="3457"/>
      <c r="O79" s="3457"/>
      <c r="P79" s="3457"/>
      <c r="Q79" s="3457"/>
      <c r="R79" s="3457"/>
      <c r="S79" s="3457"/>
      <c r="T79" s="3457"/>
      <c r="U79" s="3457"/>
    </row>
    <row r="80" spans="1:21" s="1008" customFormat="1" ht="14.25" customHeight="1">
      <c r="A80" s="3421" t="s">
        <v>853</v>
      </c>
      <c r="B80" s="3421" t="s">
        <v>2828</v>
      </c>
      <c r="C80" s="3421">
        <v>19850</v>
      </c>
      <c r="D80" s="3421"/>
      <c r="E80" s="3421">
        <v>21700</v>
      </c>
      <c r="F80" s="3427"/>
      <c r="G80" s="3427"/>
      <c r="I80" s="1021"/>
      <c r="J80" s="3457"/>
      <c r="K80" s="3457"/>
      <c r="L80" s="3457"/>
      <c r="M80" s="3457"/>
      <c r="N80" s="3457"/>
      <c r="O80" s="3457"/>
      <c r="P80" s="3457"/>
      <c r="Q80" s="3457"/>
      <c r="R80" s="3457"/>
      <c r="S80" s="3457"/>
      <c r="T80" s="3457"/>
      <c r="U80" s="3457"/>
    </row>
    <row r="81" spans="1:21" s="1008" customFormat="1" ht="14.25" customHeight="1">
      <c r="A81" s="3421" t="s">
        <v>853</v>
      </c>
      <c r="B81" s="3421" t="s">
        <v>2829</v>
      </c>
      <c r="C81" s="3421">
        <v>18080</v>
      </c>
      <c r="D81" s="3421"/>
      <c r="E81" s="3421">
        <v>20900</v>
      </c>
      <c r="F81" s="3427"/>
      <c r="G81" s="3427"/>
      <c r="I81" s="1021"/>
      <c r="J81" s="3457"/>
      <c r="K81" s="3457"/>
      <c r="L81" s="3457"/>
      <c r="M81" s="3457"/>
      <c r="N81" s="3457"/>
      <c r="O81" s="3457"/>
      <c r="P81" s="3457"/>
      <c r="Q81" s="3457"/>
      <c r="R81" s="3457"/>
      <c r="S81" s="3457"/>
      <c r="T81" s="3457"/>
      <c r="U81" s="3457"/>
    </row>
    <row r="82" spans="1:21" s="1008" customFormat="1" ht="14.25" customHeight="1">
      <c r="A82" s="3421" t="s">
        <v>853</v>
      </c>
      <c r="B82" s="3421" t="s">
        <v>2830</v>
      </c>
      <c r="C82" s="3421"/>
      <c r="D82" s="3421"/>
      <c r="E82" s="3421">
        <v>20840</v>
      </c>
      <c r="F82" s="3427"/>
      <c r="G82" s="3427"/>
      <c r="I82" s="1021"/>
      <c r="J82" s="3457"/>
      <c r="K82" s="3457"/>
      <c r="L82" s="3457"/>
      <c r="M82" s="3457"/>
      <c r="N82" s="3457"/>
      <c r="O82" s="3457"/>
      <c r="P82" s="3457"/>
      <c r="Q82" s="3457"/>
      <c r="R82" s="3457"/>
      <c r="S82" s="3457"/>
      <c r="T82" s="3457"/>
      <c r="U82" s="3457"/>
    </row>
    <row r="83" spans="1:21" s="1008" customFormat="1" ht="14.25" customHeight="1">
      <c r="A83" s="3421" t="s">
        <v>853</v>
      </c>
      <c r="B83" s="3421" t="s">
        <v>2831</v>
      </c>
      <c r="C83" s="3421"/>
      <c r="D83" s="3421"/>
      <c r="E83" s="3421"/>
      <c r="F83" s="3427">
        <v>4770</v>
      </c>
      <c r="G83" s="3427"/>
      <c r="I83" s="1021"/>
      <c r="J83" s="3457"/>
      <c r="K83" s="3457"/>
      <c r="L83" s="3457"/>
      <c r="M83" s="3457"/>
      <c r="N83" s="3457"/>
      <c r="O83" s="3457"/>
      <c r="P83" s="3457"/>
      <c r="Q83" s="3457"/>
      <c r="R83" s="3457"/>
      <c r="S83" s="3457"/>
      <c r="T83" s="3457"/>
      <c r="U83" s="3457"/>
    </row>
    <row r="84" spans="1:21" s="1008" customFormat="1" ht="14.25" customHeight="1">
      <c r="A84" s="3421" t="s">
        <v>853</v>
      </c>
      <c r="B84" s="3421" t="s">
        <v>2832</v>
      </c>
      <c r="C84" s="3421"/>
      <c r="D84" s="3421"/>
      <c r="E84" s="3421"/>
      <c r="F84" s="3427">
        <v>4600</v>
      </c>
      <c r="G84" s="3427"/>
      <c r="I84" s="1021"/>
      <c r="J84" s="3457"/>
      <c r="K84" s="3457"/>
      <c r="L84" s="3457"/>
      <c r="M84" s="3457"/>
      <c r="N84" s="3457"/>
      <c r="O84" s="3457"/>
      <c r="P84" s="3457"/>
      <c r="Q84" s="3457"/>
      <c r="R84" s="3457"/>
      <c r="S84" s="3457"/>
      <c r="T84" s="3457"/>
      <c r="U84" s="3457"/>
    </row>
    <row r="85" spans="1:21" s="1008" customFormat="1" ht="14.25" customHeight="1">
      <c r="A85" s="3421" t="s">
        <v>853</v>
      </c>
      <c r="B85" s="1284" t="s">
        <v>2833</v>
      </c>
      <c r="C85" s="1284"/>
      <c r="D85" s="1284"/>
      <c r="E85" s="1284"/>
      <c r="F85" s="3432">
        <v>4680</v>
      </c>
      <c r="G85" s="3432"/>
      <c r="I85" s="1021"/>
      <c r="J85" s="3457"/>
      <c r="K85" s="3457"/>
      <c r="L85" s="3457"/>
      <c r="M85" s="3457"/>
      <c r="N85" s="3457"/>
      <c r="O85" s="3457"/>
      <c r="P85" s="3457"/>
      <c r="Q85" s="3457"/>
      <c r="R85" s="3457"/>
      <c r="S85" s="3457"/>
      <c r="T85" s="3457"/>
      <c r="U85" s="3457"/>
    </row>
    <row r="86" spans="1:21" s="1008" customFormat="1" ht="14.25" customHeight="1" thickBot="1">
      <c r="A86" s="3436" t="s">
        <v>853</v>
      </c>
      <c r="B86" s="3424" t="s">
        <v>2834</v>
      </c>
      <c r="C86" s="3424">
        <v>16610</v>
      </c>
      <c r="D86" s="3424">
        <v>16540</v>
      </c>
      <c r="E86" s="3424">
        <v>18850</v>
      </c>
      <c r="F86" s="3425"/>
      <c r="G86" s="3437">
        <v>11220</v>
      </c>
      <c r="I86" s="1021"/>
      <c r="J86" s="3457"/>
      <c r="K86" s="3457"/>
      <c r="L86" s="3457"/>
      <c r="M86" s="3457"/>
      <c r="N86" s="3457"/>
      <c r="O86" s="3457"/>
      <c r="P86" s="3457"/>
      <c r="Q86" s="3457"/>
      <c r="R86" s="3457"/>
      <c r="S86" s="3457"/>
      <c r="T86" s="3457"/>
      <c r="U86" s="3457"/>
    </row>
    <row r="87" spans="1:21" s="1008" customFormat="1" ht="14.25" customHeight="1">
      <c r="A87" s="3435" t="s">
        <v>1152</v>
      </c>
      <c r="B87" s="1286" t="s">
        <v>2835</v>
      </c>
      <c r="C87" s="1286">
        <v>15240</v>
      </c>
      <c r="D87" s="1286">
        <v>15170</v>
      </c>
      <c r="E87" s="1286">
        <v>18260</v>
      </c>
      <c r="F87" s="3422">
        <v>3830</v>
      </c>
      <c r="G87" s="3438">
        <v>10020</v>
      </c>
      <c r="I87" s="1021"/>
      <c r="J87" s="3457"/>
      <c r="K87" s="3457"/>
      <c r="L87" s="3457"/>
      <c r="M87" s="3457"/>
      <c r="N87" s="3457"/>
      <c r="O87" s="3457"/>
      <c r="P87" s="3457"/>
      <c r="Q87" s="3457"/>
      <c r="R87" s="3457"/>
      <c r="S87" s="3457"/>
      <c r="T87" s="3457"/>
      <c r="U87" s="3457"/>
    </row>
    <row r="88" spans="1:21" s="1008" customFormat="1" ht="14.25" customHeight="1">
      <c r="A88" s="3421" t="s">
        <v>1152</v>
      </c>
      <c r="B88" s="3421" t="s">
        <v>976</v>
      </c>
      <c r="C88" s="3421">
        <v>17310</v>
      </c>
      <c r="D88" s="3421">
        <v>17220</v>
      </c>
      <c r="E88" s="3421">
        <v>18610</v>
      </c>
      <c r="F88" s="3427">
        <v>3990</v>
      </c>
      <c r="G88" s="3429">
        <v>11380</v>
      </c>
      <c r="I88" s="1021"/>
      <c r="J88" s="3457"/>
      <c r="K88" s="3457"/>
      <c r="L88" s="3457"/>
      <c r="M88" s="3457"/>
      <c r="N88" s="3457"/>
      <c r="O88" s="3457"/>
      <c r="P88" s="3457"/>
      <c r="Q88" s="3457"/>
      <c r="R88" s="3457"/>
      <c r="S88" s="3457"/>
      <c r="T88" s="3457"/>
      <c r="U88" s="3457"/>
    </row>
    <row r="89" spans="1:21" s="1008" customFormat="1" ht="14.25" customHeight="1">
      <c r="A89" s="3421" t="s">
        <v>1152</v>
      </c>
      <c r="B89" s="3421" t="s">
        <v>986</v>
      </c>
      <c r="C89" s="3421">
        <v>15600</v>
      </c>
      <c r="D89" s="3421">
        <v>15550</v>
      </c>
      <c r="E89" s="3421">
        <v>19200</v>
      </c>
      <c r="F89" s="3427">
        <v>4110</v>
      </c>
      <c r="G89" s="3429">
        <v>10270</v>
      </c>
      <c r="I89" s="1021"/>
      <c r="J89" s="3457"/>
      <c r="K89" s="3457"/>
      <c r="L89" s="3457"/>
      <c r="M89" s="3457"/>
      <c r="N89" s="3457"/>
      <c r="O89" s="3457"/>
      <c r="P89" s="3457"/>
      <c r="Q89" s="3457"/>
      <c r="R89" s="3457"/>
      <c r="S89" s="3457"/>
      <c r="T89" s="3457"/>
      <c r="U89" s="3457"/>
    </row>
    <row r="90" spans="1:21" s="1008" customFormat="1" ht="14.25" customHeight="1">
      <c r="A90" s="3421" t="s">
        <v>1152</v>
      </c>
      <c r="B90" s="3421" t="s">
        <v>995</v>
      </c>
      <c r="C90" s="3421">
        <v>17330</v>
      </c>
      <c r="D90" s="3421">
        <v>17240</v>
      </c>
      <c r="E90" s="3421">
        <v>18570</v>
      </c>
      <c r="F90" s="3427">
        <v>4070</v>
      </c>
      <c r="G90" s="3429">
        <v>11390</v>
      </c>
      <c r="I90" s="1021"/>
      <c r="J90" s="3457"/>
      <c r="K90" s="3457"/>
      <c r="L90" s="3457"/>
      <c r="M90" s="3457"/>
      <c r="N90" s="3457"/>
      <c r="O90" s="3457"/>
      <c r="P90" s="3457"/>
      <c r="Q90" s="3457"/>
      <c r="R90" s="3457"/>
      <c r="S90" s="3457"/>
      <c r="T90" s="3457"/>
      <c r="U90" s="3457"/>
    </row>
    <row r="91" spans="1:21" s="1008" customFormat="1" ht="14.25" customHeight="1">
      <c r="A91" s="3421" t="s">
        <v>1152</v>
      </c>
      <c r="B91" s="3421" t="s">
        <v>1005</v>
      </c>
      <c r="C91" s="3421">
        <v>16330</v>
      </c>
      <c r="D91" s="3421">
        <v>16260</v>
      </c>
      <c r="E91" s="3421">
        <v>16800</v>
      </c>
      <c r="F91" s="3427">
        <v>3410</v>
      </c>
      <c r="G91" s="3429">
        <v>10740</v>
      </c>
      <c r="I91" s="1021"/>
      <c r="J91" s="3457"/>
      <c r="K91" s="3457"/>
      <c r="L91" s="3457"/>
      <c r="M91" s="3457"/>
      <c r="N91" s="3457"/>
      <c r="O91" s="3457"/>
      <c r="P91" s="3457"/>
      <c r="Q91" s="3457"/>
      <c r="R91" s="3457"/>
      <c r="S91" s="3457"/>
      <c r="T91" s="3457"/>
      <c r="U91" s="3457"/>
    </row>
    <row r="92" spans="1:21" s="1008" customFormat="1" ht="14.25" customHeight="1">
      <c r="A92" s="3421" t="s">
        <v>1152</v>
      </c>
      <c r="B92" s="3421" t="s">
        <v>1012</v>
      </c>
      <c r="C92" s="3421">
        <v>15570</v>
      </c>
      <c r="D92" s="3421">
        <v>15500</v>
      </c>
      <c r="E92" s="3421">
        <v>17360</v>
      </c>
      <c r="F92" s="3427">
        <v>3510</v>
      </c>
      <c r="G92" s="3429">
        <v>10240</v>
      </c>
      <c r="I92" s="1021"/>
      <c r="J92" s="3457"/>
      <c r="K92" s="3457"/>
      <c r="L92" s="3457"/>
      <c r="M92" s="3457"/>
      <c r="N92" s="3457"/>
      <c r="O92" s="3457"/>
      <c r="P92" s="3457"/>
      <c r="Q92" s="3457"/>
      <c r="R92" s="3457"/>
      <c r="S92" s="3457"/>
      <c r="T92" s="3457"/>
      <c r="U92" s="3457"/>
    </row>
    <row r="93" spans="1:21" s="1008" customFormat="1" ht="14.25" customHeight="1">
      <c r="A93" s="3421" t="s">
        <v>1152</v>
      </c>
      <c r="B93" s="3421" t="s">
        <v>1018</v>
      </c>
      <c r="C93" s="3421">
        <v>14000</v>
      </c>
      <c r="D93" s="3421">
        <v>13930</v>
      </c>
      <c r="E93" s="3421">
        <v>18200</v>
      </c>
      <c r="F93" s="3427">
        <v>3640</v>
      </c>
      <c r="G93" s="3429">
        <v>9210</v>
      </c>
      <c r="I93" s="1021"/>
      <c r="J93" s="3457"/>
      <c r="K93" s="3457"/>
      <c r="L93" s="3457"/>
      <c r="M93" s="3457"/>
      <c r="N93" s="3457"/>
      <c r="O93" s="3457"/>
      <c r="P93" s="3457"/>
      <c r="Q93" s="3457"/>
      <c r="R93" s="3457"/>
      <c r="S93" s="3457"/>
      <c r="T93" s="3457"/>
      <c r="U93" s="3457"/>
    </row>
    <row r="94" spans="1:21" s="1008" customFormat="1" ht="14.25" customHeight="1">
      <c r="A94" s="3421" t="s">
        <v>1152</v>
      </c>
      <c r="B94" s="3421" t="s">
        <v>1025</v>
      </c>
      <c r="C94" s="3421">
        <v>14530</v>
      </c>
      <c r="D94" s="3421">
        <v>14470</v>
      </c>
      <c r="E94" s="3421">
        <v>18240</v>
      </c>
      <c r="F94" s="3427">
        <v>3180</v>
      </c>
      <c r="G94" s="3429">
        <v>9560</v>
      </c>
      <c r="I94" s="1021"/>
      <c r="J94" s="3457"/>
      <c r="K94" s="3457"/>
      <c r="L94" s="3457"/>
      <c r="M94" s="3457"/>
      <c r="N94" s="3457"/>
      <c r="O94" s="3457"/>
      <c r="P94" s="3457"/>
      <c r="Q94" s="3457"/>
      <c r="R94" s="3457"/>
      <c r="S94" s="3457"/>
      <c r="T94" s="3457"/>
      <c r="U94" s="3457"/>
    </row>
    <row r="95" spans="1:21" s="1008" customFormat="1" ht="14.25" customHeight="1">
      <c r="A95" s="3421" t="s">
        <v>1152</v>
      </c>
      <c r="B95" s="3421" t="s">
        <v>1035</v>
      </c>
      <c r="C95" s="3421">
        <v>17330</v>
      </c>
      <c r="D95" s="3421">
        <v>17260</v>
      </c>
      <c r="E95" s="3421">
        <v>18420</v>
      </c>
      <c r="F95" s="3427">
        <v>3060</v>
      </c>
      <c r="G95" s="3427">
        <v>11410</v>
      </c>
      <c r="I95" s="1021"/>
      <c r="J95" s="3457"/>
      <c r="K95" s="3457"/>
      <c r="L95" s="3457"/>
      <c r="M95" s="3457"/>
      <c r="N95" s="3457"/>
      <c r="O95" s="3457"/>
      <c r="P95" s="3457"/>
      <c r="Q95" s="3457"/>
      <c r="R95" s="3457"/>
      <c r="S95" s="3457"/>
      <c r="T95" s="3457"/>
      <c r="U95" s="3457"/>
    </row>
    <row r="96" spans="1:21" s="1008" customFormat="1" ht="14.25" customHeight="1">
      <c r="A96" s="3421" t="s">
        <v>1152</v>
      </c>
      <c r="B96" s="3421" t="s">
        <v>1044</v>
      </c>
      <c r="C96" s="3421">
        <v>15030</v>
      </c>
      <c r="D96" s="3421">
        <v>14970</v>
      </c>
      <c r="E96" s="3421">
        <v>17580</v>
      </c>
      <c r="F96" s="3427">
        <v>2970</v>
      </c>
      <c r="G96" s="3427">
        <v>9890</v>
      </c>
      <c r="I96" s="1021"/>
      <c r="J96" s="3457"/>
      <c r="K96" s="3457"/>
      <c r="L96" s="3457"/>
      <c r="M96" s="3457"/>
      <c r="N96" s="3457"/>
      <c r="O96" s="3457"/>
      <c r="P96" s="3457"/>
      <c r="Q96" s="3457"/>
      <c r="R96" s="3457"/>
      <c r="S96" s="3457"/>
      <c r="T96" s="3457"/>
      <c r="U96" s="3457"/>
    </row>
    <row r="97" spans="1:21" s="1008" customFormat="1" ht="14.25" customHeight="1">
      <c r="A97" s="3421" t="s">
        <v>1152</v>
      </c>
      <c r="B97" s="3421" t="s">
        <v>1051</v>
      </c>
      <c r="C97" s="3421">
        <v>17400</v>
      </c>
      <c r="D97" s="3421">
        <v>17330</v>
      </c>
      <c r="E97" s="3421">
        <v>16430</v>
      </c>
      <c r="F97" s="3427">
        <v>2950</v>
      </c>
      <c r="G97" s="3427">
        <v>11450</v>
      </c>
      <c r="I97" s="1021"/>
      <c r="J97" s="3457"/>
      <c r="K97" s="3457"/>
      <c r="L97" s="3457"/>
      <c r="M97" s="3457"/>
      <c r="N97" s="3457"/>
      <c r="O97" s="3457"/>
      <c r="P97" s="3457"/>
      <c r="Q97" s="3457"/>
      <c r="R97" s="3457"/>
      <c r="S97" s="3457"/>
      <c r="T97" s="3457"/>
      <c r="U97" s="3457"/>
    </row>
    <row r="98" spans="1:21" s="1008" customFormat="1" ht="14.25" customHeight="1">
      <c r="A98" s="3421" t="s">
        <v>1152</v>
      </c>
      <c r="B98" s="3421" t="s">
        <v>1058</v>
      </c>
      <c r="C98" s="3421">
        <v>15200</v>
      </c>
      <c r="D98" s="3421">
        <v>15120</v>
      </c>
      <c r="E98" s="3421">
        <v>17550</v>
      </c>
      <c r="F98" s="3427">
        <v>3080</v>
      </c>
      <c r="G98" s="3427">
        <v>9990</v>
      </c>
      <c r="I98" s="1021"/>
      <c r="J98" s="3457"/>
      <c r="K98" s="3457"/>
      <c r="L98" s="3457"/>
      <c r="M98" s="3457"/>
      <c r="N98" s="3457"/>
      <c r="O98" s="3457"/>
      <c r="P98" s="3457"/>
      <c r="Q98" s="3457"/>
      <c r="R98" s="3457"/>
      <c r="S98" s="3457"/>
      <c r="T98" s="3457"/>
      <c r="U98" s="3457"/>
    </row>
    <row r="99" spans="1:21" s="1008" customFormat="1" ht="14.25" customHeight="1">
      <c r="A99" s="3421" t="s">
        <v>1152</v>
      </c>
      <c r="B99" s="3421" t="s">
        <v>1065</v>
      </c>
      <c r="C99" s="3421">
        <v>17520</v>
      </c>
      <c r="D99" s="3421">
        <v>17430</v>
      </c>
      <c r="E99" s="3421">
        <v>16350</v>
      </c>
      <c r="F99" s="3427">
        <v>3260</v>
      </c>
      <c r="G99" s="3427">
        <v>11510</v>
      </c>
      <c r="I99" s="1021"/>
      <c r="J99" s="3457"/>
      <c r="K99" s="3457"/>
      <c r="L99" s="3457"/>
      <c r="M99" s="3457"/>
      <c r="N99" s="3457"/>
      <c r="O99" s="3457"/>
      <c r="P99" s="3457"/>
      <c r="Q99" s="3457"/>
      <c r="R99" s="3457"/>
      <c r="S99" s="3457"/>
      <c r="T99" s="3457"/>
      <c r="U99" s="3457"/>
    </row>
    <row r="100" spans="1:21" s="1008" customFormat="1" ht="14.25" customHeight="1">
      <c r="A100" s="3421" t="s">
        <v>1152</v>
      </c>
      <c r="B100" s="3421" t="s">
        <v>1073</v>
      </c>
      <c r="C100" s="3421">
        <v>15340</v>
      </c>
      <c r="D100" s="3421">
        <v>15260</v>
      </c>
      <c r="E100" s="3421">
        <v>15930</v>
      </c>
      <c r="F100" s="3427">
        <v>2740</v>
      </c>
      <c r="G100" s="3427">
        <v>10080</v>
      </c>
      <c r="I100" s="1021"/>
      <c r="J100" s="3457"/>
      <c r="K100" s="3457"/>
      <c r="L100" s="3457"/>
      <c r="M100" s="3457"/>
      <c r="N100" s="3457"/>
      <c r="O100" s="3457"/>
      <c r="P100" s="3457"/>
      <c r="Q100" s="3457"/>
      <c r="R100" s="3457"/>
      <c r="S100" s="3457"/>
      <c r="T100" s="3457"/>
      <c r="U100" s="3457"/>
    </row>
    <row r="101" spans="1:21" s="1008" customFormat="1" ht="14.25" customHeight="1">
      <c r="A101" s="3421" t="s">
        <v>1152</v>
      </c>
      <c r="B101" s="3421" t="s">
        <v>1081</v>
      </c>
      <c r="C101" s="3421">
        <v>14620</v>
      </c>
      <c r="D101" s="3421">
        <v>14560</v>
      </c>
      <c r="E101" s="3421">
        <v>15570</v>
      </c>
      <c r="F101" s="3427">
        <v>3500</v>
      </c>
      <c r="G101" s="3427">
        <v>9630</v>
      </c>
      <c r="I101" s="1021"/>
      <c r="J101" s="3457"/>
      <c r="K101" s="3457"/>
      <c r="L101" s="3457"/>
      <c r="M101" s="3457"/>
      <c r="N101" s="3457"/>
      <c r="O101" s="3457"/>
      <c r="P101" s="3457"/>
      <c r="Q101" s="3457"/>
      <c r="R101" s="3457"/>
      <c r="S101" s="3457"/>
      <c r="T101" s="3457"/>
      <c r="U101" s="3457"/>
    </row>
    <row r="102" spans="1:21" s="1008" customFormat="1" ht="14.25" customHeight="1">
      <c r="A102" s="3421" t="s">
        <v>1152</v>
      </c>
      <c r="B102" s="3421" t="s">
        <v>1086</v>
      </c>
      <c r="C102" s="3421">
        <v>13680</v>
      </c>
      <c r="D102" s="3421">
        <v>13610</v>
      </c>
      <c r="E102" s="3421">
        <v>15690</v>
      </c>
      <c r="F102" s="3427">
        <v>2870</v>
      </c>
      <c r="G102" s="3427">
        <v>8990</v>
      </c>
      <c r="I102" s="1021"/>
      <c r="J102" s="3457"/>
      <c r="K102" s="3457"/>
      <c r="L102" s="3457"/>
      <c r="M102" s="3457"/>
      <c r="N102" s="3457"/>
      <c r="O102" s="3457"/>
      <c r="P102" s="3457"/>
      <c r="Q102" s="3457"/>
      <c r="R102" s="3457"/>
      <c r="S102" s="3457"/>
      <c r="T102" s="3457"/>
      <c r="U102" s="3457"/>
    </row>
    <row r="103" spans="1:21" s="1008" customFormat="1" ht="14.25" customHeight="1">
      <c r="A103" s="3421" t="s">
        <v>1152</v>
      </c>
      <c r="B103" s="3421" t="s">
        <v>1095</v>
      </c>
      <c r="C103" s="3421">
        <v>14620</v>
      </c>
      <c r="D103" s="3421">
        <v>14540</v>
      </c>
      <c r="E103" s="3421">
        <v>15240</v>
      </c>
      <c r="F103" s="3427">
        <v>2840</v>
      </c>
      <c r="G103" s="3427">
        <v>9610</v>
      </c>
      <c r="I103" s="1021"/>
      <c r="J103" s="3457"/>
      <c r="K103" s="3457"/>
      <c r="L103" s="3457"/>
      <c r="M103" s="3457"/>
      <c r="N103" s="3457"/>
      <c r="O103" s="3457"/>
      <c r="P103" s="3457"/>
      <c r="Q103" s="3457"/>
      <c r="R103" s="3457"/>
      <c r="S103" s="3457"/>
      <c r="T103" s="3457"/>
      <c r="U103" s="3457"/>
    </row>
    <row r="104" spans="1:21" s="1008" customFormat="1" ht="14.25" customHeight="1">
      <c r="A104" s="3421" t="s">
        <v>1152</v>
      </c>
      <c r="B104" s="3421" t="s">
        <v>1102</v>
      </c>
      <c r="C104" s="3421">
        <v>13610</v>
      </c>
      <c r="D104" s="3421">
        <v>13540</v>
      </c>
      <c r="E104" s="3421">
        <v>15750</v>
      </c>
      <c r="F104" s="3427">
        <v>2770</v>
      </c>
      <c r="G104" s="3427">
        <v>8940</v>
      </c>
      <c r="I104" s="1021"/>
      <c r="J104" s="3457"/>
      <c r="K104" s="3457"/>
      <c r="L104" s="3457"/>
      <c r="M104" s="3457"/>
      <c r="N104" s="3457"/>
      <c r="O104" s="3457"/>
      <c r="P104" s="3457"/>
      <c r="Q104" s="3457"/>
      <c r="R104" s="3457"/>
      <c r="S104" s="3457"/>
      <c r="T104" s="3457"/>
      <c r="U104" s="3457"/>
    </row>
    <row r="105" spans="1:21" s="1008" customFormat="1" ht="14.25" customHeight="1">
      <c r="A105" s="3421" t="s">
        <v>1152</v>
      </c>
      <c r="B105" s="3421" t="s">
        <v>1110</v>
      </c>
      <c r="C105" s="3421">
        <v>13310</v>
      </c>
      <c r="D105" s="3421">
        <v>13240</v>
      </c>
      <c r="E105" s="3421">
        <v>16280</v>
      </c>
      <c r="F105" s="3427">
        <v>3210</v>
      </c>
      <c r="G105" s="3427">
        <v>8750</v>
      </c>
      <c r="I105" s="1021"/>
      <c r="J105" s="3457"/>
      <c r="K105" s="3457"/>
      <c r="L105" s="3457"/>
      <c r="M105" s="3457"/>
      <c r="N105" s="3457"/>
      <c r="O105" s="3457"/>
      <c r="P105" s="3457"/>
      <c r="Q105" s="3457"/>
      <c r="R105" s="3457"/>
      <c r="S105" s="3457"/>
      <c r="T105" s="3457"/>
      <c r="U105" s="3457"/>
    </row>
    <row r="106" spans="1:21" s="1008" customFormat="1" ht="14.25" customHeight="1">
      <c r="A106" s="3421" t="s">
        <v>1152</v>
      </c>
      <c r="B106" s="3421" t="s">
        <v>1117</v>
      </c>
      <c r="C106" s="3421">
        <v>13010</v>
      </c>
      <c r="D106" s="3421">
        <v>12930</v>
      </c>
      <c r="E106" s="3421">
        <v>14960</v>
      </c>
      <c r="F106" s="3427">
        <v>3530</v>
      </c>
      <c r="G106" s="3427">
        <v>8550</v>
      </c>
      <c r="I106" s="1021"/>
      <c r="J106" s="3457"/>
      <c r="K106" s="3457"/>
      <c r="L106" s="3457"/>
      <c r="M106" s="3457"/>
      <c r="N106" s="3457"/>
      <c r="O106" s="3457"/>
      <c r="P106" s="3457"/>
      <c r="Q106" s="3457"/>
      <c r="R106" s="3457"/>
      <c r="S106" s="3457"/>
      <c r="T106" s="3457"/>
      <c r="U106" s="3457"/>
    </row>
    <row r="107" spans="1:21" s="1008" customFormat="1" ht="14.25" customHeight="1">
      <c r="A107" s="3421" t="s">
        <v>1152</v>
      </c>
      <c r="B107" s="3421" t="s">
        <v>1121</v>
      </c>
      <c r="C107" s="3421">
        <v>13070</v>
      </c>
      <c r="D107" s="3421">
        <v>13000</v>
      </c>
      <c r="E107" s="3421">
        <v>15910</v>
      </c>
      <c r="F107" s="3427">
        <v>3990</v>
      </c>
      <c r="G107" s="3427">
        <v>8580</v>
      </c>
      <c r="I107" s="1021"/>
      <c r="J107" s="3457"/>
      <c r="K107" s="3457"/>
      <c r="L107" s="3457"/>
      <c r="M107" s="3457"/>
      <c r="N107" s="3457"/>
      <c r="O107" s="3457"/>
      <c r="P107" s="3457"/>
      <c r="Q107" s="3457"/>
      <c r="R107" s="3457"/>
      <c r="S107" s="3457"/>
      <c r="T107" s="3457"/>
      <c r="U107" s="3457"/>
    </row>
    <row r="108" spans="1:21" s="1008" customFormat="1" ht="14.25" customHeight="1">
      <c r="A108" s="3421" t="s">
        <v>1152</v>
      </c>
      <c r="B108" s="3421" t="s">
        <v>1128</v>
      </c>
      <c r="C108" s="3421">
        <v>12640</v>
      </c>
      <c r="D108" s="3421">
        <v>12580</v>
      </c>
      <c r="E108" s="3421">
        <v>15730</v>
      </c>
      <c r="F108" s="3427"/>
      <c r="G108" s="3427">
        <v>8310</v>
      </c>
      <c r="I108" s="1021"/>
      <c r="J108" s="3457"/>
      <c r="K108" s="3457"/>
      <c r="L108" s="3457"/>
      <c r="M108" s="3457"/>
      <c r="N108" s="3457"/>
      <c r="O108" s="3457"/>
      <c r="P108" s="3457"/>
      <c r="Q108" s="3457"/>
      <c r="R108" s="3457"/>
      <c r="S108" s="3457"/>
      <c r="T108" s="3457"/>
      <c r="U108" s="3457"/>
    </row>
    <row r="109" spans="1:21" s="1008" customFormat="1" ht="14.25" customHeight="1">
      <c r="A109" s="3421" t="s">
        <v>1152</v>
      </c>
      <c r="B109" s="3421" t="s">
        <v>1131</v>
      </c>
      <c r="C109" s="3421">
        <v>13130</v>
      </c>
      <c r="D109" s="3421">
        <v>13070</v>
      </c>
      <c r="E109" s="3421">
        <v>15000</v>
      </c>
      <c r="F109" s="3427"/>
      <c r="G109" s="3434">
        <v>8630</v>
      </c>
      <c r="I109" s="1021"/>
      <c r="J109" s="3457"/>
      <c r="K109" s="3457"/>
      <c r="L109" s="3457"/>
      <c r="M109" s="3457"/>
      <c r="N109" s="3457"/>
      <c r="O109" s="3457"/>
      <c r="P109" s="3457"/>
      <c r="Q109" s="3457"/>
      <c r="R109" s="3457"/>
      <c r="S109" s="3457"/>
      <c r="T109" s="3457"/>
      <c r="U109" s="3457"/>
    </row>
    <row r="110" spans="1:21" s="1008" customFormat="1" ht="14.25" customHeight="1">
      <c r="A110" s="3421" t="s">
        <v>1152</v>
      </c>
      <c r="B110" s="1286" t="s">
        <v>1133</v>
      </c>
      <c r="C110" s="1286">
        <v>13560</v>
      </c>
      <c r="D110" s="1286">
        <v>13490</v>
      </c>
      <c r="E110" s="1286">
        <v>16300</v>
      </c>
      <c r="F110" s="3422"/>
      <c r="G110" s="3422">
        <v>8920</v>
      </c>
      <c r="I110" s="1021"/>
      <c r="J110" s="3457"/>
      <c r="K110" s="3457"/>
      <c r="L110" s="3457"/>
      <c r="M110" s="3457"/>
      <c r="N110" s="3457"/>
      <c r="O110" s="3457"/>
      <c r="P110" s="3457"/>
      <c r="Q110" s="3457"/>
      <c r="R110" s="3457"/>
      <c r="S110" s="3457"/>
      <c r="T110" s="3457"/>
      <c r="U110" s="3457"/>
    </row>
    <row r="111" spans="1:21" s="1008" customFormat="1" ht="14.25" customHeight="1">
      <c r="A111" s="3421" t="s">
        <v>1152</v>
      </c>
      <c r="B111" s="3421" t="s">
        <v>1136</v>
      </c>
      <c r="C111" s="3421">
        <v>12440</v>
      </c>
      <c r="D111" s="3421">
        <v>12380</v>
      </c>
      <c r="E111" s="3421">
        <v>17850</v>
      </c>
      <c r="F111" s="3427"/>
      <c r="G111" s="3427">
        <v>8180</v>
      </c>
      <c r="I111" s="1021"/>
      <c r="J111" s="3457"/>
      <c r="K111" s="3457"/>
      <c r="L111" s="3457"/>
      <c r="M111" s="3457"/>
      <c r="N111" s="3457"/>
      <c r="O111" s="3457"/>
      <c r="P111" s="3457"/>
      <c r="Q111" s="3457"/>
      <c r="R111" s="3457"/>
      <c r="S111" s="3457"/>
      <c r="T111" s="3457"/>
      <c r="U111" s="3457"/>
    </row>
    <row r="112" spans="1:21" s="1008" customFormat="1" ht="14.25" customHeight="1">
      <c r="A112" s="3421" t="s">
        <v>1152</v>
      </c>
      <c r="B112" s="3421" t="s">
        <v>1140</v>
      </c>
      <c r="C112" s="3421">
        <v>13260</v>
      </c>
      <c r="D112" s="3421">
        <v>13180</v>
      </c>
      <c r="E112" s="3421">
        <v>19740</v>
      </c>
      <c r="F112" s="3427"/>
      <c r="G112" s="3427">
        <v>8710</v>
      </c>
      <c r="I112" s="1021"/>
      <c r="J112" s="3457"/>
      <c r="K112" s="3457"/>
      <c r="L112" s="3457"/>
      <c r="M112" s="3457"/>
      <c r="N112" s="3457"/>
      <c r="O112" s="3457"/>
      <c r="P112" s="3457"/>
      <c r="Q112" s="3457"/>
      <c r="R112" s="3457"/>
      <c r="S112" s="3457"/>
      <c r="T112" s="3457"/>
      <c r="U112" s="3457"/>
    </row>
    <row r="113" spans="1:21" s="1008" customFormat="1" ht="14.25" customHeight="1">
      <c r="A113" s="3421" t="s">
        <v>1152</v>
      </c>
      <c r="B113" s="3421" t="s">
        <v>2836</v>
      </c>
      <c r="C113" s="3421">
        <v>15520</v>
      </c>
      <c r="D113" s="3421">
        <v>15450</v>
      </c>
      <c r="E113" s="3421"/>
      <c r="F113" s="3427"/>
      <c r="G113" s="3427">
        <v>10210</v>
      </c>
      <c r="I113" s="1021"/>
      <c r="J113" s="3457"/>
      <c r="K113" s="3457"/>
      <c r="L113" s="3457"/>
      <c r="M113" s="3457"/>
      <c r="N113" s="3457"/>
      <c r="O113" s="3457"/>
      <c r="P113" s="3457"/>
      <c r="Q113" s="3457"/>
      <c r="R113" s="3457"/>
      <c r="S113" s="3457"/>
      <c r="T113" s="3457"/>
      <c r="U113" s="3457"/>
    </row>
    <row r="114" spans="1:21" s="1008" customFormat="1" ht="14.25" customHeight="1">
      <c r="A114" s="3421" t="s">
        <v>1152</v>
      </c>
      <c r="B114" s="3421" t="s">
        <v>2837</v>
      </c>
      <c r="C114" s="3421">
        <v>13110</v>
      </c>
      <c r="D114" s="3421">
        <v>13050</v>
      </c>
      <c r="E114" s="3421"/>
      <c r="F114" s="3427"/>
      <c r="G114" s="3427">
        <v>8620</v>
      </c>
      <c r="I114" s="1021"/>
      <c r="J114" s="3457"/>
      <c r="K114" s="3457"/>
      <c r="L114" s="3457"/>
      <c r="M114" s="3457"/>
      <c r="N114" s="3457"/>
      <c r="O114" s="3457"/>
      <c r="P114" s="3457"/>
      <c r="Q114" s="3457"/>
      <c r="R114" s="3457"/>
      <c r="S114" s="3457"/>
      <c r="T114" s="3457"/>
      <c r="U114" s="3457"/>
    </row>
    <row r="115" spans="1:21" s="1008" customFormat="1" ht="14.25" customHeight="1">
      <c r="A115" s="3421" t="s">
        <v>1152</v>
      </c>
      <c r="B115" s="3421" t="s">
        <v>2838</v>
      </c>
      <c r="C115" s="3421">
        <v>12460</v>
      </c>
      <c r="D115" s="3421">
        <v>12390</v>
      </c>
      <c r="E115" s="3421"/>
      <c r="F115" s="3427"/>
      <c r="G115" s="3427">
        <v>8190</v>
      </c>
      <c r="I115" s="1021"/>
      <c r="J115" s="3457"/>
      <c r="K115" s="3457"/>
      <c r="L115" s="3457"/>
      <c r="M115" s="3457"/>
      <c r="N115" s="3457"/>
      <c r="O115" s="3457"/>
      <c r="P115" s="3457"/>
      <c r="Q115" s="3457"/>
      <c r="R115" s="3457"/>
      <c r="S115" s="3457"/>
      <c r="T115" s="3457"/>
      <c r="U115" s="3457"/>
    </row>
    <row r="116" spans="1:21" s="1008" customFormat="1" ht="14.25" customHeight="1">
      <c r="A116" s="3421" t="s">
        <v>1152</v>
      </c>
      <c r="B116" s="3421" t="s">
        <v>2839</v>
      </c>
      <c r="C116" s="3421">
        <v>13580</v>
      </c>
      <c r="D116" s="3421">
        <v>13520</v>
      </c>
      <c r="E116" s="3421"/>
      <c r="F116" s="3427"/>
      <c r="G116" s="3427">
        <v>8930</v>
      </c>
      <c r="I116" s="1021"/>
      <c r="J116" s="3457"/>
      <c r="K116" s="3457"/>
      <c r="L116" s="3457"/>
      <c r="M116" s="3457"/>
      <c r="N116" s="3457"/>
      <c r="O116" s="3457"/>
      <c r="P116" s="3457"/>
      <c r="Q116" s="3457"/>
      <c r="R116" s="3457"/>
      <c r="S116" s="3457"/>
      <c r="T116" s="3457"/>
      <c r="U116" s="3457"/>
    </row>
    <row r="117" spans="1:21" s="1008" customFormat="1" ht="14.25" customHeight="1">
      <c r="A117" s="3421" t="s">
        <v>1152</v>
      </c>
      <c r="B117" s="3421" t="s">
        <v>2840</v>
      </c>
      <c r="C117" s="3421">
        <v>17120</v>
      </c>
      <c r="D117" s="3421">
        <v>17040</v>
      </c>
      <c r="E117" s="3421"/>
      <c r="F117" s="3427"/>
      <c r="G117" s="3427">
        <v>11260</v>
      </c>
      <c r="I117" s="1021"/>
      <c r="J117" s="3457"/>
      <c r="K117" s="3457"/>
      <c r="L117" s="3457"/>
      <c r="M117" s="3457"/>
      <c r="N117" s="3457"/>
      <c r="O117" s="3457"/>
      <c r="P117" s="3457"/>
      <c r="Q117" s="3457"/>
      <c r="R117" s="3457"/>
      <c r="S117" s="3457"/>
      <c r="T117" s="3457"/>
      <c r="U117" s="3457"/>
    </row>
    <row r="118" spans="1:21" s="1008" customFormat="1" ht="14.25" customHeight="1">
      <c r="A118" s="3421" t="s">
        <v>1152</v>
      </c>
      <c r="B118" s="3421" t="s">
        <v>2841</v>
      </c>
      <c r="C118" s="3421">
        <v>14860</v>
      </c>
      <c r="D118" s="3421">
        <v>14790</v>
      </c>
      <c r="E118" s="3421"/>
      <c r="F118" s="3427"/>
      <c r="G118" s="3427">
        <v>9780</v>
      </c>
      <c r="I118" s="1021"/>
      <c r="J118" s="3457"/>
      <c r="K118" s="3457"/>
      <c r="L118" s="3457"/>
      <c r="M118" s="3457"/>
      <c r="N118" s="3457"/>
      <c r="O118" s="3457"/>
      <c r="P118" s="3457"/>
      <c r="Q118" s="3457"/>
      <c r="R118" s="3457"/>
      <c r="S118" s="3457"/>
      <c r="T118" s="3457"/>
      <c r="U118" s="3457"/>
    </row>
    <row r="119" spans="1:21" s="1008" customFormat="1" ht="14.25" customHeight="1">
      <c r="A119" s="3421" t="s">
        <v>1152</v>
      </c>
      <c r="B119" s="3421" t="s">
        <v>2842</v>
      </c>
      <c r="C119" s="3421">
        <v>16470</v>
      </c>
      <c r="D119" s="3421">
        <v>16400</v>
      </c>
      <c r="E119" s="3421"/>
      <c r="F119" s="3427"/>
      <c r="G119" s="3427">
        <v>10840</v>
      </c>
      <c r="I119" s="1021"/>
      <c r="J119" s="3457"/>
      <c r="K119" s="3457"/>
      <c r="L119" s="3457"/>
      <c r="M119" s="3457"/>
      <c r="N119" s="3457"/>
      <c r="O119" s="3457"/>
      <c r="P119" s="3457"/>
      <c r="Q119" s="3457"/>
      <c r="R119" s="3457"/>
      <c r="S119" s="3457"/>
      <c r="T119" s="3457"/>
      <c r="U119" s="3457"/>
    </row>
    <row r="120" spans="1:21" s="1008" customFormat="1" ht="14.25" customHeight="1">
      <c r="A120" s="3421" t="s">
        <v>1152</v>
      </c>
      <c r="B120" s="3421" t="s">
        <v>2843</v>
      </c>
      <c r="C120" s="3421"/>
      <c r="D120" s="3421"/>
      <c r="E120" s="3421"/>
      <c r="F120" s="3427">
        <v>4160</v>
      </c>
      <c r="G120" s="3427"/>
      <c r="I120" s="1021"/>
      <c r="J120" s="3457"/>
      <c r="K120" s="3457"/>
      <c r="L120" s="3457"/>
      <c r="M120" s="3457"/>
      <c r="N120" s="3457"/>
      <c r="O120" s="3457"/>
      <c r="P120" s="3457"/>
      <c r="Q120" s="3457"/>
      <c r="R120" s="3457"/>
      <c r="S120" s="3457"/>
      <c r="T120" s="3457"/>
      <c r="U120" s="3457"/>
    </row>
    <row r="121" spans="1:21" s="1008" customFormat="1" ht="14.25" customHeight="1">
      <c r="A121" s="3421" t="s">
        <v>1152</v>
      </c>
      <c r="B121" s="3421" t="s">
        <v>2844</v>
      </c>
      <c r="C121" s="3421"/>
      <c r="D121" s="3421"/>
      <c r="E121" s="3421"/>
      <c r="F121" s="3427">
        <v>3880</v>
      </c>
      <c r="G121" s="3427"/>
      <c r="I121" s="1021"/>
      <c r="J121" s="3457"/>
      <c r="K121" s="3457"/>
      <c r="L121" s="3457"/>
      <c r="M121" s="3457"/>
      <c r="N121" s="3457"/>
      <c r="O121" s="3457"/>
      <c r="P121" s="3457"/>
      <c r="Q121" s="3457"/>
      <c r="R121" s="3457"/>
      <c r="S121" s="3457"/>
      <c r="T121" s="3457"/>
      <c r="U121" s="3457"/>
    </row>
    <row r="122" spans="1:21" s="1008" customFormat="1" ht="14.25" customHeight="1">
      <c r="A122" s="3421" t="s">
        <v>1152</v>
      </c>
      <c r="B122" s="3421" t="s">
        <v>2845</v>
      </c>
      <c r="C122" s="3421">
        <v>13750</v>
      </c>
      <c r="D122" s="3421">
        <v>13680</v>
      </c>
      <c r="E122" s="3421">
        <v>16460</v>
      </c>
      <c r="F122" s="3427">
        <v>2880</v>
      </c>
      <c r="G122" s="3427">
        <v>9040</v>
      </c>
      <c r="I122" s="1021"/>
      <c r="J122" s="3457"/>
      <c r="K122" s="3457"/>
      <c r="L122" s="3457"/>
      <c r="M122" s="3457"/>
      <c r="N122" s="3457"/>
      <c r="O122" s="3457"/>
      <c r="P122" s="3457"/>
      <c r="Q122" s="3457"/>
      <c r="R122" s="3457"/>
      <c r="S122" s="3457"/>
      <c r="T122" s="3457"/>
      <c r="U122" s="3457"/>
    </row>
    <row r="123" spans="1:21" s="1008" customFormat="1" ht="14.25" customHeight="1">
      <c r="A123" s="3421" t="s">
        <v>1152</v>
      </c>
      <c r="B123" s="3421" t="s">
        <v>2846</v>
      </c>
      <c r="C123" s="3421">
        <v>13590</v>
      </c>
      <c r="D123" s="3421">
        <v>13520</v>
      </c>
      <c r="E123" s="3421">
        <v>16290</v>
      </c>
      <c r="F123" s="3427">
        <v>2790</v>
      </c>
      <c r="G123" s="3427">
        <v>8930</v>
      </c>
      <c r="I123" s="1021"/>
      <c r="J123" s="3457"/>
      <c r="K123" s="3457"/>
      <c r="L123" s="3457"/>
      <c r="M123" s="3457"/>
      <c r="N123" s="3457"/>
      <c r="O123" s="3457"/>
      <c r="P123" s="3457"/>
      <c r="Q123" s="3457"/>
      <c r="R123" s="3457"/>
      <c r="S123" s="3457"/>
      <c r="T123" s="3457"/>
      <c r="U123" s="3457"/>
    </row>
    <row r="124" spans="1:21" s="1008" customFormat="1" ht="14.25" customHeight="1">
      <c r="A124" s="3421" t="s">
        <v>1152</v>
      </c>
      <c r="B124" s="3421" t="s">
        <v>2847</v>
      </c>
      <c r="C124" s="3421">
        <v>13400</v>
      </c>
      <c r="D124" s="3421">
        <v>13320</v>
      </c>
      <c r="E124" s="3421">
        <v>16100</v>
      </c>
      <c r="F124" s="3427">
        <v>2320</v>
      </c>
      <c r="G124" s="3429">
        <v>8800</v>
      </c>
      <c r="I124" s="1021"/>
      <c r="J124" s="3457"/>
      <c r="K124" s="3457"/>
      <c r="L124" s="3457"/>
      <c r="M124" s="3457"/>
      <c r="N124" s="3457"/>
      <c r="O124" s="3457"/>
      <c r="P124" s="3457"/>
      <c r="Q124" s="3457"/>
      <c r="R124" s="3457"/>
      <c r="S124" s="3457"/>
      <c r="T124" s="3457"/>
      <c r="U124" s="3457"/>
    </row>
    <row r="125" spans="1:21" s="1008" customFormat="1" ht="14.25" customHeight="1">
      <c r="A125" s="3421" t="s">
        <v>1152</v>
      </c>
      <c r="B125" s="1284" t="s">
        <v>2848</v>
      </c>
      <c r="C125" s="1284">
        <v>12860</v>
      </c>
      <c r="D125" s="1284">
        <v>12790</v>
      </c>
      <c r="E125" s="1284">
        <v>15370</v>
      </c>
      <c r="F125" s="3432">
        <v>2280</v>
      </c>
      <c r="G125" s="3439">
        <v>8450</v>
      </c>
      <c r="I125" s="1021"/>
      <c r="J125" s="3457"/>
      <c r="K125" s="3457"/>
      <c r="L125" s="3457"/>
      <c r="M125" s="3457"/>
      <c r="N125" s="3457"/>
      <c r="O125" s="3457"/>
      <c r="P125" s="3457"/>
      <c r="Q125" s="3457"/>
      <c r="R125" s="3457"/>
      <c r="S125" s="3457"/>
      <c r="T125" s="3457"/>
      <c r="U125" s="3457"/>
    </row>
    <row r="126" spans="1:21" s="1008" customFormat="1" ht="14.25" customHeight="1" thickBot="1">
      <c r="A126" s="3436" t="s">
        <v>1152</v>
      </c>
      <c r="B126" s="3424" t="s">
        <v>2849</v>
      </c>
      <c r="C126" s="3424">
        <v>12960</v>
      </c>
      <c r="D126" s="3424">
        <v>12890</v>
      </c>
      <c r="E126" s="3424">
        <v>15530</v>
      </c>
      <c r="F126" s="3425">
        <v>2910</v>
      </c>
      <c r="G126" s="3440">
        <v>8520</v>
      </c>
      <c r="I126" s="1021"/>
      <c r="J126" s="3457"/>
      <c r="K126" s="3457"/>
      <c r="L126" s="3457"/>
      <c r="M126" s="3457"/>
      <c r="N126" s="3457"/>
      <c r="O126" s="3457"/>
      <c r="P126" s="3457"/>
      <c r="Q126" s="3457"/>
      <c r="R126" s="3457"/>
      <c r="S126" s="3457"/>
      <c r="T126" s="3457"/>
      <c r="U126" s="3457"/>
    </row>
    <row r="127" spans="1:21" s="1008" customFormat="1" ht="14.25" customHeight="1">
      <c r="A127" s="3435" t="s">
        <v>1153</v>
      </c>
      <c r="B127" s="1286" t="s">
        <v>2850</v>
      </c>
      <c r="C127" s="1286">
        <v>12280</v>
      </c>
      <c r="D127" s="1286">
        <v>12250</v>
      </c>
      <c r="E127" s="1286">
        <v>15130</v>
      </c>
      <c r="F127" s="3422">
        <v>2710</v>
      </c>
      <c r="G127" s="3438">
        <v>7870</v>
      </c>
      <c r="I127" s="1021"/>
      <c r="J127" s="3457"/>
      <c r="K127" s="3457"/>
      <c r="L127" s="3457"/>
      <c r="M127" s="3457"/>
      <c r="N127" s="3457"/>
      <c r="O127" s="3457"/>
      <c r="P127" s="3457"/>
      <c r="Q127" s="3457"/>
      <c r="R127" s="3457"/>
      <c r="S127" s="3457"/>
      <c r="T127" s="3457"/>
      <c r="U127" s="3457"/>
    </row>
    <row r="128" spans="1:21" s="1008" customFormat="1" ht="14.25" customHeight="1">
      <c r="A128" s="3421" t="s">
        <v>1153</v>
      </c>
      <c r="B128" s="3421" t="s">
        <v>977</v>
      </c>
      <c r="C128" s="3421">
        <v>13180</v>
      </c>
      <c r="D128" s="3421">
        <v>13150</v>
      </c>
      <c r="E128" s="3421">
        <v>16190</v>
      </c>
      <c r="F128" s="3427">
        <v>2820</v>
      </c>
      <c r="G128" s="3429">
        <v>8460</v>
      </c>
      <c r="I128" s="1021"/>
      <c r="J128" s="3457"/>
      <c r="K128" s="3457"/>
      <c r="L128" s="3457"/>
      <c r="M128" s="3457"/>
      <c r="N128" s="3457"/>
      <c r="O128" s="3457"/>
      <c r="P128" s="3457"/>
      <c r="Q128" s="3457"/>
      <c r="R128" s="3457"/>
      <c r="S128" s="3457"/>
      <c r="T128" s="3457"/>
      <c r="U128" s="3457"/>
    </row>
    <row r="129" spans="1:21" s="1008" customFormat="1" ht="14.25" customHeight="1">
      <c r="A129" s="3421" t="s">
        <v>1153</v>
      </c>
      <c r="B129" s="3421" t="s">
        <v>987</v>
      </c>
      <c r="C129" s="3421">
        <v>10950</v>
      </c>
      <c r="D129" s="3421">
        <v>10920</v>
      </c>
      <c r="E129" s="3421">
        <v>13820</v>
      </c>
      <c r="F129" s="3427">
        <v>2500</v>
      </c>
      <c r="G129" s="3429">
        <v>7020</v>
      </c>
      <c r="I129" s="1021"/>
      <c r="J129" s="3457"/>
      <c r="K129" s="3457"/>
      <c r="L129" s="3457"/>
      <c r="M129" s="3457"/>
      <c r="N129" s="3457"/>
      <c r="O129" s="3457"/>
      <c r="P129" s="3457"/>
      <c r="Q129" s="3457"/>
      <c r="R129" s="3457"/>
      <c r="S129" s="3457"/>
      <c r="T129" s="3457"/>
      <c r="U129" s="3457"/>
    </row>
    <row r="130" spans="1:21" s="1008" customFormat="1" ht="14.25" customHeight="1">
      <c r="A130" s="3421" t="s">
        <v>1153</v>
      </c>
      <c r="B130" s="3421" t="s">
        <v>996</v>
      </c>
      <c r="C130" s="3421">
        <v>10910</v>
      </c>
      <c r="D130" s="3421">
        <v>10860</v>
      </c>
      <c r="E130" s="3421">
        <v>13730</v>
      </c>
      <c r="F130" s="3427">
        <v>2760</v>
      </c>
      <c r="G130" s="3429">
        <v>6990</v>
      </c>
      <c r="I130" s="1021"/>
      <c r="J130" s="3457"/>
      <c r="K130" s="3457"/>
      <c r="L130" s="3457"/>
      <c r="M130" s="3457"/>
      <c r="N130" s="3457"/>
      <c r="O130" s="3457"/>
      <c r="P130" s="3457"/>
      <c r="Q130" s="3457"/>
      <c r="R130" s="3457"/>
      <c r="S130" s="3457"/>
      <c r="T130" s="3457"/>
      <c r="U130" s="3457"/>
    </row>
    <row r="131" spans="1:21" s="1008" customFormat="1" ht="14.25" customHeight="1">
      <c r="A131" s="3421" t="s">
        <v>1153</v>
      </c>
      <c r="B131" s="3421" t="s">
        <v>1006</v>
      </c>
      <c r="C131" s="3421">
        <v>12910</v>
      </c>
      <c r="D131" s="3421">
        <v>12870</v>
      </c>
      <c r="E131" s="3421">
        <v>15720</v>
      </c>
      <c r="F131" s="3427">
        <v>2750</v>
      </c>
      <c r="G131" s="3429">
        <v>8280</v>
      </c>
      <c r="I131" s="1021"/>
      <c r="J131" s="3457"/>
      <c r="K131" s="3457"/>
      <c r="L131" s="3457"/>
      <c r="M131" s="3457"/>
      <c r="N131" s="3457"/>
      <c r="O131" s="3457"/>
      <c r="P131" s="3457"/>
      <c r="Q131" s="3457"/>
      <c r="R131" s="3457"/>
      <c r="S131" s="3457"/>
      <c r="T131" s="3457"/>
      <c r="U131" s="3457"/>
    </row>
    <row r="132" spans="1:21" s="1008" customFormat="1" ht="14.25" customHeight="1">
      <c r="A132" s="3421" t="s">
        <v>1153</v>
      </c>
      <c r="B132" s="3421" t="s">
        <v>1013</v>
      </c>
      <c r="C132" s="3421">
        <v>11910</v>
      </c>
      <c r="D132" s="3421">
        <v>11860</v>
      </c>
      <c r="E132" s="3421">
        <v>14730</v>
      </c>
      <c r="F132" s="3427">
        <v>2360</v>
      </c>
      <c r="G132" s="3429">
        <v>7630</v>
      </c>
      <c r="I132" s="1021"/>
      <c r="J132" s="3457"/>
      <c r="K132" s="3457"/>
      <c r="L132" s="3457"/>
      <c r="M132" s="3457"/>
      <c r="N132" s="3457"/>
      <c r="O132" s="3457"/>
      <c r="P132" s="3457"/>
      <c r="Q132" s="3457"/>
      <c r="R132" s="3457"/>
      <c r="S132" s="3457"/>
      <c r="T132" s="3457"/>
      <c r="U132" s="3457"/>
    </row>
    <row r="133" spans="1:21" s="1008" customFormat="1" ht="14.25" customHeight="1">
      <c r="A133" s="3421" t="s">
        <v>1153</v>
      </c>
      <c r="B133" s="3421" t="s">
        <v>1019</v>
      </c>
      <c r="C133" s="3421">
        <v>12270</v>
      </c>
      <c r="D133" s="3421">
        <v>12210</v>
      </c>
      <c r="E133" s="3421">
        <v>15010</v>
      </c>
      <c r="F133" s="3427">
        <v>2580</v>
      </c>
      <c r="G133" s="3429">
        <v>7860</v>
      </c>
      <c r="I133" s="1021"/>
      <c r="J133" s="3457"/>
      <c r="K133" s="3457"/>
      <c r="L133" s="3457"/>
      <c r="M133" s="3457"/>
      <c r="N133" s="3457"/>
      <c r="O133" s="3457"/>
      <c r="P133" s="3457"/>
      <c r="Q133" s="3457"/>
      <c r="R133" s="3457"/>
      <c r="S133" s="3457"/>
      <c r="T133" s="3457"/>
      <c r="U133" s="3457"/>
    </row>
    <row r="134" spans="1:21" s="1008" customFormat="1" ht="14.25" customHeight="1">
      <c r="A134" s="3421" t="s">
        <v>1153</v>
      </c>
      <c r="B134" s="3421" t="s">
        <v>1026</v>
      </c>
      <c r="C134" s="3421">
        <v>10800</v>
      </c>
      <c r="D134" s="3421">
        <v>10780</v>
      </c>
      <c r="E134" s="3421">
        <v>13640</v>
      </c>
      <c r="F134" s="3427">
        <v>2110</v>
      </c>
      <c r="G134" s="3427">
        <v>6930</v>
      </c>
      <c r="I134" s="1021"/>
      <c r="J134" s="3457"/>
      <c r="K134" s="3457"/>
      <c r="L134" s="3457"/>
      <c r="M134" s="3457"/>
      <c r="N134" s="3457"/>
      <c r="O134" s="3457"/>
      <c r="P134" s="3457"/>
      <c r="Q134" s="3457"/>
      <c r="R134" s="3457"/>
      <c r="S134" s="3457"/>
      <c r="T134" s="3457"/>
      <c r="U134" s="3457"/>
    </row>
    <row r="135" spans="1:21" s="1008" customFormat="1" ht="14.25" customHeight="1">
      <c r="A135" s="3421" t="s">
        <v>1153</v>
      </c>
      <c r="B135" s="3421" t="s">
        <v>1036</v>
      </c>
      <c r="C135" s="3421">
        <v>10430</v>
      </c>
      <c r="D135" s="3421">
        <v>10390</v>
      </c>
      <c r="E135" s="3421">
        <v>13140</v>
      </c>
      <c r="F135" s="3427">
        <v>2240</v>
      </c>
      <c r="G135" s="3429">
        <v>6680</v>
      </c>
      <c r="I135" s="1021"/>
      <c r="J135" s="3457"/>
      <c r="K135" s="3457"/>
      <c r="L135" s="3457"/>
      <c r="M135" s="3457"/>
      <c r="N135" s="3457"/>
      <c r="O135" s="3457"/>
      <c r="P135" s="3457"/>
      <c r="Q135" s="3457"/>
      <c r="R135" s="3457"/>
      <c r="S135" s="3457"/>
      <c r="T135" s="3457"/>
      <c r="U135" s="3457"/>
    </row>
    <row r="136" spans="1:21" s="1008" customFormat="1" ht="14.25" customHeight="1">
      <c r="A136" s="3421" t="s">
        <v>1153</v>
      </c>
      <c r="B136" s="3421" t="s">
        <v>1045</v>
      </c>
      <c r="C136" s="3421">
        <v>11930</v>
      </c>
      <c r="D136" s="3421">
        <v>11880</v>
      </c>
      <c r="E136" s="3421">
        <v>14770</v>
      </c>
      <c r="F136" s="3427">
        <v>1970</v>
      </c>
      <c r="G136" s="3429">
        <v>7640</v>
      </c>
      <c r="I136" s="1021"/>
      <c r="J136" s="3457"/>
      <c r="K136" s="3457"/>
      <c r="L136" s="3457"/>
      <c r="M136" s="3457"/>
      <c r="N136" s="3457"/>
      <c r="O136" s="3457"/>
      <c r="P136" s="3457"/>
      <c r="Q136" s="3457"/>
      <c r="R136" s="3457"/>
      <c r="S136" s="3457"/>
      <c r="T136" s="3457"/>
      <c r="U136" s="3457"/>
    </row>
    <row r="137" spans="1:21" s="1008" customFormat="1" ht="14.25" customHeight="1">
      <c r="A137" s="3421" t="s">
        <v>1153</v>
      </c>
      <c r="B137" s="3421" t="s">
        <v>1052</v>
      </c>
      <c r="C137" s="3421">
        <v>10470</v>
      </c>
      <c r="D137" s="3421">
        <v>10430</v>
      </c>
      <c r="E137" s="3421">
        <v>13190</v>
      </c>
      <c r="F137" s="3427">
        <v>1990</v>
      </c>
      <c r="G137" s="3429">
        <v>6710</v>
      </c>
      <c r="I137" s="1021"/>
      <c r="J137" s="3457"/>
      <c r="K137" s="3457"/>
      <c r="L137" s="3457"/>
      <c r="M137" s="3457"/>
      <c r="N137" s="3457"/>
      <c r="O137" s="3457"/>
      <c r="P137" s="3457"/>
      <c r="Q137" s="3457"/>
      <c r="R137" s="3457"/>
      <c r="S137" s="3457"/>
      <c r="T137" s="3457"/>
      <c r="U137" s="3457"/>
    </row>
    <row r="138" spans="1:21" s="1008" customFormat="1" ht="14.25" customHeight="1">
      <c r="A138" s="3421" t="s">
        <v>1153</v>
      </c>
      <c r="B138" s="3421" t="s">
        <v>1059</v>
      </c>
      <c r="C138" s="3421">
        <v>10410</v>
      </c>
      <c r="D138" s="3421">
        <v>10380</v>
      </c>
      <c r="E138" s="3421">
        <v>13130</v>
      </c>
      <c r="F138" s="3427">
        <v>2030</v>
      </c>
      <c r="G138" s="3429">
        <v>6680</v>
      </c>
      <c r="I138" s="1021"/>
      <c r="J138" s="3457"/>
      <c r="K138" s="3457"/>
      <c r="L138" s="3457"/>
      <c r="M138" s="3457"/>
      <c r="N138" s="3457"/>
      <c r="O138" s="3457"/>
      <c r="P138" s="3457"/>
      <c r="Q138" s="3457"/>
      <c r="R138" s="3457"/>
      <c r="S138" s="3457"/>
      <c r="T138" s="3457"/>
      <c r="U138" s="3457"/>
    </row>
    <row r="139" spans="1:21" s="1008" customFormat="1" ht="14.25" customHeight="1">
      <c r="A139" s="3421" t="s">
        <v>1153</v>
      </c>
      <c r="B139" s="3421" t="s">
        <v>1066</v>
      </c>
      <c r="C139" s="3421">
        <v>9460</v>
      </c>
      <c r="D139" s="3421">
        <v>9410</v>
      </c>
      <c r="E139" s="3421">
        <v>12050</v>
      </c>
      <c r="F139" s="3427">
        <v>2140</v>
      </c>
      <c r="G139" s="3427">
        <v>6050</v>
      </c>
      <c r="I139" s="1021"/>
      <c r="J139" s="3457"/>
      <c r="K139" s="3457"/>
      <c r="L139" s="3457"/>
      <c r="M139" s="3457"/>
      <c r="N139" s="3457"/>
      <c r="O139" s="3457"/>
      <c r="P139" s="3457"/>
      <c r="Q139" s="3457"/>
      <c r="R139" s="3457"/>
      <c r="S139" s="3457"/>
      <c r="T139" s="3457"/>
      <c r="U139" s="3457"/>
    </row>
    <row r="140" spans="1:21" s="1008" customFormat="1" ht="14.25" customHeight="1">
      <c r="A140" s="3421" t="s">
        <v>1153</v>
      </c>
      <c r="B140" s="3421" t="s">
        <v>1074</v>
      </c>
      <c r="C140" s="3421">
        <v>11030</v>
      </c>
      <c r="D140" s="3421">
        <v>10980</v>
      </c>
      <c r="E140" s="3421">
        <v>13880</v>
      </c>
      <c r="F140" s="3427">
        <v>2210</v>
      </c>
      <c r="G140" s="3427">
        <v>7060</v>
      </c>
      <c r="I140" s="1021"/>
      <c r="J140" s="3457"/>
      <c r="K140" s="3457"/>
      <c r="L140" s="3457"/>
      <c r="M140" s="3457"/>
      <c r="N140" s="3457"/>
      <c r="O140" s="3457"/>
      <c r="P140" s="3457"/>
      <c r="Q140" s="3457"/>
      <c r="R140" s="3457"/>
      <c r="S140" s="3457"/>
      <c r="T140" s="3457"/>
      <c r="U140" s="3457"/>
    </row>
    <row r="141" spans="1:21" s="1008" customFormat="1" ht="14.25" customHeight="1">
      <c r="A141" s="3421" t="s">
        <v>1153</v>
      </c>
      <c r="B141" s="3421" t="s">
        <v>1082</v>
      </c>
      <c r="C141" s="3421">
        <v>11200</v>
      </c>
      <c r="D141" s="3421">
        <v>11150</v>
      </c>
      <c r="E141" s="3421">
        <v>14100</v>
      </c>
      <c r="F141" s="3427">
        <v>2470</v>
      </c>
      <c r="G141" s="3429">
        <v>7170</v>
      </c>
      <c r="I141" s="1021"/>
      <c r="J141" s="3457"/>
      <c r="K141" s="3457"/>
      <c r="L141" s="3457"/>
      <c r="M141" s="3457"/>
      <c r="N141" s="3457"/>
      <c r="O141" s="3457"/>
      <c r="P141" s="3457"/>
      <c r="Q141" s="3457"/>
      <c r="R141" s="3457"/>
      <c r="S141" s="3457"/>
      <c r="T141" s="3457"/>
      <c r="U141" s="3457"/>
    </row>
    <row r="142" spans="1:21" s="1008" customFormat="1" ht="14.25" customHeight="1">
      <c r="A142" s="3421" t="s">
        <v>1153</v>
      </c>
      <c r="B142" s="3421" t="s">
        <v>1087</v>
      </c>
      <c r="C142" s="3421">
        <v>10780</v>
      </c>
      <c r="D142" s="3421">
        <v>10730</v>
      </c>
      <c r="E142" s="3421">
        <v>13540</v>
      </c>
      <c r="F142" s="3427">
        <v>2280</v>
      </c>
      <c r="G142" s="3429">
        <v>6900</v>
      </c>
      <c r="I142" s="1021"/>
      <c r="J142" s="3457"/>
      <c r="K142" s="3457"/>
      <c r="L142" s="3457"/>
      <c r="M142" s="3457"/>
      <c r="N142" s="3457"/>
      <c r="O142" s="3457"/>
      <c r="P142" s="3457"/>
      <c r="Q142" s="3457"/>
      <c r="R142" s="3457"/>
      <c r="S142" s="3457"/>
      <c r="T142" s="3457"/>
      <c r="U142" s="3457"/>
    </row>
    <row r="143" spans="1:21" s="1008" customFormat="1" ht="14.25" customHeight="1">
      <c r="A143" s="3421" t="s">
        <v>1153</v>
      </c>
      <c r="B143" s="3421" t="s">
        <v>1096</v>
      </c>
      <c r="C143" s="3421">
        <v>11550</v>
      </c>
      <c r="D143" s="3421">
        <v>11490</v>
      </c>
      <c r="E143" s="3421">
        <v>14480</v>
      </c>
      <c r="F143" s="3427">
        <v>2070</v>
      </c>
      <c r="G143" s="3429">
        <v>7390</v>
      </c>
      <c r="I143" s="1021"/>
      <c r="J143" s="3457"/>
      <c r="K143" s="3457"/>
      <c r="L143" s="3457"/>
      <c r="M143" s="3457"/>
      <c r="N143" s="3457"/>
      <c r="O143" s="3457"/>
      <c r="P143" s="3457"/>
      <c r="Q143" s="3457"/>
      <c r="R143" s="3457"/>
      <c r="S143" s="3457"/>
      <c r="T143" s="3457"/>
      <c r="U143" s="3457"/>
    </row>
    <row r="144" spans="1:21" s="1008" customFormat="1" ht="14.25" customHeight="1">
      <c r="A144" s="3421" t="s">
        <v>1153</v>
      </c>
      <c r="B144" s="3421" t="s">
        <v>1103</v>
      </c>
      <c r="C144" s="3421">
        <v>10720</v>
      </c>
      <c r="D144" s="3421">
        <v>10680</v>
      </c>
      <c r="E144" s="3421">
        <v>13480</v>
      </c>
      <c r="F144" s="3427">
        <v>2440</v>
      </c>
      <c r="G144" s="3429">
        <v>6870</v>
      </c>
      <c r="I144" s="1021"/>
      <c r="J144" s="3457"/>
      <c r="K144" s="3457"/>
      <c r="L144" s="3457"/>
      <c r="M144" s="3457"/>
      <c r="N144" s="3457"/>
      <c r="O144" s="3457"/>
      <c r="P144" s="3457"/>
      <c r="Q144" s="3457"/>
      <c r="R144" s="3457"/>
      <c r="S144" s="3457"/>
      <c r="T144" s="3457"/>
      <c r="U144" s="3457"/>
    </row>
    <row r="145" spans="1:21" s="1008" customFormat="1" ht="14.25" customHeight="1">
      <c r="A145" s="3421" t="s">
        <v>1153</v>
      </c>
      <c r="B145" s="3421" t="s">
        <v>1111</v>
      </c>
      <c r="C145" s="3421">
        <v>10340</v>
      </c>
      <c r="D145" s="3421">
        <v>10290</v>
      </c>
      <c r="E145" s="3421">
        <v>12880</v>
      </c>
      <c r="F145" s="3427">
        <v>2650</v>
      </c>
      <c r="G145" s="3427">
        <v>6620</v>
      </c>
      <c r="I145" s="1021"/>
      <c r="J145" s="3457"/>
      <c r="K145" s="3457"/>
      <c r="L145" s="3457"/>
      <c r="M145" s="3457"/>
      <c r="N145" s="3457"/>
      <c r="O145" s="3457"/>
      <c r="P145" s="3457"/>
      <c r="Q145" s="3457"/>
      <c r="R145" s="3457"/>
      <c r="S145" s="3457"/>
      <c r="T145" s="3457"/>
      <c r="U145" s="3457"/>
    </row>
    <row r="146" spans="1:21" s="1008" customFormat="1" ht="14.25" customHeight="1">
      <c r="A146" s="3421" t="s">
        <v>1153</v>
      </c>
      <c r="B146" s="3421" t="s">
        <v>1118</v>
      </c>
      <c r="C146" s="3421">
        <v>11890</v>
      </c>
      <c r="D146" s="3421">
        <v>11830</v>
      </c>
      <c r="E146" s="3421">
        <v>14670</v>
      </c>
      <c r="F146" s="3427"/>
      <c r="G146" s="3427">
        <v>7610</v>
      </c>
      <c r="I146" s="1021"/>
      <c r="J146" s="3457"/>
      <c r="K146" s="3457"/>
      <c r="L146" s="3457"/>
      <c r="M146" s="3457"/>
      <c r="N146" s="3457"/>
      <c r="O146" s="3457"/>
      <c r="P146" s="3457"/>
      <c r="Q146" s="3457"/>
      <c r="R146" s="3457"/>
      <c r="S146" s="3457"/>
      <c r="T146" s="3457"/>
      <c r="U146" s="3457"/>
    </row>
    <row r="147" spans="1:21" s="1008" customFormat="1" ht="14.25" customHeight="1">
      <c r="A147" s="3421" t="s">
        <v>1153</v>
      </c>
      <c r="B147" s="3421" t="s">
        <v>1122</v>
      </c>
      <c r="C147" s="3421">
        <v>12650</v>
      </c>
      <c r="D147" s="3421">
        <v>12600</v>
      </c>
      <c r="E147" s="3421">
        <v>15440</v>
      </c>
      <c r="F147" s="3427"/>
      <c r="G147" s="3427">
        <v>8110</v>
      </c>
      <c r="I147" s="1021"/>
      <c r="J147" s="3457"/>
      <c r="K147" s="3457"/>
      <c r="L147" s="3457"/>
      <c r="M147" s="3457"/>
      <c r="N147" s="3457"/>
      <c r="O147" s="3457"/>
      <c r="P147" s="3457"/>
      <c r="Q147" s="3457"/>
      <c r="R147" s="3457"/>
      <c r="S147" s="3457"/>
      <c r="T147" s="3457"/>
      <c r="U147" s="3457"/>
    </row>
    <row r="148" spans="1:21" s="1008" customFormat="1" ht="14.25" customHeight="1">
      <c r="A148" s="3421" t="s">
        <v>1153</v>
      </c>
      <c r="B148" s="3421" t="s">
        <v>2851</v>
      </c>
      <c r="C148" s="3421">
        <v>10370</v>
      </c>
      <c r="D148" s="3421">
        <v>10310</v>
      </c>
      <c r="E148" s="3421">
        <v>12970</v>
      </c>
      <c r="F148" s="3427"/>
      <c r="G148" s="3427">
        <v>6630</v>
      </c>
      <c r="I148" s="1021"/>
      <c r="J148" s="3457"/>
      <c r="K148" s="3457"/>
      <c r="L148" s="3457"/>
      <c r="M148" s="3457"/>
      <c r="N148" s="3457"/>
      <c r="O148" s="3457"/>
      <c r="P148" s="3457"/>
      <c r="Q148" s="3457"/>
      <c r="R148" s="3457"/>
      <c r="S148" s="3457"/>
      <c r="T148" s="3457"/>
      <c r="U148" s="3457"/>
    </row>
    <row r="149" spans="1:21" s="1008" customFormat="1" ht="14.25" customHeight="1">
      <c r="A149" s="3421" t="s">
        <v>1153</v>
      </c>
      <c r="B149" s="3421" t="s">
        <v>2852</v>
      </c>
      <c r="C149" s="3421">
        <v>11600</v>
      </c>
      <c r="D149" s="3421">
        <v>11560</v>
      </c>
      <c r="E149" s="3421">
        <v>14540</v>
      </c>
      <c r="F149" s="3427">
        <v>2390</v>
      </c>
      <c r="G149" s="3427">
        <v>7430</v>
      </c>
      <c r="I149" s="1021"/>
      <c r="J149" s="3457"/>
      <c r="K149" s="3457"/>
      <c r="L149" s="3457"/>
      <c r="M149" s="3457"/>
      <c r="N149" s="3457"/>
      <c r="O149" s="3457"/>
      <c r="P149" s="3457"/>
      <c r="Q149" s="3457"/>
      <c r="R149" s="3457"/>
      <c r="S149" s="3457"/>
      <c r="T149" s="3457"/>
      <c r="U149" s="3457"/>
    </row>
    <row r="150" spans="1:21" s="1008" customFormat="1" ht="14.25" customHeight="1">
      <c r="A150" s="3421" t="s">
        <v>1153</v>
      </c>
      <c r="B150" s="3421" t="s">
        <v>1141</v>
      </c>
      <c r="C150" s="3421">
        <v>9950</v>
      </c>
      <c r="D150" s="3421">
        <v>9890</v>
      </c>
      <c r="E150" s="3421">
        <v>12590</v>
      </c>
      <c r="F150" s="3427">
        <v>1970</v>
      </c>
      <c r="G150" s="3427">
        <v>6360</v>
      </c>
      <c r="I150" s="1021"/>
      <c r="J150" s="3457"/>
      <c r="K150" s="3457"/>
      <c r="L150" s="3457"/>
      <c r="M150" s="3457"/>
      <c r="N150" s="3457"/>
      <c r="O150" s="3457"/>
      <c r="P150" s="3457"/>
      <c r="Q150" s="3457"/>
      <c r="R150" s="3457"/>
      <c r="S150" s="3457"/>
      <c r="T150" s="3457"/>
      <c r="U150" s="3457"/>
    </row>
    <row r="151" spans="1:21" s="1008" customFormat="1" ht="14.25" customHeight="1">
      <c r="A151" s="3421" t="s">
        <v>1153</v>
      </c>
      <c r="B151" s="3421" t="s">
        <v>1143</v>
      </c>
      <c r="C151" s="3421">
        <v>10700</v>
      </c>
      <c r="D151" s="3421">
        <v>10650</v>
      </c>
      <c r="E151" s="3421">
        <v>13420</v>
      </c>
      <c r="F151" s="3427">
        <v>2020</v>
      </c>
      <c r="G151" s="3427">
        <v>6850</v>
      </c>
      <c r="I151" s="1021"/>
      <c r="J151" s="3457"/>
      <c r="K151" s="3457"/>
      <c r="L151" s="3457"/>
      <c r="M151" s="3457"/>
      <c r="N151" s="3457"/>
      <c r="O151" s="3457"/>
      <c r="P151" s="3457"/>
      <c r="Q151" s="3457"/>
      <c r="R151" s="3457"/>
      <c r="S151" s="3457"/>
      <c r="T151" s="3457"/>
      <c r="U151" s="3457"/>
    </row>
    <row r="152" spans="1:21" s="1008" customFormat="1" ht="14.25" customHeight="1">
      <c r="A152" s="3421" t="s">
        <v>1153</v>
      </c>
      <c r="B152" s="3421" t="s">
        <v>1146</v>
      </c>
      <c r="C152" s="3421">
        <v>10310</v>
      </c>
      <c r="D152" s="3421">
        <v>10260</v>
      </c>
      <c r="E152" s="3421">
        <v>12820</v>
      </c>
      <c r="F152" s="3427">
        <v>1980</v>
      </c>
      <c r="G152" s="3427">
        <v>6600</v>
      </c>
      <c r="I152" s="1021"/>
      <c r="J152" s="3457"/>
      <c r="K152" s="3457"/>
      <c r="L152" s="3457"/>
      <c r="M152" s="3457"/>
      <c r="N152" s="3457"/>
      <c r="O152" s="3457"/>
      <c r="P152" s="3457"/>
      <c r="Q152" s="3457"/>
      <c r="R152" s="3457"/>
      <c r="S152" s="3457"/>
      <c r="T152" s="3457"/>
      <c r="U152" s="3457"/>
    </row>
    <row r="153" spans="1:21" s="1008" customFormat="1" ht="14.25" customHeight="1">
      <c r="A153" s="3421" t="s">
        <v>1153</v>
      </c>
      <c r="B153" s="3421" t="s">
        <v>2853</v>
      </c>
      <c r="C153" s="3421">
        <v>10880</v>
      </c>
      <c r="D153" s="3421">
        <v>10820</v>
      </c>
      <c r="E153" s="3421">
        <v>13660</v>
      </c>
      <c r="F153" s="3427">
        <v>2260</v>
      </c>
      <c r="G153" s="3427">
        <v>6970</v>
      </c>
      <c r="I153" s="1021"/>
      <c r="J153" s="3457"/>
      <c r="K153" s="3457"/>
      <c r="L153" s="3457"/>
      <c r="M153" s="3457"/>
      <c r="N153" s="3457"/>
      <c r="O153" s="3457"/>
      <c r="P153" s="3457"/>
      <c r="Q153" s="3457"/>
      <c r="R153" s="3457"/>
      <c r="S153" s="3457"/>
      <c r="T153" s="3457"/>
      <c r="U153" s="3457"/>
    </row>
    <row r="154" spans="1:21" s="1008" customFormat="1" ht="14.25" customHeight="1">
      <c r="A154" s="3421" t="s">
        <v>1153</v>
      </c>
      <c r="B154" s="3421" t="s">
        <v>2854</v>
      </c>
      <c r="C154" s="3421">
        <v>11220</v>
      </c>
      <c r="D154" s="3421">
        <v>11160</v>
      </c>
      <c r="E154" s="3421">
        <v>14130</v>
      </c>
      <c r="F154" s="3427">
        <v>2230</v>
      </c>
      <c r="G154" s="3427">
        <v>7180</v>
      </c>
      <c r="I154" s="1021"/>
      <c r="J154" s="3457"/>
      <c r="K154" s="3457"/>
      <c r="L154" s="3457"/>
      <c r="M154" s="3457"/>
      <c r="N154" s="3457"/>
      <c r="O154" s="3457"/>
      <c r="P154" s="3457"/>
      <c r="Q154" s="3457"/>
      <c r="R154" s="3457"/>
      <c r="S154" s="3457"/>
      <c r="T154" s="3457"/>
      <c r="U154" s="3457"/>
    </row>
    <row r="155" spans="1:21" s="1008" customFormat="1" ht="14.25" customHeight="1">
      <c r="A155" s="3421" t="s">
        <v>1153</v>
      </c>
      <c r="B155" s="3421" t="s">
        <v>2855</v>
      </c>
      <c r="C155" s="3421">
        <v>10430</v>
      </c>
      <c r="D155" s="3421">
        <v>10380</v>
      </c>
      <c r="E155" s="3421">
        <v>13140</v>
      </c>
      <c r="F155" s="3427">
        <v>2080</v>
      </c>
      <c r="G155" s="3427">
        <v>6650</v>
      </c>
      <c r="I155" s="1021"/>
      <c r="J155" s="3457"/>
      <c r="K155" s="3457"/>
      <c r="L155" s="3457"/>
      <c r="M155" s="3457"/>
      <c r="N155" s="3457"/>
      <c r="O155" s="3457"/>
      <c r="P155" s="3457"/>
      <c r="Q155" s="3457"/>
      <c r="R155" s="3457"/>
      <c r="S155" s="3457"/>
      <c r="T155" s="3457"/>
      <c r="U155" s="3457"/>
    </row>
    <row r="156" spans="1:21" s="1008" customFormat="1" ht="14.25" customHeight="1">
      <c r="A156" s="3421" t="s">
        <v>1153</v>
      </c>
      <c r="B156" s="3421" t="s">
        <v>2856</v>
      </c>
      <c r="C156" s="3421">
        <v>10440</v>
      </c>
      <c r="D156" s="3421">
        <v>10400</v>
      </c>
      <c r="E156" s="3421">
        <v>13150</v>
      </c>
      <c r="F156" s="3427">
        <v>2490</v>
      </c>
      <c r="G156" s="3427">
        <v>6690</v>
      </c>
      <c r="I156" s="1021"/>
      <c r="J156" s="3457"/>
      <c r="K156" s="3457"/>
      <c r="L156" s="3457"/>
      <c r="M156" s="3457"/>
      <c r="N156" s="3457"/>
      <c r="O156" s="3457"/>
      <c r="P156" s="3457"/>
      <c r="Q156" s="3457"/>
      <c r="R156" s="3457"/>
      <c r="S156" s="3457"/>
      <c r="T156" s="3457"/>
      <c r="U156" s="3457"/>
    </row>
    <row r="157" spans="1:21" s="1008" customFormat="1" ht="14.25" customHeight="1">
      <c r="A157" s="3421" t="s">
        <v>1153</v>
      </c>
      <c r="B157" s="3421" t="s">
        <v>1149</v>
      </c>
      <c r="C157" s="3421">
        <v>10970</v>
      </c>
      <c r="D157" s="3421">
        <v>10920</v>
      </c>
      <c r="E157" s="3421">
        <v>13840</v>
      </c>
      <c r="F157" s="3427">
        <v>2420</v>
      </c>
      <c r="G157" s="3434">
        <v>7020</v>
      </c>
      <c r="I157" s="1021"/>
      <c r="J157" s="3457"/>
      <c r="K157" s="3457"/>
      <c r="L157" s="3457"/>
      <c r="M157" s="3457"/>
      <c r="N157" s="3457"/>
      <c r="O157" s="3457"/>
      <c r="P157" s="3457"/>
      <c r="Q157" s="3457"/>
      <c r="R157" s="3457"/>
      <c r="S157" s="3457"/>
      <c r="T157" s="3457"/>
      <c r="U157" s="3457"/>
    </row>
    <row r="158" spans="1:21" s="1008" customFormat="1" ht="14.25" customHeight="1">
      <c r="A158" s="1286" t="s">
        <v>1153</v>
      </c>
      <c r="B158" s="1286" t="s">
        <v>1150</v>
      </c>
      <c r="C158" s="1286">
        <v>9590</v>
      </c>
      <c r="D158" s="1286">
        <v>9540</v>
      </c>
      <c r="E158" s="1286">
        <v>12210</v>
      </c>
      <c r="F158" s="3422">
        <v>2100</v>
      </c>
      <c r="G158" s="3422">
        <v>6130</v>
      </c>
      <c r="I158" s="1021"/>
      <c r="J158" s="3457"/>
      <c r="K158" s="3457"/>
      <c r="L158" s="3457"/>
      <c r="M158" s="3457"/>
      <c r="N158" s="3457"/>
      <c r="O158" s="3457"/>
      <c r="P158" s="3457"/>
      <c r="Q158" s="3457"/>
      <c r="R158" s="3457"/>
      <c r="S158" s="3457"/>
      <c r="T158" s="3457"/>
      <c r="U158" s="3457"/>
    </row>
    <row r="159" spans="1:21" s="1008" customFormat="1" ht="14.25" customHeight="1">
      <c r="A159" s="3421" t="s">
        <v>1153</v>
      </c>
      <c r="B159" s="3421" t="s">
        <v>1151</v>
      </c>
      <c r="C159" s="3421">
        <v>11190</v>
      </c>
      <c r="D159" s="3421">
        <v>11140</v>
      </c>
      <c r="E159" s="3421">
        <v>14090</v>
      </c>
      <c r="F159" s="3427">
        <v>2470</v>
      </c>
      <c r="G159" s="3427">
        <v>7170</v>
      </c>
      <c r="I159" s="1021"/>
      <c r="J159" s="3457"/>
      <c r="K159" s="3457"/>
      <c r="L159" s="3457"/>
      <c r="M159" s="3457"/>
      <c r="N159" s="3457"/>
      <c r="O159" s="3457"/>
      <c r="P159" s="3457"/>
      <c r="Q159" s="3457"/>
      <c r="R159" s="3457"/>
      <c r="S159" s="3457"/>
      <c r="T159" s="3457"/>
      <c r="U159" s="3457"/>
    </row>
    <row r="160" spans="1:21" s="1008" customFormat="1" ht="14.25" customHeight="1">
      <c r="A160" s="3421" t="s">
        <v>1153</v>
      </c>
      <c r="B160" s="3421" t="s">
        <v>2857</v>
      </c>
      <c r="C160" s="3421">
        <v>11180</v>
      </c>
      <c r="D160" s="3421">
        <v>11140</v>
      </c>
      <c r="E160" s="3421">
        <v>14050</v>
      </c>
      <c r="F160" s="3427">
        <v>2270</v>
      </c>
      <c r="G160" s="3427">
        <v>7170</v>
      </c>
      <c r="I160" s="1021"/>
      <c r="J160" s="3457"/>
      <c r="K160" s="3457"/>
      <c r="L160" s="3457"/>
      <c r="M160" s="3457"/>
      <c r="N160" s="3457"/>
      <c r="O160" s="3457"/>
      <c r="P160" s="3457"/>
      <c r="Q160" s="3457"/>
      <c r="R160" s="3457"/>
      <c r="S160" s="3457"/>
      <c r="T160" s="3457"/>
      <c r="U160" s="3457"/>
    </row>
    <row r="161" spans="1:21" s="1008" customFormat="1" ht="14.25" customHeight="1">
      <c r="A161" s="3421" t="s">
        <v>1153</v>
      </c>
      <c r="B161" s="3421" t="s">
        <v>2858</v>
      </c>
      <c r="C161" s="3421">
        <v>11160</v>
      </c>
      <c r="D161" s="3421">
        <v>11120</v>
      </c>
      <c r="E161" s="3421">
        <v>14020</v>
      </c>
      <c r="F161" s="3427">
        <v>2150</v>
      </c>
      <c r="G161" s="3427">
        <v>7160</v>
      </c>
      <c r="I161" s="1021"/>
      <c r="J161" s="3457"/>
      <c r="K161" s="3457"/>
      <c r="L161" s="3457"/>
      <c r="M161" s="3457"/>
      <c r="N161" s="3457"/>
      <c r="O161" s="3457"/>
      <c r="P161" s="3457"/>
      <c r="Q161" s="3457"/>
      <c r="R161" s="3457"/>
      <c r="S161" s="3457"/>
      <c r="T161" s="3457"/>
      <c r="U161" s="3457"/>
    </row>
    <row r="162" spans="1:21" s="1008" customFormat="1" ht="14.25" customHeight="1">
      <c r="A162" s="3421" t="s">
        <v>1153</v>
      </c>
      <c r="B162" s="3421" t="s">
        <v>2859</v>
      </c>
      <c r="C162" s="3421">
        <v>9620</v>
      </c>
      <c r="D162" s="3421">
        <v>9570</v>
      </c>
      <c r="E162" s="3421">
        <v>12320</v>
      </c>
      <c r="F162" s="3427">
        <v>2010</v>
      </c>
      <c r="G162" s="3427">
        <v>6160</v>
      </c>
      <c r="I162" s="1021"/>
      <c r="J162" s="3457"/>
      <c r="K162" s="3457"/>
      <c r="L162" s="3457"/>
      <c r="M162" s="3457"/>
      <c r="N162" s="3457"/>
      <c r="O162" s="3457"/>
      <c r="P162" s="3457"/>
      <c r="Q162" s="3457"/>
      <c r="R162" s="3457"/>
      <c r="S162" s="3457"/>
      <c r="T162" s="3457"/>
      <c r="U162" s="3457"/>
    </row>
    <row r="163" spans="1:21" s="1008" customFormat="1" ht="14.25" customHeight="1">
      <c r="A163" s="3421" t="s">
        <v>1153</v>
      </c>
      <c r="B163" s="3421" t="s">
        <v>2860</v>
      </c>
      <c r="C163" s="3421">
        <v>9320</v>
      </c>
      <c r="D163" s="3421">
        <v>9270</v>
      </c>
      <c r="E163" s="3421">
        <v>11790</v>
      </c>
      <c r="F163" s="3427">
        <v>1920</v>
      </c>
      <c r="G163" s="3427">
        <v>5960</v>
      </c>
      <c r="I163" s="1021"/>
      <c r="J163" s="3457"/>
      <c r="K163" s="3457"/>
      <c r="L163" s="3457"/>
      <c r="M163" s="3457"/>
      <c r="N163" s="3457"/>
      <c r="O163" s="3457"/>
      <c r="P163" s="3457"/>
      <c r="Q163" s="3457"/>
      <c r="R163" s="3457"/>
      <c r="S163" s="3457"/>
      <c r="T163" s="3457"/>
      <c r="U163" s="3457"/>
    </row>
    <row r="164" spans="1:21" s="1008" customFormat="1" ht="14.25" customHeight="1">
      <c r="A164" s="3421" t="s">
        <v>1153</v>
      </c>
      <c r="B164" s="3421" t="s">
        <v>2861</v>
      </c>
      <c r="C164" s="3421"/>
      <c r="D164" s="3421"/>
      <c r="E164" s="3421"/>
      <c r="F164" s="3427">
        <v>1980</v>
      </c>
      <c r="G164" s="3427"/>
      <c r="I164" s="1021"/>
      <c r="J164" s="3457"/>
      <c r="K164" s="3457"/>
      <c r="L164" s="3457"/>
      <c r="M164" s="3457"/>
      <c r="N164" s="3457"/>
      <c r="O164" s="3457"/>
      <c r="P164" s="3457"/>
      <c r="Q164" s="3457"/>
      <c r="R164" s="3457"/>
      <c r="S164" s="3457"/>
      <c r="T164" s="3457"/>
      <c r="U164" s="3457"/>
    </row>
    <row r="165" spans="1:21" s="1008" customFormat="1" ht="14.25" customHeight="1">
      <c r="A165" s="3421" t="s">
        <v>1153</v>
      </c>
      <c r="B165" s="3421" t="s">
        <v>2862</v>
      </c>
      <c r="C165" s="3421">
        <v>11060</v>
      </c>
      <c r="D165" s="3421">
        <v>11030</v>
      </c>
      <c r="E165" s="3421">
        <v>13850</v>
      </c>
      <c r="F165" s="3427">
        <v>2170</v>
      </c>
      <c r="G165" s="3427">
        <v>7090</v>
      </c>
      <c r="I165" s="1021"/>
      <c r="J165" s="3457"/>
      <c r="K165" s="3457"/>
      <c r="L165" s="3457"/>
      <c r="M165" s="3457"/>
      <c r="N165" s="3457"/>
      <c r="O165" s="3457"/>
      <c r="P165" s="3457"/>
      <c r="Q165" s="3457"/>
      <c r="R165" s="3457"/>
      <c r="S165" s="3457"/>
      <c r="T165" s="3457"/>
      <c r="U165" s="3457"/>
    </row>
    <row r="166" spans="1:21" s="1008" customFormat="1" ht="14.25" customHeight="1">
      <c r="A166" s="3421" t="s">
        <v>1153</v>
      </c>
      <c r="B166" s="3421" t="s">
        <v>2863</v>
      </c>
      <c r="C166" s="3421">
        <v>11050</v>
      </c>
      <c r="D166" s="3421">
        <v>11010</v>
      </c>
      <c r="E166" s="3421">
        <v>13920</v>
      </c>
      <c r="F166" s="3427">
        <v>2140</v>
      </c>
      <c r="G166" s="3427">
        <v>7080</v>
      </c>
      <c r="I166" s="1021"/>
      <c r="J166" s="3457"/>
      <c r="K166" s="3457"/>
      <c r="L166" s="3457"/>
      <c r="M166" s="3457"/>
      <c r="N166" s="3457"/>
      <c r="O166" s="3457"/>
      <c r="P166" s="3457"/>
      <c r="Q166" s="3457"/>
      <c r="R166" s="3457"/>
      <c r="S166" s="3457"/>
      <c r="T166" s="3457"/>
      <c r="U166" s="3457"/>
    </row>
    <row r="167" spans="1:21" s="1008" customFormat="1" ht="14.25" customHeight="1">
      <c r="A167" s="3421" t="s">
        <v>1153</v>
      </c>
      <c r="B167" s="3421" t="s">
        <v>2864</v>
      </c>
      <c r="C167" s="3421">
        <v>10930</v>
      </c>
      <c r="D167" s="3421">
        <v>10890</v>
      </c>
      <c r="E167" s="3421">
        <v>13790</v>
      </c>
      <c r="F167" s="3427">
        <v>2010</v>
      </c>
      <c r="G167" s="3429">
        <v>7000</v>
      </c>
      <c r="I167" s="1021"/>
      <c r="J167" s="3457"/>
      <c r="K167" s="3457"/>
      <c r="L167" s="3457"/>
      <c r="M167" s="3457"/>
      <c r="N167" s="3457"/>
      <c r="O167" s="3457"/>
      <c r="P167" s="3457"/>
      <c r="Q167" s="3457"/>
      <c r="R167" s="3457"/>
      <c r="S167" s="3457"/>
      <c r="T167" s="3457"/>
      <c r="U167" s="3457"/>
    </row>
    <row r="168" spans="1:21" s="1008" customFormat="1" ht="14.25" customHeight="1">
      <c r="A168" s="3421" t="s">
        <v>1153</v>
      </c>
      <c r="B168" s="3421" t="s">
        <v>2865</v>
      </c>
      <c r="C168" s="3421">
        <v>9420</v>
      </c>
      <c r="D168" s="3421">
        <v>9380</v>
      </c>
      <c r="E168" s="3421">
        <v>11970</v>
      </c>
      <c r="F168" s="3427"/>
      <c r="G168" s="3429">
        <v>6040</v>
      </c>
      <c r="I168" s="1021"/>
      <c r="J168" s="3457"/>
      <c r="K168" s="3457"/>
      <c r="L168" s="3457"/>
      <c r="M168" s="3457"/>
      <c r="N168" s="3457"/>
      <c r="O168" s="3457"/>
      <c r="P168" s="3457"/>
      <c r="Q168" s="3457"/>
      <c r="R168" s="3457"/>
      <c r="S168" s="3457"/>
      <c r="T168" s="3457"/>
      <c r="U168" s="3457"/>
    </row>
    <row r="169" spans="1:21" s="1008" customFormat="1" ht="14.25" customHeight="1">
      <c r="A169" s="3421" t="s">
        <v>1153</v>
      </c>
      <c r="B169" s="3421" t="s">
        <v>2866</v>
      </c>
      <c r="C169" s="3421"/>
      <c r="D169" s="3421"/>
      <c r="E169" s="3421"/>
      <c r="F169" s="3427">
        <v>2880</v>
      </c>
      <c r="G169" s="3429"/>
      <c r="I169" s="1021"/>
      <c r="J169" s="3457"/>
      <c r="K169" s="3457"/>
      <c r="L169" s="3457"/>
      <c r="M169" s="3457"/>
      <c r="N169" s="3457"/>
      <c r="O169" s="3457"/>
      <c r="P169" s="3457"/>
      <c r="Q169" s="3457"/>
      <c r="R169" s="3457"/>
      <c r="S169" s="3457"/>
      <c r="T169" s="3457"/>
      <c r="U169" s="3457"/>
    </row>
    <row r="170" spans="1:21" s="1008" customFormat="1" ht="14.25" customHeight="1">
      <c r="A170" s="3421" t="s">
        <v>1153</v>
      </c>
      <c r="B170" s="3421" t="s">
        <v>2867</v>
      </c>
      <c r="C170" s="3421"/>
      <c r="D170" s="3421"/>
      <c r="E170" s="3421"/>
      <c r="F170" s="3427">
        <v>2880</v>
      </c>
      <c r="G170" s="3429"/>
      <c r="I170" s="1021"/>
      <c r="J170" s="3457"/>
      <c r="K170" s="3457"/>
      <c r="L170" s="3457"/>
      <c r="M170" s="3457"/>
      <c r="N170" s="3457"/>
      <c r="O170" s="3457"/>
      <c r="P170" s="3457"/>
      <c r="Q170" s="3457"/>
      <c r="R170" s="3457"/>
      <c r="S170" s="3457"/>
      <c r="T170" s="3457"/>
      <c r="U170" s="3457"/>
    </row>
    <row r="171" spans="1:21" s="1008" customFormat="1" ht="14.25" customHeight="1">
      <c r="A171" s="3421" t="s">
        <v>1153</v>
      </c>
      <c r="B171" s="3421" t="s">
        <v>2868</v>
      </c>
      <c r="C171" s="3421"/>
      <c r="D171" s="3421"/>
      <c r="E171" s="3421"/>
      <c r="F171" s="3427">
        <v>2880</v>
      </c>
      <c r="G171" s="3427"/>
      <c r="I171" s="1021"/>
      <c r="J171" s="3457"/>
      <c r="K171" s="3457"/>
      <c r="L171" s="3457"/>
      <c r="M171" s="3457"/>
      <c r="N171" s="3457"/>
      <c r="O171" s="3457"/>
      <c r="P171" s="3457"/>
      <c r="Q171" s="3457"/>
      <c r="R171" s="3457"/>
      <c r="S171" s="3457"/>
      <c r="T171" s="3457"/>
      <c r="U171" s="3457"/>
    </row>
    <row r="172" spans="1:21" s="1008" customFormat="1" ht="14.25" customHeight="1">
      <c r="A172" s="3421" t="s">
        <v>1153</v>
      </c>
      <c r="B172" s="3421" t="s">
        <v>2869</v>
      </c>
      <c r="C172" s="3421"/>
      <c r="D172" s="3421"/>
      <c r="E172" s="3421"/>
      <c r="F172" s="3427">
        <v>2880</v>
      </c>
      <c r="G172" s="3429"/>
      <c r="I172" s="1021"/>
      <c r="J172" s="3457"/>
      <c r="K172" s="3457"/>
      <c r="L172" s="3457"/>
      <c r="M172" s="3457"/>
      <c r="N172" s="3457"/>
      <c r="O172" s="3457"/>
      <c r="P172" s="3457"/>
      <c r="Q172" s="3457"/>
      <c r="R172" s="3457"/>
      <c r="S172" s="3457"/>
      <c r="T172" s="3457"/>
      <c r="U172" s="3457"/>
    </row>
    <row r="173" spans="1:21" s="1008" customFormat="1" ht="14.25" customHeight="1">
      <c r="A173" s="3421" t="s">
        <v>1153</v>
      </c>
      <c r="B173" s="3421" t="s">
        <v>2870</v>
      </c>
      <c r="C173" s="3421"/>
      <c r="D173" s="3421"/>
      <c r="E173" s="3421"/>
      <c r="F173" s="3427">
        <v>2150</v>
      </c>
      <c r="G173" s="3429"/>
      <c r="I173" s="1021"/>
      <c r="J173" s="3457"/>
      <c r="K173" s="3457"/>
      <c r="L173" s="3457"/>
      <c r="M173" s="3457"/>
      <c r="N173" s="3457"/>
      <c r="O173" s="3457"/>
      <c r="P173" s="3457"/>
      <c r="Q173" s="3457"/>
      <c r="R173" s="3457"/>
      <c r="S173" s="3457"/>
      <c r="T173" s="3457"/>
      <c r="U173" s="3457"/>
    </row>
    <row r="174" spans="1:21" s="1008" customFormat="1" ht="14.25" customHeight="1">
      <c r="A174" s="3421" t="s">
        <v>1153</v>
      </c>
      <c r="B174" s="3421" t="s">
        <v>2871</v>
      </c>
      <c r="C174" s="3421"/>
      <c r="D174" s="3421"/>
      <c r="E174" s="3421"/>
      <c r="F174" s="3427">
        <v>2030</v>
      </c>
      <c r="G174" s="3427"/>
      <c r="I174" s="1021"/>
      <c r="J174" s="3457"/>
      <c r="K174" s="3457"/>
      <c r="L174" s="3457"/>
      <c r="M174" s="3457"/>
      <c r="N174" s="3457"/>
      <c r="O174" s="3457"/>
      <c r="P174" s="3457"/>
      <c r="Q174" s="3457"/>
      <c r="R174" s="3457"/>
      <c r="S174" s="3457"/>
      <c r="T174" s="3457"/>
      <c r="U174" s="3457"/>
    </row>
    <row r="175" spans="1:21" s="1008" customFormat="1" ht="14.25" customHeight="1">
      <c r="A175" s="3421" t="s">
        <v>1153</v>
      </c>
      <c r="B175" s="3421" t="s">
        <v>2872</v>
      </c>
      <c r="C175" s="3421"/>
      <c r="D175" s="3421"/>
      <c r="E175" s="3421"/>
      <c r="F175" s="3427">
        <v>2780</v>
      </c>
      <c r="G175" s="3427"/>
      <c r="I175" s="1021"/>
      <c r="J175" s="3457"/>
      <c r="K175" s="3457"/>
      <c r="L175" s="3457"/>
      <c r="M175" s="3457"/>
      <c r="N175" s="3457"/>
      <c r="O175" s="3457"/>
      <c r="P175" s="3457"/>
      <c r="Q175" s="3457"/>
      <c r="R175" s="3457"/>
      <c r="S175" s="3457"/>
      <c r="T175" s="3457"/>
      <c r="U175" s="3457"/>
    </row>
    <row r="176" spans="1:21" s="1008" customFormat="1" ht="14.25" customHeight="1">
      <c r="A176" s="3421" t="s">
        <v>1153</v>
      </c>
      <c r="B176" s="3421" t="s">
        <v>2873</v>
      </c>
      <c r="C176" s="3421"/>
      <c r="D176" s="3421"/>
      <c r="E176" s="3421"/>
      <c r="F176" s="3427">
        <v>2780</v>
      </c>
      <c r="G176" s="3427"/>
      <c r="I176" s="1021"/>
      <c r="J176" s="3457"/>
      <c r="K176" s="3457"/>
      <c r="L176" s="3457"/>
      <c r="M176" s="3457"/>
      <c r="N176" s="3457"/>
      <c r="O176" s="3457"/>
      <c r="P176" s="3457"/>
      <c r="Q176" s="3457"/>
      <c r="R176" s="3457"/>
      <c r="S176" s="3457"/>
      <c r="T176" s="3457"/>
      <c r="U176" s="3457"/>
    </row>
    <row r="177" spans="1:21" s="1008" customFormat="1" ht="14.25" customHeight="1">
      <c r="A177" s="3421" t="s">
        <v>1153</v>
      </c>
      <c r="B177" s="3421" t="s">
        <v>2874</v>
      </c>
      <c r="C177" s="3421"/>
      <c r="D177" s="3421"/>
      <c r="E177" s="3421"/>
      <c r="F177" s="3427">
        <v>2780</v>
      </c>
      <c r="G177" s="3427"/>
      <c r="I177" s="1021"/>
      <c r="J177" s="3457"/>
      <c r="K177" s="3457"/>
      <c r="L177" s="3457"/>
      <c r="M177" s="3457"/>
      <c r="N177" s="3457"/>
      <c r="O177" s="3457"/>
      <c r="P177" s="3457"/>
      <c r="Q177" s="3457"/>
      <c r="R177" s="3457"/>
      <c r="S177" s="3457"/>
      <c r="T177" s="3457"/>
      <c r="U177" s="3457"/>
    </row>
    <row r="178" spans="1:21" s="1008" customFormat="1" ht="14.25" customHeight="1">
      <c r="A178" s="3421" t="s">
        <v>1153</v>
      </c>
      <c r="B178" s="3421" t="s">
        <v>2875</v>
      </c>
      <c r="C178" s="3421"/>
      <c r="D178" s="3421"/>
      <c r="E178" s="3421"/>
      <c r="F178" s="3427">
        <v>2060</v>
      </c>
      <c r="G178" s="3427"/>
      <c r="I178" s="1021"/>
      <c r="J178" s="3457"/>
      <c r="K178" s="3457"/>
      <c r="L178" s="3457"/>
      <c r="M178" s="3457"/>
      <c r="N178" s="3457"/>
      <c r="O178" s="3457"/>
      <c r="P178" s="3457"/>
      <c r="Q178" s="3457"/>
      <c r="R178" s="3457"/>
      <c r="S178" s="3457"/>
      <c r="T178" s="3457"/>
      <c r="U178" s="3457"/>
    </row>
    <row r="179" spans="1:21" s="1008" customFormat="1" ht="14.25" customHeight="1">
      <c r="A179" s="3421" t="s">
        <v>1153</v>
      </c>
      <c r="B179" s="3421" t="s">
        <v>2876</v>
      </c>
      <c r="C179" s="3421"/>
      <c r="D179" s="3421"/>
      <c r="E179" s="3421"/>
      <c r="F179" s="3427">
        <v>2120</v>
      </c>
      <c r="G179" s="3429"/>
      <c r="I179" s="1021"/>
      <c r="J179" s="3457"/>
      <c r="K179" s="3457"/>
      <c r="L179" s="3457"/>
      <c r="M179" s="3457"/>
      <c r="N179" s="3457"/>
      <c r="O179" s="3457"/>
      <c r="P179" s="3457"/>
      <c r="Q179" s="3457"/>
      <c r="R179" s="3457"/>
      <c r="S179" s="3457"/>
      <c r="T179" s="3457"/>
      <c r="U179" s="3457"/>
    </row>
    <row r="180" spans="1:21" s="1008" customFormat="1" ht="14.25" customHeight="1">
      <c r="A180" s="3421" t="s">
        <v>1153</v>
      </c>
      <c r="B180" s="3421" t="s">
        <v>2877</v>
      </c>
      <c r="C180" s="3421"/>
      <c r="D180" s="3421"/>
      <c r="E180" s="3421"/>
      <c r="F180" s="3427">
        <v>2340</v>
      </c>
      <c r="G180" s="3427"/>
      <c r="I180" s="1021"/>
      <c r="J180" s="3457"/>
      <c r="K180" s="3457"/>
      <c r="L180" s="3457"/>
      <c r="M180" s="3457"/>
      <c r="N180" s="3457"/>
      <c r="O180" s="3457"/>
      <c r="P180" s="3457"/>
      <c r="Q180" s="3457"/>
      <c r="R180" s="3457"/>
      <c r="S180" s="3457"/>
      <c r="T180" s="3457"/>
      <c r="U180" s="3457"/>
    </row>
    <row r="181" spans="1:21" s="1008" customFormat="1" ht="14.25" customHeight="1">
      <c r="A181" s="3421" t="s">
        <v>1153</v>
      </c>
      <c r="B181" s="3421" t="s">
        <v>2878</v>
      </c>
      <c r="C181" s="3421"/>
      <c r="D181" s="3421"/>
      <c r="E181" s="3421"/>
      <c r="F181" s="3427">
        <v>2340</v>
      </c>
      <c r="G181" s="3427"/>
      <c r="I181" s="1021"/>
      <c r="J181" s="3457"/>
      <c r="K181" s="3457"/>
      <c r="L181" s="3457"/>
      <c r="M181" s="3457"/>
      <c r="N181" s="3457"/>
      <c r="O181" s="3457"/>
      <c r="P181" s="3457"/>
      <c r="Q181" s="3457"/>
      <c r="R181" s="3457"/>
      <c r="S181" s="3457"/>
      <c r="T181" s="3457"/>
      <c r="U181" s="3457"/>
    </row>
    <row r="182" spans="1:21" s="1008" customFormat="1" ht="14.25" customHeight="1">
      <c r="A182" s="3421" t="s">
        <v>1153</v>
      </c>
      <c r="B182" s="3421" t="s">
        <v>2879</v>
      </c>
      <c r="C182" s="3421"/>
      <c r="D182" s="3421"/>
      <c r="E182" s="3421"/>
      <c r="F182" s="3427">
        <v>2340</v>
      </c>
      <c r="G182" s="3427"/>
      <c r="I182" s="1021"/>
      <c r="J182" s="3457"/>
      <c r="K182" s="3457"/>
      <c r="L182" s="3457"/>
      <c r="M182" s="3457"/>
      <c r="N182" s="3457"/>
      <c r="O182" s="3457"/>
      <c r="P182" s="3457"/>
      <c r="Q182" s="3457"/>
      <c r="R182" s="3457"/>
      <c r="S182" s="3457"/>
      <c r="T182" s="3457"/>
      <c r="U182" s="3457"/>
    </row>
    <row r="183" spans="1:21" s="1008" customFormat="1" ht="14.25" customHeight="1">
      <c r="A183" s="3421" t="s">
        <v>1153</v>
      </c>
      <c r="B183" s="3421" t="s">
        <v>2880</v>
      </c>
      <c r="C183" s="3421"/>
      <c r="D183" s="3421"/>
      <c r="E183" s="3421"/>
      <c r="F183" s="3427">
        <v>2340</v>
      </c>
      <c r="G183" s="3429"/>
      <c r="I183" s="1021"/>
      <c r="J183" s="3457"/>
      <c r="K183" s="3457"/>
      <c r="L183" s="3457"/>
      <c r="M183" s="3457"/>
      <c r="N183" s="3457"/>
      <c r="O183" s="3457"/>
      <c r="P183" s="3457"/>
      <c r="Q183" s="3457"/>
      <c r="R183" s="3457"/>
      <c r="S183" s="3457"/>
      <c r="T183" s="3457"/>
      <c r="U183" s="3457"/>
    </row>
    <row r="184" spans="1:21" s="1008" customFormat="1" ht="14.25" customHeight="1">
      <c r="A184" s="3421" t="s">
        <v>1153</v>
      </c>
      <c r="B184" s="3421" t="s">
        <v>2881</v>
      </c>
      <c r="C184" s="3421"/>
      <c r="D184" s="3421"/>
      <c r="E184" s="3421"/>
      <c r="F184" s="3427">
        <v>2340</v>
      </c>
      <c r="G184" s="3429"/>
      <c r="I184" s="1021"/>
      <c r="J184" s="3457"/>
      <c r="K184" s="3457"/>
      <c r="L184" s="3457"/>
      <c r="M184" s="3457"/>
      <c r="N184" s="3457"/>
      <c r="O184" s="3457"/>
      <c r="P184" s="3457"/>
      <c r="Q184" s="3457"/>
      <c r="R184" s="3457"/>
      <c r="S184" s="3457"/>
      <c r="T184" s="3457"/>
      <c r="U184" s="3457"/>
    </row>
    <row r="185" spans="1:21" s="1008" customFormat="1" ht="14.25" customHeight="1">
      <c r="A185" s="3421" t="s">
        <v>1153</v>
      </c>
      <c r="B185" s="3421" t="s">
        <v>2882</v>
      </c>
      <c r="C185" s="3421"/>
      <c r="D185" s="3421"/>
      <c r="E185" s="3421"/>
      <c r="F185" s="3427">
        <v>2530</v>
      </c>
      <c r="G185" s="3427"/>
      <c r="I185" s="1021"/>
      <c r="J185" s="3457"/>
      <c r="K185" s="3457"/>
      <c r="L185" s="3457"/>
      <c r="M185" s="3457"/>
      <c r="N185" s="3457"/>
      <c r="O185" s="3457"/>
      <c r="P185" s="3457"/>
      <c r="Q185" s="3457"/>
      <c r="R185" s="3457"/>
      <c r="S185" s="3457"/>
      <c r="T185" s="3457"/>
      <c r="U185" s="3457"/>
    </row>
    <row r="186" spans="1:21" s="1008" customFormat="1" ht="14.25" customHeight="1">
      <c r="A186" s="3421" t="s">
        <v>1153</v>
      </c>
      <c r="B186" s="3421" t="s">
        <v>2883</v>
      </c>
      <c r="C186" s="3421"/>
      <c r="D186" s="3421"/>
      <c r="E186" s="3421"/>
      <c r="F186" s="3427">
        <v>2550</v>
      </c>
      <c r="G186" s="3427"/>
      <c r="I186" s="1021"/>
      <c r="J186" s="3457"/>
      <c r="K186" s="3457"/>
      <c r="L186" s="3457"/>
      <c r="M186" s="3457"/>
      <c r="N186" s="3457"/>
      <c r="O186" s="3457"/>
      <c r="P186" s="3457"/>
      <c r="Q186" s="3457"/>
      <c r="R186" s="3457"/>
      <c r="S186" s="3457"/>
      <c r="T186" s="3457"/>
      <c r="U186" s="3457"/>
    </row>
    <row r="187" spans="1:21" s="1008" customFormat="1" ht="14.25" customHeight="1">
      <c r="A187" s="3421" t="s">
        <v>1153</v>
      </c>
      <c r="B187" s="3421" t="s">
        <v>2884</v>
      </c>
      <c r="C187" s="3421"/>
      <c r="D187" s="3421"/>
      <c r="E187" s="3421"/>
      <c r="F187" s="3427">
        <v>2070</v>
      </c>
      <c r="G187" s="3427"/>
      <c r="I187" s="1021"/>
      <c r="J187" s="3457"/>
      <c r="K187" s="3457"/>
      <c r="L187" s="3457"/>
      <c r="M187" s="3457"/>
      <c r="N187" s="3457"/>
      <c r="O187" s="3457"/>
      <c r="P187" s="3457"/>
      <c r="Q187" s="3457"/>
      <c r="R187" s="3457"/>
      <c r="S187" s="3457"/>
      <c r="T187" s="3457"/>
      <c r="U187" s="3457"/>
    </row>
    <row r="188" spans="1:21" s="1008" customFormat="1" ht="14.25" customHeight="1">
      <c r="A188" s="3421" t="s">
        <v>1153</v>
      </c>
      <c r="B188" s="3421" t="s">
        <v>2885</v>
      </c>
      <c r="C188" s="3421"/>
      <c r="D188" s="3421"/>
      <c r="E188" s="3421"/>
      <c r="F188" s="3427">
        <v>2340</v>
      </c>
      <c r="G188" s="3427"/>
      <c r="I188" s="1021"/>
      <c r="J188" s="3457"/>
      <c r="K188" s="3457"/>
      <c r="L188" s="3457"/>
      <c r="M188" s="3457"/>
      <c r="N188" s="3457"/>
      <c r="O188" s="3457"/>
      <c r="P188" s="3457"/>
      <c r="Q188" s="3457"/>
      <c r="R188" s="3457"/>
      <c r="S188" s="3457"/>
      <c r="T188" s="3457"/>
      <c r="U188" s="3457"/>
    </row>
    <row r="189" spans="1:21" s="1008" customFormat="1" ht="14.25" customHeight="1" thickBot="1">
      <c r="A189" s="3436" t="s">
        <v>1153</v>
      </c>
      <c r="B189" s="3424" t="s">
        <v>2886</v>
      </c>
      <c r="C189" s="3424"/>
      <c r="D189" s="3424"/>
      <c r="E189" s="3424"/>
      <c r="F189" s="3425">
        <v>2050</v>
      </c>
      <c r="G189" s="3437"/>
      <c r="I189" s="1021"/>
      <c r="J189" s="3457"/>
      <c r="K189" s="3457"/>
      <c r="L189" s="3457"/>
      <c r="M189" s="3457"/>
      <c r="N189" s="3457"/>
      <c r="O189" s="3457"/>
      <c r="P189" s="3457"/>
      <c r="Q189" s="3457"/>
      <c r="R189" s="3457"/>
      <c r="S189" s="3457"/>
      <c r="T189" s="3457"/>
      <c r="U189" s="3457"/>
    </row>
    <row r="190" spans="1:21" s="1008" customFormat="1" ht="14.25" customHeight="1">
      <c r="A190" s="3435" t="s">
        <v>1154</v>
      </c>
      <c r="B190" s="1286" t="s">
        <v>2887</v>
      </c>
      <c r="C190" s="1286">
        <v>8830</v>
      </c>
      <c r="D190" s="1286">
        <v>8790</v>
      </c>
      <c r="E190" s="1286">
        <v>11630</v>
      </c>
      <c r="F190" s="3422">
        <v>1790</v>
      </c>
      <c r="G190" s="3422">
        <v>5550</v>
      </c>
      <c r="I190" s="1021"/>
      <c r="J190" s="3457"/>
      <c r="K190" s="3457"/>
      <c r="L190" s="3457"/>
      <c r="M190" s="3457"/>
      <c r="N190" s="3457"/>
      <c r="O190" s="3457"/>
      <c r="P190" s="3457"/>
      <c r="Q190" s="3457"/>
      <c r="R190" s="3457"/>
      <c r="S190" s="3457"/>
      <c r="T190" s="3457"/>
      <c r="U190" s="3457"/>
    </row>
    <row r="191" spans="1:21" s="1008" customFormat="1" ht="14.25" customHeight="1">
      <c r="A191" s="3421" t="s">
        <v>1154</v>
      </c>
      <c r="B191" s="3421" t="s">
        <v>978</v>
      </c>
      <c r="C191" s="3421">
        <v>9780</v>
      </c>
      <c r="D191" s="3421">
        <v>9710</v>
      </c>
      <c r="E191" s="3421">
        <v>12550</v>
      </c>
      <c r="F191" s="3427">
        <v>1980</v>
      </c>
      <c r="G191" s="3427">
        <v>6130</v>
      </c>
      <c r="I191" s="1021"/>
      <c r="J191" s="3457"/>
      <c r="K191" s="3457"/>
      <c r="L191" s="3457"/>
      <c r="M191" s="3457"/>
      <c r="N191" s="3457"/>
      <c r="O191" s="3457"/>
      <c r="P191" s="3457"/>
      <c r="Q191" s="3457"/>
      <c r="R191" s="3457"/>
      <c r="S191" s="3457"/>
      <c r="T191" s="3457"/>
      <c r="U191" s="3457"/>
    </row>
    <row r="192" spans="1:21" s="1008" customFormat="1" ht="14.25" customHeight="1">
      <c r="A192" s="3421" t="s">
        <v>1154</v>
      </c>
      <c r="B192" s="3421" t="s">
        <v>988</v>
      </c>
      <c r="C192" s="3421">
        <v>8180</v>
      </c>
      <c r="D192" s="3421">
        <v>8140</v>
      </c>
      <c r="E192" s="3421">
        <v>10870</v>
      </c>
      <c r="F192" s="3427">
        <v>1690</v>
      </c>
      <c r="G192" s="3427">
        <v>5140</v>
      </c>
      <c r="I192" s="1021"/>
      <c r="J192" s="3457"/>
      <c r="K192" s="3457"/>
      <c r="L192" s="3457"/>
      <c r="M192" s="3457"/>
      <c r="N192" s="3457"/>
      <c r="O192" s="3457"/>
      <c r="P192" s="3457"/>
      <c r="Q192" s="3457"/>
      <c r="R192" s="3457"/>
      <c r="S192" s="3457"/>
      <c r="T192" s="3457"/>
      <c r="U192" s="3457"/>
    </row>
    <row r="193" spans="1:21" s="1008" customFormat="1" ht="14.25" customHeight="1">
      <c r="A193" s="3421" t="s">
        <v>1154</v>
      </c>
      <c r="B193" s="3421" t="s">
        <v>997</v>
      </c>
      <c r="C193" s="3421">
        <v>8440</v>
      </c>
      <c r="D193" s="3421">
        <v>8390</v>
      </c>
      <c r="E193" s="3421">
        <v>11210</v>
      </c>
      <c r="F193" s="3427">
        <v>1600</v>
      </c>
      <c r="G193" s="3427">
        <v>5300</v>
      </c>
      <c r="I193" s="1021"/>
      <c r="J193" s="3457"/>
      <c r="K193" s="3457"/>
      <c r="L193" s="3457"/>
      <c r="M193" s="3457"/>
      <c r="N193" s="3457"/>
      <c r="O193" s="3457"/>
      <c r="P193" s="3457"/>
      <c r="Q193" s="3457"/>
      <c r="R193" s="3457"/>
      <c r="S193" s="3457"/>
      <c r="T193" s="3457"/>
      <c r="U193" s="3457"/>
    </row>
    <row r="194" spans="1:21" s="1008" customFormat="1" ht="14.25" customHeight="1">
      <c r="A194" s="3421" t="s">
        <v>1154</v>
      </c>
      <c r="B194" s="3421" t="s">
        <v>1007</v>
      </c>
      <c r="C194" s="3421">
        <v>8780</v>
      </c>
      <c r="D194" s="3421">
        <v>8730</v>
      </c>
      <c r="E194" s="3421">
        <v>11550</v>
      </c>
      <c r="F194" s="3427">
        <v>1660</v>
      </c>
      <c r="G194" s="3427">
        <v>5520</v>
      </c>
      <c r="I194" s="1021"/>
      <c r="J194" s="3457"/>
      <c r="K194" s="3457"/>
      <c r="L194" s="3457"/>
      <c r="M194" s="3457"/>
      <c r="N194" s="3457"/>
      <c r="O194" s="3457"/>
      <c r="P194" s="3457"/>
      <c r="Q194" s="3457"/>
      <c r="R194" s="3457"/>
      <c r="S194" s="3457"/>
      <c r="T194" s="3457"/>
      <c r="U194" s="3457"/>
    </row>
    <row r="195" spans="1:21" s="1008" customFormat="1" ht="14.25" customHeight="1">
      <c r="A195" s="3421" t="s">
        <v>1154</v>
      </c>
      <c r="B195" s="3421" t="s">
        <v>1014</v>
      </c>
      <c r="C195" s="3421">
        <v>8720</v>
      </c>
      <c r="D195" s="3421">
        <v>8670</v>
      </c>
      <c r="E195" s="3421">
        <v>11450</v>
      </c>
      <c r="F195" s="3427">
        <v>1720</v>
      </c>
      <c r="G195" s="3427">
        <v>5480</v>
      </c>
      <c r="I195" s="1021"/>
      <c r="J195" s="3457"/>
      <c r="K195" s="3457"/>
      <c r="L195" s="3457"/>
      <c r="M195" s="3457"/>
      <c r="N195" s="3457"/>
      <c r="O195" s="3457"/>
      <c r="P195" s="3457"/>
      <c r="Q195" s="3457"/>
      <c r="R195" s="3457"/>
      <c r="S195" s="3457"/>
      <c r="T195" s="3457"/>
      <c r="U195" s="3457"/>
    </row>
    <row r="196" spans="1:21" s="1008" customFormat="1" ht="14.25" customHeight="1">
      <c r="A196" s="3421" t="s">
        <v>1154</v>
      </c>
      <c r="B196" s="3421" t="s">
        <v>1020</v>
      </c>
      <c r="C196" s="3421">
        <v>8460</v>
      </c>
      <c r="D196" s="3421">
        <v>8410</v>
      </c>
      <c r="E196" s="3421">
        <v>11230</v>
      </c>
      <c r="F196" s="3427">
        <v>1730</v>
      </c>
      <c r="G196" s="3427">
        <v>5310</v>
      </c>
      <c r="I196" s="1021"/>
      <c r="J196" s="3457"/>
      <c r="K196" s="3457"/>
      <c r="L196" s="3457"/>
      <c r="M196" s="3457"/>
      <c r="N196" s="3457"/>
      <c r="O196" s="3457"/>
      <c r="P196" s="3457"/>
      <c r="Q196" s="3457"/>
      <c r="R196" s="3457"/>
      <c r="S196" s="3457"/>
      <c r="T196" s="3457"/>
      <c r="U196" s="3457"/>
    </row>
    <row r="197" spans="1:21" s="1008" customFormat="1" ht="14.25" customHeight="1">
      <c r="A197" s="3421" t="s">
        <v>1154</v>
      </c>
      <c r="B197" s="3421" t="s">
        <v>1027</v>
      </c>
      <c r="C197" s="3421">
        <v>8790</v>
      </c>
      <c r="D197" s="3421">
        <v>8730</v>
      </c>
      <c r="E197" s="3421">
        <v>11560</v>
      </c>
      <c r="F197" s="3427">
        <v>1750</v>
      </c>
      <c r="G197" s="3427">
        <v>5520</v>
      </c>
      <c r="I197" s="1021"/>
      <c r="J197" s="3457"/>
      <c r="K197" s="3457"/>
      <c r="L197" s="3457"/>
      <c r="M197" s="3457"/>
      <c r="N197" s="3457"/>
      <c r="O197" s="3457"/>
      <c r="P197" s="3457"/>
      <c r="Q197" s="3457"/>
      <c r="R197" s="3457"/>
      <c r="S197" s="3457"/>
      <c r="T197" s="3457"/>
      <c r="U197" s="3457"/>
    </row>
    <row r="198" spans="1:21" s="1008" customFormat="1" ht="14.25" customHeight="1">
      <c r="A198" s="3421" t="s">
        <v>1154</v>
      </c>
      <c r="B198" s="3421" t="s">
        <v>1037</v>
      </c>
      <c r="C198" s="3421">
        <v>8720</v>
      </c>
      <c r="D198" s="3421">
        <v>8680</v>
      </c>
      <c r="E198" s="3421">
        <v>11470</v>
      </c>
      <c r="F198" s="3427"/>
      <c r="G198" s="3427">
        <v>5480</v>
      </c>
      <c r="I198" s="1021"/>
      <c r="J198" s="3457"/>
      <c r="K198" s="3457"/>
      <c r="L198" s="3457"/>
      <c r="M198" s="3457"/>
      <c r="N198" s="3457"/>
      <c r="O198" s="3457"/>
      <c r="P198" s="3457"/>
      <c r="Q198" s="3457"/>
      <c r="R198" s="3457"/>
      <c r="S198" s="3457"/>
      <c r="T198" s="3457"/>
      <c r="U198" s="3457"/>
    </row>
    <row r="199" spans="1:21" s="1008" customFormat="1" ht="14.25" customHeight="1">
      <c r="A199" s="3421" t="s">
        <v>1154</v>
      </c>
      <c r="B199" s="3421" t="s">
        <v>2888</v>
      </c>
      <c r="C199" s="3421">
        <v>8690</v>
      </c>
      <c r="D199" s="3421">
        <v>8630</v>
      </c>
      <c r="E199" s="3421">
        <v>11350</v>
      </c>
      <c r="F199" s="3427">
        <v>1600</v>
      </c>
      <c r="G199" s="3427">
        <v>5450</v>
      </c>
      <c r="I199" s="1021"/>
      <c r="J199" s="3457"/>
      <c r="K199" s="3457"/>
      <c r="L199" s="3457"/>
      <c r="M199" s="3457"/>
      <c r="N199" s="3457"/>
      <c r="O199" s="3457"/>
      <c r="P199" s="3457"/>
      <c r="Q199" s="3457"/>
      <c r="R199" s="3457"/>
      <c r="S199" s="3457"/>
      <c r="T199" s="3457"/>
      <c r="U199" s="3457"/>
    </row>
    <row r="200" spans="1:21" s="1008" customFormat="1" ht="14.25" customHeight="1">
      <c r="A200" s="3421" t="s">
        <v>1154</v>
      </c>
      <c r="B200" s="3421" t="s">
        <v>2889</v>
      </c>
      <c r="C200" s="3421"/>
      <c r="D200" s="3421"/>
      <c r="E200" s="3421"/>
      <c r="F200" s="3427">
        <v>1510</v>
      </c>
      <c r="G200" s="3427"/>
      <c r="I200" s="1021"/>
      <c r="J200" s="3457"/>
      <c r="K200" s="3457"/>
      <c r="L200" s="3457"/>
      <c r="M200" s="3457"/>
      <c r="N200" s="3457"/>
      <c r="O200" s="3457"/>
      <c r="P200" s="3457"/>
      <c r="Q200" s="3457"/>
      <c r="R200" s="3457"/>
      <c r="S200" s="3457"/>
      <c r="T200" s="3457"/>
      <c r="U200" s="3457"/>
    </row>
    <row r="201" spans="1:21" s="1008" customFormat="1" ht="14.25" customHeight="1">
      <c r="A201" s="3421" t="s">
        <v>1154</v>
      </c>
      <c r="B201" s="3421" t="s">
        <v>2890</v>
      </c>
      <c r="C201" s="3421">
        <v>8440</v>
      </c>
      <c r="D201" s="3421">
        <v>8390</v>
      </c>
      <c r="E201" s="3421">
        <v>10930</v>
      </c>
      <c r="F201" s="3427">
        <v>1500</v>
      </c>
      <c r="G201" s="3427">
        <v>5300</v>
      </c>
      <c r="I201" s="1021"/>
      <c r="J201" s="3457"/>
      <c r="K201" s="3457"/>
      <c r="L201" s="3457"/>
      <c r="M201" s="3457"/>
      <c r="N201" s="3457"/>
      <c r="O201" s="3457"/>
      <c r="P201" s="3457"/>
      <c r="Q201" s="3457"/>
      <c r="R201" s="3457"/>
      <c r="S201" s="3457"/>
      <c r="T201" s="3457"/>
      <c r="U201" s="3457"/>
    </row>
    <row r="202" spans="1:21" s="1008" customFormat="1" ht="14.25" customHeight="1">
      <c r="A202" s="3421" t="s">
        <v>1154</v>
      </c>
      <c r="B202" s="3421" t="s">
        <v>1088</v>
      </c>
      <c r="C202" s="3421">
        <v>8530</v>
      </c>
      <c r="D202" s="3421">
        <v>8490</v>
      </c>
      <c r="E202" s="3421">
        <v>11160</v>
      </c>
      <c r="F202" s="3427">
        <v>1580</v>
      </c>
      <c r="G202" s="3427">
        <v>5360</v>
      </c>
      <c r="I202" s="1021"/>
      <c r="J202" s="3457"/>
      <c r="K202" s="3457"/>
      <c r="L202" s="3457"/>
      <c r="M202" s="3457"/>
      <c r="N202" s="3457"/>
      <c r="O202" s="3457"/>
      <c r="P202" s="3457"/>
      <c r="Q202" s="3457"/>
      <c r="R202" s="3457"/>
      <c r="S202" s="3457"/>
      <c r="T202" s="3457"/>
      <c r="U202" s="3457"/>
    </row>
    <row r="203" spans="1:21" s="1008" customFormat="1" ht="14.25" customHeight="1">
      <c r="A203" s="3421" t="s">
        <v>1154</v>
      </c>
      <c r="B203" s="3421" t="s">
        <v>2891</v>
      </c>
      <c r="C203" s="3421">
        <v>8130</v>
      </c>
      <c r="D203" s="3421">
        <v>8070</v>
      </c>
      <c r="E203" s="3421">
        <v>10820</v>
      </c>
      <c r="F203" s="3427">
        <v>1690</v>
      </c>
      <c r="G203" s="3427">
        <v>5100</v>
      </c>
      <c r="I203" s="1021"/>
      <c r="J203" s="3457"/>
      <c r="K203" s="3457"/>
      <c r="L203" s="3457"/>
      <c r="M203" s="3457"/>
      <c r="N203" s="3457"/>
      <c r="O203" s="3457"/>
      <c r="P203" s="3457"/>
      <c r="Q203" s="3457"/>
      <c r="R203" s="3457"/>
      <c r="S203" s="3457"/>
      <c r="T203" s="3457"/>
      <c r="U203" s="3457"/>
    </row>
    <row r="204" spans="1:21" s="1008" customFormat="1" ht="14.25" customHeight="1">
      <c r="A204" s="3421" t="s">
        <v>1154</v>
      </c>
      <c r="B204" s="3421" t="s">
        <v>2892</v>
      </c>
      <c r="C204" s="3421">
        <v>8350</v>
      </c>
      <c r="D204" s="3421">
        <v>8290</v>
      </c>
      <c r="E204" s="3421">
        <v>11080</v>
      </c>
      <c r="F204" s="3427">
        <v>1450</v>
      </c>
      <c r="G204" s="3427">
        <v>5240</v>
      </c>
      <c r="I204" s="1021"/>
      <c r="J204" s="3457"/>
      <c r="K204" s="3457"/>
      <c r="L204" s="3457"/>
      <c r="M204" s="3457"/>
      <c r="N204" s="3457"/>
      <c r="O204" s="3457"/>
      <c r="P204" s="3457"/>
      <c r="Q204" s="3457"/>
      <c r="R204" s="3457"/>
      <c r="S204" s="3457"/>
      <c r="T204" s="3457"/>
      <c r="U204" s="3457"/>
    </row>
    <row r="205" spans="1:21" s="1008" customFormat="1" ht="14.25" customHeight="1">
      <c r="A205" s="3421" t="s">
        <v>1154</v>
      </c>
      <c r="B205" s="3421" t="s">
        <v>2893</v>
      </c>
      <c r="C205" s="3421">
        <v>7190</v>
      </c>
      <c r="D205" s="3421">
        <v>7130</v>
      </c>
      <c r="E205" s="3421">
        <v>9490</v>
      </c>
      <c r="F205" s="3427">
        <v>1470</v>
      </c>
      <c r="G205" s="3434">
        <v>4510</v>
      </c>
      <c r="I205" s="1021"/>
      <c r="J205" s="3457"/>
      <c r="K205" s="3457"/>
      <c r="L205" s="3457"/>
      <c r="M205" s="3457"/>
      <c r="N205" s="3457"/>
      <c r="O205" s="3457"/>
      <c r="P205" s="3457"/>
      <c r="Q205" s="3457"/>
      <c r="R205" s="3457"/>
      <c r="S205" s="3457"/>
      <c r="T205" s="3457"/>
      <c r="U205" s="3457"/>
    </row>
    <row r="206" spans="1:21" s="1008" customFormat="1" ht="14.25" customHeight="1">
      <c r="A206" s="1286" t="s">
        <v>1154</v>
      </c>
      <c r="B206" s="1286" t="s">
        <v>2894</v>
      </c>
      <c r="C206" s="1286">
        <v>7000</v>
      </c>
      <c r="D206" s="1286">
        <v>6950</v>
      </c>
      <c r="E206" s="1286">
        <v>9170</v>
      </c>
      <c r="F206" s="3422">
        <v>1400</v>
      </c>
      <c r="G206" s="3422">
        <v>4380</v>
      </c>
      <c r="I206" s="1021"/>
      <c r="J206" s="3457"/>
      <c r="K206" s="3457"/>
      <c r="L206" s="3457"/>
      <c r="M206" s="3457"/>
      <c r="N206" s="3457"/>
      <c r="O206" s="3457"/>
      <c r="P206" s="3457"/>
      <c r="Q206" s="3457"/>
      <c r="R206" s="3457"/>
      <c r="S206" s="3457"/>
      <c r="T206" s="3457"/>
      <c r="U206" s="3457"/>
    </row>
    <row r="207" spans="1:21" s="1008" customFormat="1" ht="14.25" customHeight="1">
      <c r="A207" s="3421" t="s">
        <v>1154</v>
      </c>
      <c r="B207" s="3421" t="s">
        <v>2895</v>
      </c>
      <c r="C207" s="3421">
        <v>6950</v>
      </c>
      <c r="D207" s="3421">
        <v>6900</v>
      </c>
      <c r="E207" s="3421">
        <v>9110</v>
      </c>
      <c r="F207" s="3427">
        <v>1790</v>
      </c>
      <c r="G207" s="3427">
        <v>4360</v>
      </c>
      <c r="I207" s="1021"/>
      <c r="J207" s="3457"/>
      <c r="K207" s="3457"/>
      <c r="L207" s="3457"/>
      <c r="M207" s="3457"/>
      <c r="N207" s="3457"/>
      <c r="O207" s="3457"/>
      <c r="P207" s="3457"/>
      <c r="Q207" s="3457"/>
      <c r="R207" s="3457"/>
      <c r="S207" s="3457"/>
      <c r="T207" s="3457"/>
      <c r="U207" s="3457"/>
    </row>
    <row r="208" spans="1:21" s="1008" customFormat="1" ht="14.25" customHeight="1">
      <c r="A208" s="3421" t="s">
        <v>1154</v>
      </c>
      <c r="B208" s="3421" t="s">
        <v>2896</v>
      </c>
      <c r="C208" s="3421">
        <v>9470</v>
      </c>
      <c r="D208" s="3421">
        <v>9410</v>
      </c>
      <c r="E208" s="3421">
        <v>12330</v>
      </c>
      <c r="F208" s="3427">
        <v>1770</v>
      </c>
      <c r="G208" s="3427">
        <v>5940</v>
      </c>
      <c r="I208" s="1021"/>
      <c r="J208" s="3457"/>
      <c r="K208" s="3457"/>
      <c r="L208" s="3457"/>
      <c r="M208" s="3457"/>
      <c r="N208" s="3457"/>
      <c r="O208" s="3457"/>
      <c r="P208" s="3457"/>
      <c r="Q208" s="3457"/>
      <c r="R208" s="3457"/>
      <c r="S208" s="3457"/>
      <c r="T208" s="3457"/>
      <c r="U208" s="3457"/>
    </row>
    <row r="209" spans="1:21" s="1008" customFormat="1" ht="14.25" customHeight="1">
      <c r="A209" s="3421" t="s">
        <v>1154</v>
      </c>
      <c r="B209" s="3421" t="s">
        <v>1112</v>
      </c>
      <c r="C209" s="3421">
        <v>8740</v>
      </c>
      <c r="D209" s="3421">
        <v>8700</v>
      </c>
      <c r="E209" s="3421">
        <v>11500</v>
      </c>
      <c r="F209" s="3427">
        <v>1730</v>
      </c>
      <c r="G209" s="3427">
        <v>5490</v>
      </c>
      <c r="I209" s="1021"/>
      <c r="J209" s="3457"/>
      <c r="K209" s="3457"/>
      <c r="L209" s="3457"/>
      <c r="M209" s="3457"/>
      <c r="N209" s="3457"/>
      <c r="O209" s="3457"/>
      <c r="P209" s="3457"/>
      <c r="Q209" s="3457"/>
      <c r="R209" s="3457"/>
      <c r="S209" s="3457"/>
      <c r="T209" s="3457"/>
      <c r="U209" s="3457"/>
    </row>
    <row r="210" spans="1:21" s="1008" customFormat="1" ht="14.25" customHeight="1">
      <c r="A210" s="3421" t="s">
        <v>1154</v>
      </c>
      <c r="B210" s="3421" t="s">
        <v>2897</v>
      </c>
      <c r="C210" s="3421">
        <v>8710</v>
      </c>
      <c r="D210" s="3421">
        <v>8660</v>
      </c>
      <c r="E210" s="3421">
        <v>11440</v>
      </c>
      <c r="F210" s="3427">
        <v>1740</v>
      </c>
      <c r="G210" s="3427">
        <v>5470</v>
      </c>
      <c r="I210" s="1021"/>
      <c r="J210" s="3457"/>
      <c r="K210" s="3457"/>
      <c r="L210" s="3457"/>
      <c r="M210" s="3457"/>
      <c r="N210" s="3457"/>
      <c r="O210" s="3457"/>
      <c r="P210" s="3457"/>
      <c r="Q210" s="3457"/>
      <c r="R210" s="3457"/>
      <c r="S210" s="3457"/>
      <c r="T210" s="3457"/>
      <c r="U210" s="3457"/>
    </row>
    <row r="211" spans="1:21" s="1008" customFormat="1" ht="14.25" customHeight="1">
      <c r="A211" s="3421" t="s">
        <v>1154</v>
      </c>
      <c r="B211" s="3421" t="s">
        <v>2898</v>
      </c>
      <c r="C211" s="3421">
        <v>9480</v>
      </c>
      <c r="D211" s="3421">
        <v>9430</v>
      </c>
      <c r="E211" s="3421">
        <v>12360</v>
      </c>
      <c r="F211" s="3427">
        <v>1820</v>
      </c>
      <c r="G211" s="3427">
        <v>5950</v>
      </c>
      <c r="I211" s="1021"/>
      <c r="J211" s="3457"/>
      <c r="K211" s="3457"/>
      <c r="L211" s="3457"/>
      <c r="M211" s="3457"/>
      <c r="N211" s="3457"/>
      <c r="O211" s="3457"/>
      <c r="P211" s="3457"/>
      <c r="Q211" s="3457"/>
      <c r="R211" s="3457"/>
      <c r="S211" s="3457"/>
      <c r="T211" s="3457"/>
      <c r="U211" s="3457"/>
    </row>
    <row r="212" spans="1:21" s="1008" customFormat="1" ht="14.25" customHeight="1">
      <c r="A212" s="3421" t="s">
        <v>1154</v>
      </c>
      <c r="B212" s="3421" t="s">
        <v>1134</v>
      </c>
      <c r="C212" s="3421">
        <v>9070</v>
      </c>
      <c r="D212" s="3421">
        <v>9020</v>
      </c>
      <c r="E212" s="3421">
        <v>11720</v>
      </c>
      <c r="F212" s="3427">
        <v>1850</v>
      </c>
      <c r="G212" s="3427">
        <v>5700</v>
      </c>
      <c r="I212" s="1021"/>
      <c r="J212" s="3457"/>
      <c r="K212" s="3457"/>
      <c r="L212" s="3457"/>
      <c r="M212" s="3457"/>
      <c r="N212" s="3457"/>
      <c r="O212" s="3457"/>
      <c r="P212" s="3457"/>
      <c r="Q212" s="3457"/>
      <c r="R212" s="3457"/>
      <c r="S212" s="3457"/>
      <c r="T212" s="3457"/>
      <c r="U212" s="3457"/>
    </row>
    <row r="213" spans="1:21" s="1008" customFormat="1" ht="14.25" customHeight="1">
      <c r="A213" s="3421" t="s">
        <v>1154</v>
      </c>
      <c r="B213" s="3421" t="s">
        <v>1137</v>
      </c>
      <c r="C213" s="3421">
        <v>9030</v>
      </c>
      <c r="D213" s="3421">
        <v>8980</v>
      </c>
      <c r="E213" s="3421">
        <v>11670</v>
      </c>
      <c r="F213" s="3427">
        <v>1690</v>
      </c>
      <c r="G213" s="3427">
        <v>5670</v>
      </c>
      <c r="I213" s="1021"/>
      <c r="J213" s="3457"/>
      <c r="K213" s="3457"/>
      <c r="L213" s="3457"/>
      <c r="M213" s="3457"/>
      <c r="N213" s="3457"/>
      <c r="O213" s="3457"/>
      <c r="P213" s="3457"/>
      <c r="Q213" s="3457"/>
      <c r="R213" s="3457"/>
      <c r="S213" s="3457"/>
      <c r="T213" s="3457"/>
      <c r="U213" s="3457"/>
    </row>
    <row r="214" spans="1:21" s="1008" customFormat="1" ht="14.25" customHeight="1">
      <c r="A214" s="3421" t="s">
        <v>1154</v>
      </c>
      <c r="B214" s="3421" t="s">
        <v>2899</v>
      </c>
      <c r="C214" s="3421">
        <v>8090</v>
      </c>
      <c r="D214" s="3421">
        <v>8030</v>
      </c>
      <c r="E214" s="3421">
        <v>10780</v>
      </c>
      <c r="F214" s="3427">
        <v>1570</v>
      </c>
      <c r="G214" s="3429">
        <v>5070</v>
      </c>
      <c r="I214" s="1021"/>
      <c r="J214" s="3457"/>
      <c r="K214" s="3457"/>
      <c r="L214" s="3457"/>
      <c r="M214" s="3457"/>
      <c r="N214" s="3457"/>
      <c r="O214" s="3457"/>
      <c r="P214" s="3457"/>
      <c r="Q214" s="3457"/>
      <c r="R214" s="3457"/>
      <c r="S214" s="3457"/>
      <c r="T214" s="3457"/>
      <c r="U214" s="3457"/>
    </row>
    <row r="215" spans="1:21" s="1008" customFormat="1" ht="14.25" customHeight="1">
      <c r="A215" s="3421" t="s">
        <v>1154</v>
      </c>
      <c r="B215" s="3421" t="s">
        <v>1123</v>
      </c>
      <c r="C215" s="3421">
        <v>7950</v>
      </c>
      <c r="D215" s="3421">
        <v>7900</v>
      </c>
      <c r="E215" s="3421">
        <v>10560</v>
      </c>
      <c r="F215" s="3427">
        <v>1630</v>
      </c>
      <c r="G215" s="3427">
        <v>4990</v>
      </c>
      <c r="I215" s="1021"/>
      <c r="J215" s="3457"/>
      <c r="K215" s="3457"/>
      <c r="L215" s="3457"/>
      <c r="M215" s="3457"/>
      <c r="N215" s="3457"/>
      <c r="O215" s="3457"/>
      <c r="P215" s="3457"/>
      <c r="Q215" s="3457"/>
      <c r="R215" s="3457"/>
      <c r="S215" s="3457"/>
      <c r="T215" s="3457"/>
      <c r="U215" s="3457"/>
    </row>
    <row r="216" spans="1:21" s="1008" customFormat="1" ht="14.25" customHeight="1">
      <c r="A216" s="3421" t="s">
        <v>1154</v>
      </c>
      <c r="B216" s="3421" t="s">
        <v>2900</v>
      </c>
      <c r="C216" s="3421">
        <v>8490</v>
      </c>
      <c r="D216" s="3421">
        <v>8440</v>
      </c>
      <c r="E216" s="3421">
        <v>11260</v>
      </c>
      <c r="F216" s="3427">
        <v>1690</v>
      </c>
      <c r="G216" s="3427">
        <v>5330</v>
      </c>
      <c r="I216" s="1021"/>
      <c r="J216" s="3457"/>
      <c r="K216" s="3457"/>
      <c r="L216" s="3457"/>
      <c r="M216" s="3457"/>
      <c r="N216" s="3457"/>
      <c r="O216" s="3457"/>
      <c r="P216" s="3457"/>
      <c r="Q216" s="3457"/>
      <c r="R216" s="3457"/>
      <c r="S216" s="3457"/>
      <c r="T216" s="3457"/>
      <c r="U216" s="3457"/>
    </row>
    <row r="217" spans="1:21" s="1008" customFormat="1" ht="14.25" customHeight="1">
      <c r="A217" s="3421" t="s">
        <v>1154</v>
      </c>
      <c r="B217" s="3421" t="s">
        <v>2901</v>
      </c>
      <c r="C217" s="3421">
        <v>8200</v>
      </c>
      <c r="D217" s="3421">
        <v>8150</v>
      </c>
      <c r="E217" s="3421">
        <v>10910</v>
      </c>
      <c r="F217" s="3427">
        <v>1670</v>
      </c>
      <c r="G217" s="3427">
        <v>5150</v>
      </c>
      <c r="I217" s="1021"/>
      <c r="J217" s="3457"/>
      <c r="K217" s="3457"/>
      <c r="L217" s="3457"/>
      <c r="M217" s="3457"/>
      <c r="N217" s="3457"/>
      <c r="O217" s="3457"/>
      <c r="P217" s="3457"/>
      <c r="Q217" s="3457"/>
      <c r="R217" s="3457"/>
      <c r="S217" s="3457"/>
      <c r="T217" s="3457"/>
      <c r="U217" s="3457"/>
    </row>
    <row r="218" spans="1:21" s="1008" customFormat="1" ht="14.25" customHeight="1">
      <c r="A218" s="3421" t="s">
        <v>1154</v>
      </c>
      <c r="B218" s="3421" t="s">
        <v>2902</v>
      </c>
      <c r="C218" s="3421"/>
      <c r="D218" s="3421"/>
      <c r="E218" s="3421"/>
      <c r="F218" s="3427">
        <v>2040</v>
      </c>
      <c r="G218" s="3427"/>
      <c r="I218" s="1021"/>
      <c r="J218" s="3457"/>
      <c r="K218" s="3457"/>
      <c r="L218" s="3457"/>
      <c r="M218" s="3457"/>
      <c r="N218" s="3457"/>
      <c r="O218" s="3457"/>
      <c r="P218" s="3457"/>
      <c r="Q218" s="3457"/>
      <c r="R218" s="3457"/>
      <c r="S218" s="3457"/>
      <c r="T218" s="3457"/>
      <c r="U218" s="3457"/>
    </row>
    <row r="219" spans="1:21" s="1008" customFormat="1" ht="14.25" customHeight="1">
      <c r="A219" s="3421" t="s">
        <v>1154</v>
      </c>
      <c r="B219" s="3421" t="s">
        <v>2903</v>
      </c>
      <c r="C219" s="3421"/>
      <c r="D219" s="3421"/>
      <c r="E219" s="3421"/>
      <c r="F219" s="3427">
        <v>2040</v>
      </c>
      <c r="G219" s="3427"/>
      <c r="I219" s="1021"/>
      <c r="J219" s="3457"/>
      <c r="K219" s="3457"/>
      <c r="L219" s="3457"/>
      <c r="M219" s="3457"/>
      <c r="N219" s="3457"/>
      <c r="O219" s="3457"/>
      <c r="P219" s="3457"/>
      <c r="Q219" s="3457"/>
      <c r="R219" s="3457"/>
      <c r="S219" s="3457"/>
      <c r="T219" s="3457"/>
      <c r="U219" s="3457"/>
    </row>
    <row r="220" spans="1:21" s="1008" customFormat="1" ht="14.25" customHeight="1">
      <c r="A220" s="3421" t="s">
        <v>1154</v>
      </c>
      <c r="B220" s="3421" t="s">
        <v>2904</v>
      </c>
      <c r="C220" s="3421"/>
      <c r="D220" s="3421"/>
      <c r="E220" s="3421"/>
      <c r="F220" s="3427">
        <v>2040</v>
      </c>
      <c r="G220" s="3427"/>
      <c r="I220" s="1021"/>
      <c r="J220" s="3457"/>
      <c r="K220" s="3457"/>
      <c r="L220" s="3457"/>
      <c r="M220" s="3457"/>
      <c r="N220" s="3457"/>
      <c r="O220" s="3457"/>
      <c r="P220" s="3457"/>
      <c r="Q220" s="3457"/>
      <c r="R220" s="3457"/>
      <c r="S220" s="3457"/>
      <c r="T220" s="3457"/>
      <c r="U220" s="3457"/>
    </row>
    <row r="221" spans="1:21" s="1008" customFormat="1" ht="14.25" customHeight="1">
      <c r="A221" s="3421" t="s">
        <v>1154</v>
      </c>
      <c r="B221" s="3421" t="s">
        <v>2905</v>
      </c>
      <c r="C221" s="3430"/>
      <c r="D221" s="3430"/>
      <c r="E221" s="3430"/>
      <c r="F221" s="3429">
        <v>2040</v>
      </c>
      <c r="G221" s="3427"/>
      <c r="I221" s="1021"/>
      <c r="J221" s="3457"/>
      <c r="K221" s="3457"/>
      <c r="L221" s="3457"/>
      <c r="M221" s="3457"/>
      <c r="N221" s="3457"/>
      <c r="O221" s="3457"/>
      <c r="P221" s="3457"/>
      <c r="Q221" s="3457"/>
      <c r="R221" s="3457"/>
      <c r="S221" s="3457"/>
      <c r="T221" s="3457"/>
      <c r="U221" s="3457"/>
    </row>
    <row r="222" spans="1:21" s="1008" customFormat="1" ht="14.25" customHeight="1">
      <c r="A222" s="3421" t="s">
        <v>1154</v>
      </c>
      <c r="B222" s="3421" t="s">
        <v>2906</v>
      </c>
      <c r="C222" s="3430"/>
      <c r="D222" s="3430"/>
      <c r="E222" s="3430"/>
      <c r="F222" s="3429">
        <v>2040</v>
      </c>
      <c r="G222" s="3427"/>
      <c r="I222" s="1021"/>
      <c r="J222" s="3457"/>
      <c r="K222" s="3457"/>
      <c r="L222" s="3457"/>
      <c r="M222" s="3457"/>
      <c r="N222" s="3457"/>
      <c r="O222" s="3457"/>
      <c r="P222" s="3457"/>
      <c r="Q222" s="3457"/>
      <c r="R222" s="3457"/>
      <c r="S222" s="3457"/>
      <c r="T222" s="3457"/>
      <c r="U222" s="3457"/>
    </row>
    <row r="223" spans="1:21" s="1008" customFormat="1" ht="14.25" customHeight="1">
      <c r="A223" s="3421" t="s">
        <v>1154</v>
      </c>
      <c r="B223" s="3421" t="s">
        <v>2907</v>
      </c>
      <c r="C223" s="3430"/>
      <c r="D223" s="3430"/>
      <c r="E223" s="3430"/>
      <c r="F223" s="3429">
        <v>1930</v>
      </c>
      <c r="G223" s="3427"/>
      <c r="I223" s="1021"/>
      <c r="J223" s="3457"/>
      <c r="K223" s="3457"/>
      <c r="L223" s="3457"/>
      <c r="M223" s="3457"/>
      <c r="N223" s="3457"/>
      <c r="O223" s="3457"/>
      <c r="P223" s="3457"/>
      <c r="Q223" s="3457"/>
      <c r="R223" s="3457"/>
      <c r="S223" s="3457"/>
      <c r="T223" s="3457"/>
      <c r="U223" s="3457"/>
    </row>
    <row r="224" spans="1:21" s="1008" customFormat="1" ht="14.25" customHeight="1">
      <c r="A224" s="3421" t="s">
        <v>1154</v>
      </c>
      <c r="B224" s="3421" t="s">
        <v>2908</v>
      </c>
      <c r="C224" s="3430"/>
      <c r="D224" s="3430"/>
      <c r="E224" s="3430"/>
      <c r="F224" s="3429">
        <v>1930</v>
      </c>
      <c r="G224" s="3427"/>
      <c r="I224" s="1021"/>
      <c r="J224" s="3457"/>
      <c r="K224" s="3457"/>
      <c r="L224" s="3457"/>
      <c r="M224" s="3457"/>
      <c r="N224" s="3457"/>
      <c r="O224" s="3457"/>
      <c r="P224" s="3457"/>
      <c r="Q224" s="3457"/>
      <c r="R224" s="3457"/>
      <c r="S224" s="3457"/>
      <c r="T224" s="3457"/>
      <c r="U224" s="3457"/>
    </row>
    <row r="225" spans="1:21" s="1008" customFormat="1" ht="14.25" customHeight="1">
      <c r="A225" s="3421" t="s">
        <v>1154</v>
      </c>
      <c r="B225" s="3421" t="s">
        <v>2909</v>
      </c>
      <c r="C225" s="3421"/>
      <c r="D225" s="3421"/>
      <c r="E225" s="3421"/>
      <c r="F225" s="3427">
        <v>1930</v>
      </c>
      <c r="G225" s="3427"/>
      <c r="I225" s="1021"/>
      <c r="J225" s="3457"/>
      <c r="K225" s="3457"/>
      <c r="L225" s="3457"/>
      <c r="M225" s="3457"/>
      <c r="N225" s="3457"/>
      <c r="O225" s="3457"/>
      <c r="P225" s="3457"/>
      <c r="Q225" s="3457"/>
      <c r="R225" s="3457"/>
      <c r="S225" s="3457"/>
      <c r="T225" s="3457"/>
      <c r="U225" s="3457"/>
    </row>
    <row r="226" spans="1:21" s="1008" customFormat="1" ht="14.25" customHeight="1">
      <c r="A226" s="3421" t="s">
        <v>1154</v>
      </c>
      <c r="B226" s="3421" t="s">
        <v>2910</v>
      </c>
      <c r="C226" s="3421"/>
      <c r="D226" s="3421"/>
      <c r="E226" s="3421"/>
      <c r="F226" s="3427">
        <v>1700</v>
      </c>
      <c r="G226" s="3427"/>
      <c r="I226" s="1021"/>
      <c r="J226" s="3457"/>
      <c r="K226" s="3457"/>
      <c r="L226" s="3457"/>
      <c r="M226" s="3457"/>
      <c r="N226" s="3457"/>
      <c r="O226" s="3457"/>
      <c r="P226" s="3457"/>
      <c r="Q226" s="3457"/>
      <c r="R226" s="3457"/>
      <c r="S226" s="3457"/>
      <c r="T226" s="3457"/>
      <c r="U226" s="3457"/>
    </row>
    <row r="227" spans="1:21" s="1008" customFormat="1" ht="14.25" customHeight="1">
      <c r="A227" s="3421" t="s">
        <v>1154</v>
      </c>
      <c r="B227" s="3421" t="s">
        <v>2911</v>
      </c>
      <c r="C227" s="3421"/>
      <c r="D227" s="3421"/>
      <c r="E227" s="3421"/>
      <c r="F227" s="3427">
        <v>1520</v>
      </c>
      <c r="G227" s="3427"/>
      <c r="I227" s="1021"/>
      <c r="J227" s="3457"/>
      <c r="K227" s="3457"/>
      <c r="L227" s="3457"/>
      <c r="M227" s="3457"/>
      <c r="N227" s="3457"/>
      <c r="O227" s="3457"/>
      <c r="P227" s="3457"/>
      <c r="Q227" s="3457"/>
      <c r="R227" s="3457"/>
      <c r="S227" s="3457"/>
      <c r="T227" s="3457"/>
      <c r="U227" s="3457"/>
    </row>
    <row r="228" spans="1:21" s="1008" customFormat="1" ht="14.25" customHeight="1">
      <c r="A228" s="3421" t="s">
        <v>1154</v>
      </c>
      <c r="B228" s="3421" t="s">
        <v>2912</v>
      </c>
      <c r="C228" s="3421"/>
      <c r="D228" s="3421"/>
      <c r="E228" s="3421"/>
      <c r="F228" s="3427">
        <v>1520</v>
      </c>
      <c r="G228" s="3427"/>
      <c r="I228" s="1021"/>
      <c r="J228" s="3457"/>
      <c r="K228" s="3457"/>
      <c r="L228" s="3457"/>
      <c r="M228" s="3457"/>
      <c r="N228" s="3457"/>
      <c r="O228" s="3457"/>
      <c r="P228" s="3457"/>
      <c r="Q228" s="3457"/>
      <c r="R228" s="3457"/>
      <c r="S228" s="3457"/>
      <c r="T228" s="3457"/>
      <c r="U228" s="3457"/>
    </row>
    <row r="229" spans="1:21" s="1008" customFormat="1" ht="14.25" customHeight="1">
      <c r="A229" s="3421" t="s">
        <v>1154</v>
      </c>
      <c r="B229" s="3421" t="s">
        <v>2913</v>
      </c>
      <c r="C229" s="3421"/>
      <c r="D229" s="3421"/>
      <c r="E229" s="3421"/>
      <c r="F229" s="3427">
        <v>1520</v>
      </c>
      <c r="G229" s="3429"/>
      <c r="I229" s="1021"/>
      <c r="J229" s="3457"/>
      <c r="K229" s="3457"/>
      <c r="L229" s="3457"/>
      <c r="M229" s="3457"/>
      <c r="N229" s="3457"/>
      <c r="O229" s="3457"/>
      <c r="P229" s="3457"/>
      <c r="Q229" s="3457"/>
      <c r="R229" s="3457"/>
      <c r="S229" s="3457"/>
      <c r="T229" s="3457"/>
      <c r="U229" s="3457"/>
    </row>
    <row r="230" spans="1:21" s="1008" customFormat="1" ht="14.25" customHeight="1">
      <c r="A230" s="3421" t="s">
        <v>1154</v>
      </c>
      <c r="B230" s="3421" t="s">
        <v>2914</v>
      </c>
      <c r="C230" s="3421"/>
      <c r="D230" s="3421"/>
      <c r="E230" s="3421"/>
      <c r="F230" s="3427">
        <v>1820</v>
      </c>
      <c r="G230" s="3429"/>
      <c r="I230" s="1021"/>
      <c r="J230" s="3457"/>
      <c r="K230" s="3457"/>
      <c r="L230" s="3457"/>
      <c r="M230" s="3457"/>
      <c r="N230" s="3457"/>
      <c r="O230" s="3457"/>
      <c r="P230" s="3457"/>
      <c r="Q230" s="3457"/>
      <c r="R230" s="3457"/>
      <c r="S230" s="3457"/>
      <c r="T230" s="3457"/>
      <c r="U230" s="3457"/>
    </row>
    <row r="231" spans="1:21" s="1008" customFormat="1" ht="14.25" customHeight="1">
      <c r="A231" s="3421" t="s">
        <v>1154</v>
      </c>
      <c r="B231" s="3421" t="s">
        <v>2915</v>
      </c>
      <c r="C231" s="3421"/>
      <c r="D231" s="3421"/>
      <c r="E231" s="3421"/>
      <c r="F231" s="3427">
        <v>1760</v>
      </c>
      <c r="G231" s="3429"/>
      <c r="I231" s="1021"/>
      <c r="J231" s="3457"/>
      <c r="K231" s="3457"/>
      <c r="L231" s="3457"/>
      <c r="M231" s="3457"/>
      <c r="N231" s="3457"/>
      <c r="O231" s="3457"/>
      <c r="P231" s="3457"/>
      <c r="Q231" s="3457"/>
      <c r="R231" s="3457"/>
      <c r="S231" s="3457"/>
      <c r="T231" s="3457"/>
      <c r="U231" s="3457"/>
    </row>
    <row r="232" spans="1:21" s="1008" customFormat="1" ht="14.25" customHeight="1">
      <c r="A232" s="3421" t="s">
        <v>1154</v>
      </c>
      <c r="B232" s="3421" t="s">
        <v>2916</v>
      </c>
      <c r="C232" s="3421"/>
      <c r="D232" s="3421"/>
      <c r="E232" s="3421"/>
      <c r="F232" s="3427">
        <v>1840</v>
      </c>
      <c r="G232" s="3427"/>
      <c r="I232" s="1021"/>
      <c r="J232" s="3457"/>
      <c r="K232" s="3457"/>
      <c r="L232" s="3457"/>
      <c r="M232" s="3457"/>
      <c r="N232" s="3457"/>
      <c r="O232" s="3457"/>
      <c r="P232" s="3457"/>
      <c r="Q232" s="3457"/>
      <c r="R232" s="3457"/>
      <c r="S232" s="3457"/>
      <c r="T232" s="3457"/>
      <c r="U232" s="3457"/>
    </row>
    <row r="233" spans="1:21" s="1008" customFormat="1" ht="14.25" customHeight="1" thickBot="1">
      <c r="A233" s="3436" t="s">
        <v>1154</v>
      </c>
      <c r="B233" s="3424" t="s">
        <v>2917</v>
      </c>
      <c r="C233" s="3424"/>
      <c r="D233" s="3424"/>
      <c r="E233" s="3424"/>
      <c r="F233" s="3425">
        <v>1770</v>
      </c>
      <c r="G233" s="3440"/>
      <c r="I233" s="1021"/>
      <c r="J233" s="3457"/>
      <c r="K233" s="3457"/>
      <c r="L233" s="3457"/>
      <c r="M233" s="3457"/>
      <c r="N233" s="3457"/>
      <c r="O233" s="3457"/>
      <c r="P233" s="3457"/>
      <c r="Q233" s="3457"/>
      <c r="R233" s="3457"/>
      <c r="S233" s="3457"/>
      <c r="T233" s="3457"/>
      <c r="U233" s="3457"/>
    </row>
    <row r="234" spans="1:21" s="1008" customFormat="1" ht="14.25" customHeight="1">
      <c r="A234" s="3435" t="s">
        <v>1155</v>
      </c>
      <c r="B234" s="1286" t="s">
        <v>2918</v>
      </c>
      <c r="C234" s="1286">
        <v>6980</v>
      </c>
      <c r="D234" s="1286">
        <v>6970</v>
      </c>
      <c r="E234" s="1286">
        <v>8720</v>
      </c>
      <c r="F234" s="3422">
        <v>1350</v>
      </c>
      <c r="G234" s="3438">
        <v>4280</v>
      </c>
      <c r="I234" s="1021"/>
      <c r="J234" s="3457"/>
      <c r="K234" s="3457"/>
      <c r="L234" s="3457"/>
      <c r="M234" s="3457"/>
      <c r="N234" s="3457"/>
      <c r="O234" s="3457"/>
      <c r="P234" s="3457"/>
      <c r="Q234" s="3457"/>
      <c r="R234" s="3457"/>
      <c r="S234" s="3457"/>
      <c r="T234" s="3457"/>
      <c r="U234" s="3457"/>
    </row>
    <row r="235" spans="1:21" s="1008" customFormat="1" ht="14.25" customHeight="1">
      <c r="A235" s="3421" t="s">
        <v>1155</v>
      </c>
      <c r="B235" s="3421" t="s">
        <v>979</v>
      </c>
      <c r="C235" s="3421">
        <v>7620</v>
      </c>
      <c r="D235" s="3421">
        <v>7580</v>
      </c>
      <c r="E235" s="3421">
        <v>9360</v>
      </c>
      <c r="F235" s="3427">
        <v>1490</v>
      </c>
      <c r="G235" s="3427">
        <v>4650</v>
      </c>
      <c r="I235" s="1021"/>
      <c r="J235" s="3457"/>
      <c r="K235" s="3457"/>
      <c r="L235" s="3457"/>
      <c r="M235" s="3457"/>
      <c r="N235" s="3457"/>
      <c r="O235" s="3457"/>
      <c r="P235" s="3457"/>
      <c r="Q235" s="3457"/>
      <c r="R235" s="3457"/>
      <c r="S235" s="3457"/>
      <c r="T235" s="3457"/>
      <c r="U235" s="3457"/>
    </row>
    <row r="236" spans="1:21" s="1008" customFormat="1" ht="14.25" customHeight="1">
      <c r="A236" s="3421" t="s">
        <v>1155</v>
      </c>
      <c r="B236" s="3421" t="s">
        <v>989</v>
      </c>
      <c r="C236" s="3421">
        <v>6650</v>
      </c>
      <c r="D236" s="3421">
        <v>6630</v>
      </c>
      <c r="E236" s="3421">
        <v>8330</v>
      </c>
      <c r="F236" s="3427">
        <v>1250</v>
      </c>
      <c r="G236" s="3427">
        <v>4070</v>
      </c>
      <c r="I236" s="1021"/>
      <c r="J236" s="3457"/>
      <c r="K236" s="3457"/>
      <c r="L236" s="3457"/>
      <c r="M236" s="3457"/>
      <c r="N236" s="3457"/>
      <c r="O236" s="3457"/>
      <c r="P236" s="3457"/>
      <c r="Q236" s="3457"/>
      <c r="R236" s="3457"/>
      <c r="S236" s="3457"/>
      <c r="T236" s="3457"/>
      <c r="U236" s="3457"/>
    </row>
    <row r="237" spans="1:21" s="1008" customFormat="1" ht="14.25" customHeight="1">
      <c r="A237" s="3421" t="s">
        <v>1155</v>
      </c>
      <c r="B237" s="3421" t="s">
        <v>998</v>
      </c>
      <c r="C237" s="3421">
        <v>5850</v>
      </c>
      <c r="D237" s="3421">
        <v>5820</v>
      </c>
      <c r="E237" s="3421">
        <v>7260</v>
      </c>
      <c r="F237" s="3427">
        <v>1140</v>
      </c>
      <c r="G237" s="3427">
        <v>3570</v>
      </c>
      <c r="I237" s="1021"/>
      <c r="J237" s="3457"/>
      <c r="K237" s="3457"/>
      <c r="L237" s="3457"/>
      <c r="M237" s="3457"/>
      <c r="N237" s="3457"/>
      <c r="O237" s="3457"/>
      <c r="P237" s="3457"/>
      <c r="Q237" s="3457"/>
      <c r="R237" s="3457"/>
      <c r="S237" s="3457"/>
      <c r="T237" s="3457"/>
      <c r="U237" s="3457"/>
    </row>
    <row r="238" spans="1:21" s="1008" customFormat="1" ht="14.25" customHeight="1">
      <c r="A238" s="3421" t="s">
        <v>1155</v>
      </c>
      <c r="B238" s="3421" t="s">
        <v>2919</v>
      </c>
      <c r="C238" s="3421">
        <v>6920</v>
      </c>
      <c r="D238" s="3421">
        <v>6890</v>
      </c>
      <c r="E238" s="3421">
        <v>8640</v>
      </c>
      <c r="F238" s="3427">
        <v>1310</v>
      </c>
      <c r="G238" s="3427">
        <v>4230</v>
      </c>
      <c r="I238" s="1021"/>
      <c r="J238" s="3457"/>
      <c r="K238" s="3457"/>
      <c r="L238" s="3457"/>
      <c r="M238" s="3457"/>
      <c r="N238" s="3457"/>
      <c r="O238" s="3457"/>
      <c r="P238" s="3457"/>
      <c r="Q238" s="3457"/>
      <c r="R238" s="3457"/>
      <c r="S238" s="3457"/>
      <c r="T238" s="3457"/>
      <c r="U238" s="3457"/>
    </row>
    <row r="239" spans="1:21" s="1008" customFormat="1" ht="14.25" customHeight="1">
      <c r="A239" s="3421" t="s">
        <v>1155</v>
      </c>
      <c r="B239" s="3421" t="s">
        <v>2920</v>
      </c>
      <c r="C239" s="3421">
        <v>6780</v>
      </c>
      <c r="D239" s="3421">
        <v>6750</v>
      </c>
      <c r="E239" s="3421">
        <v>8440</v>
      </c>
      <c r="F239" s="3427">
        <v>1160</v>
      </c>
      <c r="G239" s="3427">
        <v>4140</v>
      </c>
      <c r="I239" s="1021"/>
      <c r="J239" s="3457"/>
      <c r="K239" s="3457"/>
      <c r="L239" s="3457"/>
      <c r="M239" s="3457"/>
      <c r="N239" s="3457"/>
      <c r="O239" s="3457"/>
      <c r="P239" s="3457"/>
      <c r="Q239" s="3457"/>
      <c r="R239" s="3457"/>
      <c r="S239" s="3457"/>
      <c r="T239" s="3457"/>
      <c r="U239" s="3457"/>
    </row>
    <row r="240" spans="1:21" s="1008" customFormat="1" ht="14.25" customHeight="1">
      <c r="A240" s="3421" t="s">
        <v>1155</v>
      </c>
      <c r="B240" s="3421" t="s">
        <v>2921</v>
      </c>
      <c r="C240" s="3421">
        <v>5420</v>
      </c>
      <c r="D240" s="3421">
        <v>5380</v>
      </c>
      <c r="E240" s="3421">
        <v>6640</v>
      </c>
      <c r="F240" s="3427">
        <v>1020</v>
      </c>
      <c r="G240" s="3427">
        <v>3300</v>
      </c>
      <c r="I240" s="1021"/>
      <c r="J240" s="3457"/>
      <c r="K240" s="3457"/>
      <c r="L240" s="3457"/>
      <c r="M240" s="3457"/>
      <c r="N240" s="3457"/>
      <c r="O240" s="3457"/>
      <c r="P240" s="3457"/>
      <c r="Q240" s="3457"/>
      <c r="R240" s="3457"/>
      <c r="S240" s="3457"/>
      <c r="T240" s="3457"/>
      <c r="U240" s="3457"/>
    </row>
    <row r="241" spans="1:21" s="1008" customFormat="1" ht="14.25" customHeight="1">
      <c r="A241" s="3421" t="s">
        <v>1155</v>
      </c>
      <c r="B241" s="3421" t="s">
        <v>2922</v>
      </c>
      <c r="C241" s="3421">
        <v>6660</v>
      </c>
      <c r="D241" s="3421">
        <v>6640</v>
      </c>
      <c r="E241" s="3421">
        <v>8340</v>
      </c>
      <c r="F241" s="3427">
        <v>1130</v>
      </c>
      <c r="G241" s="3427">
        <v>4080</v>
      </c>
      <c r="I241" s="1021"/>
      <c r="J241" s="3457"/>
      <c r="K241" s="3457"/>
      <c r="L241" s="3457"/>
      <c r="M241" s="3457"/>
      <c r="N241" s="3457"/>
      <c r="O241" s="3457"/>
      <c r="P241" s="3457"/>
      <c r="Q241" s="3457"/>
      <c r="R241" s="3457"/>
      <c r="S241" s="3457"/>
      <c r="T241" s="3457"/>
      <c r="U241" s="3457"/>
    </row>
    <row r="242" spans="1:21" s="1008" customFormat="1" ht="14.25" customHeight="1">
      <c r="A242" s="3421" t="s">
        <v>1155</v>
      </c>
      <c r="B242" s="3421" t="s">
        <v>1028</v>
      </c>
      <c r="C242" s="3421">
        <v>6580</v>
      </c>
      <c r="D242" s="3421">
        <v>6550</v>
      </c>
      <c r="E242" s="3421">
        <v>8090</v>
      </c>
      <c r="F242" s="3427">
        <v>1240</v>
      </c>
      <c r="G242" s="3427">
        <v>4020</v>
      </c>
      <c r="I242" s="1021"/>
      <c r="J242" s="3457"/>
      <c r="K242" s="3457"/>
      <c r="L242" s="3457"/>
      <c r="M242" s="3457"/>
      <c r="N242" s="3457"/>
      <c r="O242" s="3457"/>
      <c r="P242" s="3457"/>
      <c r="Q242" s="3457"/>
      <c r="R242" s="3457"/>
      <c r="S242" s="3457"/>
      <c r="T242" s="3457"/>
      <c r="U242" s="3457"/>
    </row>
    <row r="243" spans="1:21" s="1008" customFormat="1" ht="14.25" customHeight="1">
      <c r="A243" s="3421" t="s">
        <v>1155</v>
      </c>
      <c r="B243" s="3421" t="s">
        <v>1038</v>
      </c>
      <c r="C243" s="3421">
        <v>6000</v>
      </c>
      <c r="D243" s="3421">
        <v>5970</v>
      </c>
      <c r="E243" s="3421">
        <v>7370</v>
      </c>
      <c r="F243" s="3427">
        <v>1070</v>
      </c>
      <c r="G243" s="3427">
        <v>3670</v>
      </c>
      <c r="I243" s="1021"/>
      <c r="J243" s="3457"/>
      <c r="K243" s="3457"/>
      <c r="L243" s="3457"/>
      <c r="M243" s="3457"/>
      <c r="N243" s="3457"/>
      <c r="O243" s="3457"/>
      <c r="P243" s="3457"/>
      <c r="Q243" s="3457"/>
      <c r="R243" s="3457"/>
      <c r="S243" s="3457"/>
      <c r="T243" s="3457"/>
      <c r="U243" s="3457"/>
    </row>
    <row r="244" spans="1:21" s="1008" customFormat="1" ht="14.25" customHeight="1">
      <c r="A244" s="3421" t="s">
        <v>1155</v>
      </c>
      <c r="B244" s="3421" t="s">
        <v>2923</v>
      </c>
      <c r="C244" s="3421">
        <v>5840</v>
      </c>
      <c r="D244" s="3421">
        <v>5810</v>
      </c>
      <c r="E244" s="3421">
        <v>7240</v>
      </c>
      <c r="F244" s="3427">
        <v>1100</v>
      </c>
      <c r="G244" s="3434">
        <v>3560</v>
      </c>
      <c r="I244" s="1021"/>
      <c r="J244" s="3457"/>
      <c r="K244" s="3457"/>
      <c r="L244" s="3457"/>
      <c r="M244" s="3457"/>
      <c r="N244" s="3457"/>
      <c r="O244" s="3457"/>
      <c r="P244" s="3457"/>
      <c r="Q244" s="3457"/>
      <c r="R244" s="3457"/>
      <c r="S244" s="3457"/>
      <c r="T244" s="3457"/>
      <c r="U244" s="3457"/>
    </row>
    <row r="245" spans="1:21" s="1008" customFormat="1" ht="14.25" customHeight="1">
      <c r="A245" s="1286" t="s">
        <v>1155</v>
      </c>
      <c r="B245" s="1286" t="s">
        <v>1053</v>
      </c>
      <c r="C245" s="1286">
        <v>6040</v>
      </c>
      <c r="D245" s="1286">
        <v>6000</v>
      </c>
      <c r="E245" s="1286">
        <v>7420</v>
      </c>
      <c r="F245" s="3422">
        <v>1140</v>
      </c>
      <c r="G245" s="3422">
        <v>3690</v>
      </c>
      <c r="I245" s="1021"/>
      <c r="J245" s="3457"/>
      <c r="K245" s="3457"/>
      <c r="L245" s="3457"/>
      <c r="M245" s="3457"/>
      <c r="N245" s="3457"/>
      <c r="O245" s="3457"/>
      <c r="P245" s="3457"/>
      <c r="Q245" s="3457"/>
      <c r="R245" s="3457"/>
      <c r="S245" s="3457"/>
      <c r="T245" s="3457"/>
      <c r="U245" s="3457"/>
    </row>
    <row r="246" spans="1:21" s="1008" customFormat="1" ht="14.25" customHeight="1">
      <c r="A246" s="3421" t="s">
        <v>1155</v>
      </c>
      <c r="B246" s="3421" t="s">
        <v>1060</v>
      </c>
      <c r="C246" s="3421">
        <v>5890</v>
      </c>
      <c r="D246" s="3421">
        <v>5860</v>
      </c>
      <c r="E246" s="3421">
        <v>7300</v>
      </c>
      <c r="F246" s="3427">
        <v>1110</v>
      </c>
      <c r="G246" s="3427">
        <v>3590</v>
      </c>
      <c r="I246" s="1021"/>
      <c r="J246" s="3457"/>
      <c r="K246" s="3457"/>
      <c r="L246" s="3457"/>
      <c r="M246" s="3457"/>
      <c r="N246" s="3457"/>
      <c r="O246" s="3457"/>
      <c r="P246" s="3457"/>
      <c r="Q246" s="3457"/>
      <c r="R246" s="3457"/>
      <c r="S246" s="3457"/>
      <c r="T246" s="3457"/>
      <c r="U246" s="3457"/>
    </row>
    <row r="247" spans="1:21" s="1008" customFormat="1" ht="14.25" customHeight="1">
      <c r="A247" s="3421" t="s">
        <v>1155</v>
      </c>
      <c r="B247" s="3421" t="s">
        <v>2924</v>
      </c>
      <c r="C247" s="3421">
        <v>6480</v>
      </c>
      <c r="D247" s="3421">
        <v>6450</v>
      </c>
      <c r="E247" s="3421">
        <v>8010</v>
      </c>
      <c r="F247" s="3427">
        <v>1170</v>
      </c>
      <c r="G247" s="3427">
        <v>3960</v>
      </c>
      <c r="I247" s="1021"/>
      <c r="J247" s="3457"/>
      <c r="K247" s="3457"/>
      <c r="L247" s="3457"/>
      <c r="M247" s="3457"/>
      <c r="N247" s="3457"/>
      <c r="O247" s="3457"/>
      <c r="P247" s="3457"/>
      <c r="Q247" s="3457"/>
      <c r="R247" s="3457"/>
      <c r="S247" s="3457"/>
      <c r="T247" s="3457"/>
      <c r="U247" s="3457"/>
    </row>
    <row r="248" spans="1:21" s="1008" customFormat="1" ht="14.25" customHeight="1">
      <c r="A248" s="3421" t="s">
        <v>1155</v>
      </c>
      <c r="B248" s="3421" t="s">
        <v>1075</v>
      </c>
      <c r="C248" s="3421">
        <v>6860</v>
      </c>
      <c r="D248" s="3421">
        <v>6840</v>
      </c>
      <c r="E248" s="3421">
        <v>8520</v>
      </c>
      <c r="F248" s="3427">
        <v>1240</v>
      </c>
      <c r="G248" s="3427">
        <v>4200</v>
      </c>
      <c r="I248" s="1021"/>
      <c r="J248" s="3457"/>
      <c r="K248" s="3457"/>
      <c r="L248" s="3457"/>
      <c r="M248" s="3457"/>
      <c r="N248" s="3457"/>
      <c r="O248" s="3457"/>
      <c r="P248" s="3457"/>
      <c r="Q248" s="3457"/>
      <c r="R248" s="3457"/>
      <c r="S248" s="3457"/>
      <c r="T248" s="3457"/>
      <c r="U248" s="3457"/>
    </row>
    <row r="249" spans="1:21" s="1008" customFormat="1" ht="14.25" customHeight="1">
      <c r="A249" s="3421" t="s">
        <v>1155</v>
      </c>
      <c r="B249" s="3421" t="s">
        <v>2925</v>
      </c>
      <c r="C249" s="3421">
        <v>7180</v>
      </c>
      <c r="D249" s="3421">
        <v>7140</v>
      </c>
      <c r="E249" s="3421">
        <v>8900</v>
      </c>
      <c r="F249" s="3427">
        <v>1350</v>
      </c>
      <c r="G249" s="3427">
        <v>4380</v>
      </c>
      <c r="I249" s="1021"/>
      <c r="J249" s="3457"/>
      <c r="K249" s="3457"/>
      <c r="L249" s="3457"/>
      <c r="M249" s="3457"/>
      <c r="N249" s="3457"/>
      <c r="O249" s="3457"/>
      <c r="P249" s="3457"/>
      <c r="Q249" s="3457"/>
      <c r="R249" s="3457"/>
      <c r="S249" s="3457"/>
      <c r="T249" s="3457"/>
      <c r="U249" s="3457"/>
    </row>
    <row r="250" spans="1:21" s="1008" customFormat="1" ht="14.25" customHeight="1">
      <c r="A250" s="3421" t="s">
        <v>1155</v>
      </c>
      <c r="B250" s="3421" t="s">
        <v>1089</v>
      </c>
      <c r="C250" s="3421">
        <v>6880</v>
      </c>
      <c r="D250" s="3421">
        <v>6860</v>
      </c>
      <c r="E250" s="3421">
        <v>8550</v>
      </c>
      <c r="F250" s="3427">
        <v>1220</v>
      </c>
      <c r="G250" s="3427">
        <v>4210</v>
      </c>
      <c r="I250" s="1021"/>
      <c r="J250" s="3457"/>
      <c r="K250" s="3457"/>
      <c r="L250" s="3457"/>
      <c r="M250" s="3457"/>
      <c r="N250" s="3457"/>
      <c r="O250" s="3457"/>
      <c r="P250" s="3457"/>
      <c r="Q250" s="3457"/>
      <c r="R250" s="3457"/>
      <c r="S250" s="3457"/>
      <c r="T250" s="3457"/>
      <c r="U250" s="3457"/>
    </row>
    <row r="251" spans="1:21" s="1008" customFormat="1" ht="14.25" customHeight="1">
      <c r="A251" s="3421" t="s">
        <v>1155</v>
      </c>
      <c r="B251" s="3421" t="s">
        <v>1097</v>
      </c>
      <c r="C251" s="3421"/>
      <c r="D251" s="3421"/>
      <c r="E251" s="3421"/>
      <c r="F251" s="3427">
        <v>1100</v>
      </c>
      <c r="G251" s="3427"/>
      <c r="I251" s="1021"/>
      <c r="J251" s="3457"/>
      <c r="K251" s="3457"/>
      <c r="L251" s="3457"/>
      <c r="M251" s="3457"/>
      <c r="N251" s="3457"/>
      <c r="O251" s="3457"/>
      <c r="P251" s="3457"/>
      <c r="Q251" s="3457"/>
      <c r="R251" s="3457"/>
      <c r="S251" s="3457"/>
      <c r="T251" s="3457"/>
      <c r="U251" s="3457"/>
    </row>
    <row r="252" spans="1:21" s="1008" customFormat="1" ht="14.25" customHeight="1">
      <c r="A252" s="3421" t="s">
        <v>1155</v>
      </c>
      <c r="B252" s="3421" t="s">
        <v>2926</v>
      </c>
      <c r="C252" s="3421">
        <v>7240</v>
      </c>
      <c r="D252" s="3421">
        <v>7200</v>
      </c>
      <c r="E252" s="3421">
        <v>9040</v>
      </c>
      <c r="F252" s="3427">
        <v>1380</v>
      </c>
      <c r="G252" s="3427">
        <v>4420</v>
      </c>
      <c r="I252" s="1021"/>
      <c r="J252" s="3457"/>
      <c r="K252" s="3457"/>
      <c r="L252" s="3457"/>
      <c r="M252" s="3457"/>
      <c r="N252" s="3457"/>
      <c r="O252" s="3457"/>
      <c r="P252" s="3457"/>
      <c r="Q252" s="3457"/>
      <c r="R252" s="3457"/>
      <c r="S252" s="3457"/>
      <c r="T252" s="3457"/>
      <c r="U252" s="3457"/>
    </row>
    <row r="253" spans="1:21" s="1008" customFormat="1" ht="14.25" customHeight="1">
      <c r="A253" s="3421" t="s">
        <v>1155</v>
      </c>
      <c r="B253" s="3421" t="s">
        <v>1132</v>
      </c>
      <c r="C253" s="3421">
        <v>6670</v>
      </c>
      <c r="D253" s="3421">
        <v>6650</v>
      </c>
      <c r="E253" s="3421">
        <v>8350</v>
      </c>
      <c r="F253" s="3427">
        <v>1260</v>
      </c>
      <c r="G253" s="3427">
        <v>4080</v>
      </c>
      <c r="I253" s="1021"/>
      <c r="J253" s="3457"/>
      <c r="K253" s="3457"/>
      <c r="L253" s="3457"/>
      <c r="M253" s="3457"/>
      <c r="N253" s="3457"/>
      <c r="O253" s="3457"/>
      <c r="P253" s="3457"/>
      <c r="Q253" s="3457"/>
      <c r="R253" s="3457"/>
      <c r="S253" s="3457"/>
      <c r="T253" s="3457"/>
      <c r="U253" s="3457"/>
    </row>
    <row r="254" spans="1:21" s="1008" customFormat="1" ht="14.25" customHeight="1">
      <c r="A254" s="3421" t="s">
        <v>1155</v>
      </c>
      <c r="B254" s="3421" t="s">
        <v>1135</v>
      </c>
      <c r="C254" s="3430">
        <v>7630</v>
      </c>
      <c r="D254" s="3430">
        <v>7590</v>
      </c>
      <c r="E254" s="3430">
        <v>9380</v>
      </c>
      <c r="F254" s="3429">
        <v>1320</v>
      </c>
      <c r="G254" s="3427">
        <v>4660</v>
      </c>
      <c r="I254" s="1021"/>
      <c r="J254" s="3457"/>
      <c r="K254" s="3457"/>
      <c r="L254" s="3457"/>
      <c r="M254" s="3457"/>
      <c r="N254" s="3457"/>
      <c r="O254" s="3457"/>
      <c r="P254" s="3457"/>
      <c r="Q254" s="3457"/>
      <c r="R254" s="3457"/>
      <c r="S254" s="3457"/>
      <c r="T254" s="3457"/>
      <c r="U254" s="3457"/>
    </row>
    <row r="255" spans="1:21" s="1008" customFormat="1" ht="14.25" customHeight="1">
      <c r="A255" s="3421" t="s">
        <v>1155</v>
      </c>
      <c r="B255" s="3421" t="s">
        <v>1138</v>
      </c>
      <c r="C255" s="3430">
        <v>6940</v>
      </c>
      <c r="D255" s="3430">
        <v>6890</v>
      </c>
      <c r="E255" s="3430">
        <v>8650</v>
      </c>
      <c r="F255" s="3429">
        <v>1210</v>
      </c>
      <c r="G255" s="3427">
        <v>4230</v>
      </c>
      <c r="I255" s="1021"/>
      <c r="J255" s="3457"/>
      <c r="K255" s="3457"/>
      <c r="L255" s="3457"/>
      <c r="M255" s="3457"/>
      <c r="N255" s="3457"/>
      <c r="O255" s="3457"/>
      <c r="P255" s="3457"/>
      <c r="Q255" s="3457"/>
      <c r="R255" s="3457"/>
      <c r="S255" s="3457"/>
      <c r="T255" s="3457"/>
      <c r="U255" s="3457"/>
    </row>
    <row r="256" spans="1:21" s="1008" customFormat="1" ht="14.25" customHeight="1">
      <c r="A256" s="3421" t="s">
        <v>1155</v>
      </c>
      <c r="B256" s="3421" t="s">
        <v>2927</v>
      </c>
      <c r="C256" s="3421">
        <v>7520</v>
      </c>
      <c r="D256" s="3421">
        <v>7490</v>
      </c>
      <c r="E256" s="3421">
        <v>9240</v>
      </c>
      <c r="F256" s="3427">
        <v>1270</v>
      </c>
      <c r="G256" s="3427">
        <v>4590</v>
      </c>
      <c r="I256" s="1021"/>
      <c r="J256" s="3457"/>
      <c r="K256" s="3457"/>
      <c r="L256" s="3457"/>
      <c r="M256" s="3457"/>
      <c r="N256" s="3457"/>
      <c r="O256" s="3457"/>
      <c r="P256" s="3457"/>
      <c r="Q256" s="3457"/>
      <c r="R256" s="3457"/>
      <c r="S256" s="3457"/>
      <c r="T256" s="3457"/>
      <c r="U256" s="3457"/>
    </row>
    <row r="257" spans="1:21" s="1008" customFormat="1" ht="14.25" customHeight="1">
      <c r="A257" s="3421" t="s">
        <v>1155</v>
      </c>
      <c r="B257" s="3421" t="s">
        <v>1124</v>
      </c>
      <c r="C257" s="3421">
        <v>6280</v>
      </c>
      <c r="D257" s="3421">
        <v>6230</v>
      </c>
      <c r="E257" s="3421">
        <v>7740</v>
      </c>
      <c r="F257" s="3427">
        <v>1080</v>
      </c>
      <c r="G257" s="3427">
        <v>3830</v>
      </c>
      <c r="I257" s="1021"/>
      <c r="J257" s="3457"/>
      <c r="K257" s="3457"/>
      <c r="L257" s="3457"/>
      <c r="M257" s="3457"/>
      <c r="N257" s="3457"/>
      <c r="O257" s="3457"/>
      <c r="P257" s="3457"/>
      <c r="Q257" s="3457"/>
      <c r="R257" s="3457"/>
      <c r="S257" s="3457"/>
      <c r="T257" s="3457"/>
      <c r="U257" s="3457"/>
    </row>
    <row r="258" spans="1:21" s="1008" customFormat="1" ht="14.25" customHeight="1">
      <c r="A258" s="3421" t="s">
        <v>1155</v>
      </c>
      <c r="B258" s="3421" t="s">
        <v>2928</v>
      </c>
      <c r="C258" s="3421">
        <v>6190</v>
      </c>
      <c r="D258" s="3421">
        <v>6160</v>
      </c>
      <c r="E258" s="3421">
        <v>7680</v>
      </c>
      <c r="F258" s="3427">
        <v>1170</v>
      </c>
      <c r="G258" s="3427">
        <v>3780</v>
      </c>
      <c r="I258" s="1021"/>
      <c r="J258" s="3457"/>
      <c r="K258" s="3457"/>
      <c r="L258" s="3457"/>
      <c r="M258" s="3457"/>
      <c r="N258" s="3457"/>
      <c r="O258" s="3457"/>
      <c r="P258" s="3457"/>
      <c r="Q258" s="3457"/>
      <c r="R258" s="3457"/>
      <c r="S258" s="3457"/>
      <c r="T258" s="3457"/>
      <c r="U258" s="3457"/>
    </row>
    <row r="259" spans="1:21" s="1008" customFormat="1" ht="14.25" customHeight="1">
      <c r="A259" s="3421" t="s">
        <v>1155</v>
      </c>
      <c r="B259" s="3421" t="s">
        <v>2929</v>
      </c>
      <c r="C259" s="3421">
        <v>7610</v>
      </c>
      <c r="D259" s="3421">
        <v>7570</v>
      </c>
      <c r="E259" s="3421">
        <v>9350</v>
      </c>
      <c r="F259" s="3427">
        <v>1350</v>
      </c>
      <c r="G259" s="3427">
        <v>4650</v>
      </c>
      <c r="I259" s="1021"/>
      <c r="J259" s="3457"/>
      <c r="K259" s="3457"/>
      <c r="L259" s="3457"/>
      <c r="M259" s="3457"/>
      <c r="N259" s="3457"/>
      <c r="O259" s="3457"/>
      <c r="P259" s="3457"/>
      <c r="Q259" s="3457"/>
      <c r="R259" s="3457"/>
      <c r="S259" s="3457"/>
      <c r="T259" s="3457"/>
      <c r="U259" s="3457"/>
    </row>
    <row r="260" spans="1:21" s="1008" customFormat="1" ht="14.25" customHeight="1">
      <c r="A260" s="3421" t="s">
        <v>1155</v>
      </c>
      <c r="B260" s="3421" t="s">
        <v>2930</v>
      </c>
      <c r="C260" s="3421">
        <v>6920</v>
      </c>
      <c r="D260" s="3421">
        <v>6880</v>
      </c>
      <c r="E260" s="3421">
        <v>8380</v>
      </c>
      <c r="F260" s="3427">
        <v>1160</v>
      </c>
      <c r="G260" s="3427">
        <v>4220</v>
      </c>
      <c r="I260" s="1021"/>
      <c r="J260" s="3457"/>
      <c r="K260" s="3457"/>
      <c r="L260" s="3457"/>
      <c r="M260" s="3457"/>
      <c r="N260" s="3457"/>
      <c r="O260" s="3457"/>
      <c r="P260" s="3457"/>
      <c r="Q260" s="3457"/>
      <c r="R260" s="3457"/>
      <c r="S260" s="3457"/>
      <c r="T260" s="3457"/>
      <c r="U260" s="3457"/>
    </row>
    <row r="261" spans="1:21" s="1008" customFormat="1" ht="14.25" customHeight="1">
      <c r="A261" s="3421" t="s">
        <v>1155</v>
      </c>
      <c r="B261" s="3421" t="s">
        <v>2931</v>
      </c>
      <c r="C261" s="3421">
        <v>6850</v>
      </c>
      <c r="D261" s="3421">
        <v>6810</v>
      </c>
      <c r="E261" s="3421">
        <v>8290</v>
      </c>
      <c r="F261" s="3427">
        <v>1130</v>
      </c>
      <c r="G261" s="3427">
        <v>4180</v>
      </c>
      <c r="I261" s="1021"/>
      <c r="J261" s="3457"/>
      <c r="K261" s="3457"/>
      <c r="L261" s="3457"/>
      <c r="M261" s="3457"/>
      <c r="N261" s="3457"/>
      <c r="O261" s="3457"/>
      <c r="P261" s="3457"/>
      <c r="Q261" s="3457"/>
      <c r="R261" s="3457"/>
      <c r="S261" s="3457"/>
      <c r="T261" s="3457"/>
      <c r="U261" s="3457"/>
    </row>
    <row r="262" spans="1:21" s="1008" customFormat="1" ht="14.25" customHeight="1">
      <c r="A262" s="3421" t="s">
        <v>1155</v>
      </c>
      <c r="B262" s="3421" t="s">
        <v>2932</v>
      </c>
      <c r="C262" s="3421">
        <v>5860</v>
      </c>
      <c r="D262" s="3421">
        <v>5820</v>
      </c>
      <c r="E262" s="3421">
        <v>7640</v>
      </c>
      <c r="F262" s="3427">
        <v>1070</v>
      </c>
      <c r="G262" s="3429">
        <v>3570</v>
      </c>
      <c r="I262" s="1021"/>
      <c r="J262" s="3457"/>
      <c r="K262" s="3457"/>
      <c r="L262" s="3457"/>
      <c r="M262" s="3457"/>
      <c r="N262" s="3457"/>
      <c r="O262" s="3457"/>
      <c r="P262" s="3457"/>
      <c r="Q262" s="3457"/>
      <c r="R262" s="3457"/>
      <c r="S262" s="3457"/>
      <c r="T262" s="3457"/>
      <c r="U262" s="3457"/>
    </row>
    <row r="263" spans="1:21" s="1008" customFormat="1" ht="14.25" customHeight="1">
      <c r="A263" s="3421" t="s">
        <v>1155</v>
      </c>
      <c r="B263" s="3421" t="s">
        <v>2933</v>
      </c>
      <c r="C263" s="3421">
        <v>5870</v>
      </c>
      <c r="D263" s="3421">
        <v>5840</v>
      </c>
      <c r="E263" s="3421">
        <v>7270</v>
      </c>
      <c r="F263" s="3427">
        <v>1190</v>
      </c>
      <c r="G263" s="3427">
        <v>3580</v>
      </c>
      <c r="I263" s="1021"/>
      <c r="J263" s="3457"/>
      <c r="K263" s="3457"/>
      <c r="L263" s="3457"/>
      <c r="M263" s="3457"/>
      <c r="N263" s="3457"/>
      <c r="O263" s="3457"/>
      <c r="P263" s="3457"/>
      <c r="Q263" s="3457"/>
      <c r="R263" s="3457"/>
      <c r="S263" s="3457"/>
      <c r="T263" s="3457"/>
      <c r="U263" s="3457"/>
    </row>
    <row r="264" spans="1:21" s="1008" customFormat="1" ht="14.25" customHeight="1">
      <c r="A264" s="3421" t="s">
        <v>1155</v>
      </c>
      <c r="B264" s="3421" t="s">
        <v>1148</v>
      </c>
      <c r="C264" s="3421">
        <v>6190</v>
      </c>
      <c r="D264" s="3421">
        <v>6150</v>
      </c>
      <c r="E264" s="3421">
        <v>7660</v>
      </c>
      <c r="F264" s="3427">
        <v>1160</v>
      </c>
      <c r="G264" s="3427">
        <v>3770</v>
      </c>
      <c r="I264" s="1021"/>
      <c r="J264" s="3457"/>
      <c r="K264" s="3457"/>
      <c r="L264" s="3457"/>
      <c r="M264" s="3457"/>
      <c r="N264" s="3457"/>
      <c r="O264" s="3457"/>
      <c r="P264" s="3457"/>
      <c r="Q264" s="3457"/>
      <c r="R264" s="3457"/>
      <c r="S264" s="3457"/>
      <c r="T264" s="3457"/>
      <c r="U264" s="3457"/>
    </row>
    <row r="265" spans="1:21" s="1008" customFormat="1" ht="14.25" customHeight="1">
      <c r="A265" s="3421" t="s">
        <v>1155</v>
      </c>
      <c r="B265" s="3421" t="s">
        <v>2934</v>
      </c>
      <c r="C265" s="3421"/>
      <c r="D265" s="3421"/>
      <c r="E265" s="3421"/>
      <c r="F265" s="3427">
        <v>1500</v>
      </c>
      <c r="G265" s="3427"/>
      <c r="I265" s="1021"/>
      <c r="J265" s="3457"/>
      <c r="K265" s="3457"/>
      <c r="L265" s="3457"/>
      <c r="M265" s="3457"/>
      <c r="N265" s="3457"/>
      <c r="O265" s="3457"/>
      <c r="P265" s="3457"/>
      <c r="Q265" s="3457"/>
      <c r="R265" s="3457"/>
      <c r="S265" s="3457"/>
      <c r="T265" s="3457"/>
      <c r="U265" s="3457"/>
    </row>
    <row r="266" spans="1:21" s="1008" customFormat="1" ht="14.25" customHeight="1">
      <c r="A266" s="3421" t="s">
        <v>1155</v>
      </c>
      <c r="B266" s="3421" t="s">
        <v>2935</v>
      </c>
      <c r="C266" s="3421"/>
      <c r="D266" s="3421"/>
      <c r="E266" s="3421"/>
      <c r="F266" s="3427">
        <v>1500</v>
      </c>
      <c r="G266" s="3427"/>
      <c r="I266" s="1021"/>
      <c r="J266" s="3457"/>
      <c r="K266" s="3457"/>
      <c r="L266" s="3457"/>
      <c r="M266" s="3457"/>
      <c r="N266" s="3457"/>
      <c r="O266" s="3457"/>
      <c r="P266" s="3457"/>
      <c r="Q266" s="3457"/>
      <c r="R266" s="3457"/>
      <c r="S266" s="3457"/>
      <c r="T266" s="3457"/>
      <c r="U266" s="3457"/>
    </row>
    <row r="267" spans="1:21" s="1008" customFormat="1" ht="14.25" customHeight="1">
      <c r="A267" s="3421" t="s">
        <v>1155</v>
      </c>
      <c r="B267" s="3421" t="s">
        <v>2936</v>
      </c>
      <c r="C267" s="3421"/>
      <c r="D267" s="3421"/>
      <c r="E267" s="3421"/>
      <c r="F267" s="3427">
        <v>1500</v>
      </c>
      <c r="G267" s="3429"/>
      <c r="I267" s="1021"/>
      <c r="J267" s="3457"/>
      <c r="K267" s="3457"/>
      <c r="L267" s="3457"/>
      <c r="M267" s="3457"/>
      <c r="N267" s="3457"/>
      <c r="O267" s="3457"/>
      <c r="P267" s="3457"/>
      <c r="Q267" s="3457"/>
      <c r="R267" s="3457"/>
      <c r="S267" s="3457"/>
      <c r="T267" s="3457"/>
      <c r="U267" s="3457"/>
    </row>
    <row r="268" spans="1:21" s="1008" customFormat="1" ht="14.25" customHeight="1">
      <c r="A268" s="3421" t="s">
        <v>1155</v>
      </c>
      <c r="B268" s="3421" t="s">
        <v>2937</v>
      </c>
      <c r="C268" s="3421"/>
      <c r="D268" s="3421"/>
      <c r="E268" s="3421"/>
      <c r="F268" s="3427">
        <v>1290</v>
      </c>
      <c r="G268" s="3427"/>
      <c r="I268" s="1021"/>
      <c r="J268" s="3457"/>
      <c r="K268" s="3457"/>
      <c r="L268" s="3457"/>
      <c r="M268" s="3457"/>
      <c r="N268" s="3457"/>
      <c r="O268" s="3457"/>
      <c r="P268" s="3457"/>
      <c r="Q268" s="3457"/>
      <c r="R268" s="3457"/>
      <c r="S268" s="3457"/>
      <c r="T268" s="3457"/>
      <c r="U268" s="3457"/>
    </row>
    <row r="269" spans="1:21" s="1008" customFormat="1" ht="14.25" customHeight="1">
      <c r="A269" s="3421" t="s">
        <v>1155</v>
      </c>
      <c r="B269" s="3421" t="s">
        <v>2938</v>
      </c>
      <c r="C269" s="3421"/>
      <c r="D269" s="3421"/>
      <c r="E269" s="3421"/>
      <c r="F269" s="3427">
        <v>1150</v>
      </c>
      <c r="G269" s="3427"/>
      <c r="I269" s="1021"/>
      <c r="J269" s="3457"/>
      <c r="K269" s="3457"/>
      <c r="L269" s="3457"/>
      <c r="M269" s="3457"/>
      <c r="N269" s="3457"/>
      <c r="O269" s="3457"/>
      <c r="P269" s="3457"/>
      <c r="Q269" s="3457"/>
      <c r="R269" s="3457"/>
      <c r="S269" s="3457"/>
      <c r="T269" s="3457"/>
      <c r="U269" s="3457"/>
    </row>
    <row r="270" spans="1:21" s="1008" customFormat="1" ht="14.25" customHeight="1">
      <c r="A270" s="3421" t="s">
        <v>1155</v>
      </c>
      <c r="B270" s="3421" t="s">
        <v>2939</v>
      </c>
      <c r="C270" s="3421"/>
      <c r="D270" s="3421"/>
      <c r="E270" s="3421"/>
      <c r="F270" s="3427">
        <v>1380</v>
      </c>
      <c r="G270" s="3427"/>
      <c r="I270" s="1021"/>
      <c r="J270" s="3457"/>
      <c r="K270" s="3457"/>
      <c r="L270" s="3457"/>
      <c r="M270" s="3457"/>
      <c r="N270" s="3457"/>
      <c r="O270" s="3457"/>
      <c r="P270" s="3457"/>
      <c r="Q270" s="3457"/>
      <c r="R270" s="3457"/>
      <c r="S270" s="3457"/>
      <c r="T270" s="3457"/>
      <c r="U270" s="3457"/>
    </row>
    <row r="271" spans="1:21" s="1008" customFormat="1" ht="14.25" customHeight="1">
      <c r="A271" s="3421" t="s">
        <v>1155</v>
      </c>
      <c r="B271" s="3421" t="s">
        <v>2940</v>
      </c>
      <c r="C271" s="3421"/>
      <c r="D271" s="3421"/>
      <c r="E271" s="3421"/>
      <c r="F271" s="3427">
        <v>1460</v>
      </c>
      <c r="G271" s="3427"/>
      <c r="I271" s="1021"/>
      <c r="J271" s="3457"/>
      <c r="K271" s="3457"/>
      <c r="L271" s="3457"/>
      <c r="M271" s="3457"/>
      <c r="N271" s="3457"/>
      <c r="O271" s="3457"/>
      <c r="P271" s="3457"/>
      <c r="Q271" s="3457"/>
      <c r="R271" s="3457"/>
      <c r="S271" s="3457"/>
      <c r="T271" s="3457"/>
      <c r="U271" s="3457"/>
    </row>
    <row r="272" spans="1:21" s="1008" customFormat="1" ht="14.25" customHeight="1">
      <c r="A272" s="3421" t="s">
        <v>1155</v>
      </c>
      <c r="B272" s="3421" t="s">
        <v>2941</v>
      </c>
      <c r="C272" s="3430"/>
      <c r="D272" s="3430"/>
      <c r="E272" s="3430"/>
      <c r="F272" s="3429">
        <v>1460</v>
      </c>
      <c r="G272" s="3427"/>
      <c r="I272" s="1021"/>
      <c r="J272" s="3457"/>
      <c r="K272" s="3457"/>
      <c r="L272" s="3457"/>
      <c r="M272" s="3457"/>
      <c r="N272" s="3457"/>
      <c r="O272" s="3457"/>
      <c r="P272" s="3457"/>
      <c r="Q272" s="3457"/>
      <c r="R272" s="3457"/>
      <c r="S272" s="3457"/>
      <c r="T272" s="3457"/>
      <c r="U272" s="3457"/>
    </row>
    <row r="273" spans="1:21" s="1008" customFormat="1" ht="14.25" customHeight="1">
      <c r="A273" s="3421" t="s">
        <v>1155</v>
      </c>
      <c r="B273" s="3421" t="s">
        <v>2942</v>
      </c>
      <c r="C273" s="3421"/>
      <c r="D273" s="3421"/>
      <c r="E273" s="3421"/>
      <c r="F273" s="3427">
        <v>1490</v>
      </c>
      <c r="G273" s="3427"/>
      <c r="I273" s="1021"/>
      <c r="J273" s="3457"/>
      <c r="K273" s="3457"/>
      <c r="L273" s="3457"/>
      <c r="M273" s="3457"/>
      <c r="N273" s="3457"/>
      <c r="O273" s="3457"/>
      <c r="P273" s="3457"/>
      <c r="Q273" s="3457"/>
      <c r="R273" s="3457"/>
      <c r="S273" s="3457"/>
      <c r="T273" s="3457"/>
      <c r="U273" s="3457"/>
    </row>
    <row r="274" spans="1:21" s="1008" customFormat="1" ht="14.25" customHeight="1">
      <c r="A274" s="3421" t="s">
        <v>1155</v>
      </c>
      <c r="B274" s="3421" t="s">
        <v>2943</v>
      </c>
      <c r="C274" s="3421"/>
      <c r="D274" s="3421"/>
      <c r="E274" s="3421"/>
      <c r="F274" s="3427">
        <v>1490</v>
      </c>
      <c r="G274" s="3427"/>
      <c r="I274" s="1021"/>
      <c r="J274" s="3457"/>
      <c r="K274" s="3457"/>
      <c r="L274" s="3457"/>
      <c r="M274" s="3457"/>
      <c r="N274" s="3457"/>
      <c r="O274" s="3457"/>
      <c r="P274" s="3457"/>
      <c r="Q274" s="3457"/>
      <c r="R274" s="3457"/>
      <c r="S274" s="3457"/>
      <c r="T274" s="3457"/>
      <c r="U274" s="3457"/>
    </row>
    <row r="275" spans="1:21" s="1008" customFormat="1" ht="14.25" customHeight="1">
      <c r="A275" s="3421" t="s">
        <v>1155</v>
      </c>
      <c r="B275" s="3421" t="s">
        <v>2944</v>
      </c>
      <c r="C275" s="3421"/>
      <c r="D275" s="3421"/>
      <c r="E275" s="3421"/>
      <c r="F275" s="3427">
        <v>1220</v>
      </c>
      <c r="G275" s="3427"/>
      <c r="I275" s="1021"/>
      <c r="J275" s="3457"/>
      <c r="K275" s="3457"/>
      <c r="L275" s="3457"/>
      <c r="M275" s="3457"/>
      <c r="N275" s="3457"/>
      <c r="O275" s="3457"/>
      <c r="P275" s="3457"/>
      <c r="Q275" s="3457"/>
      <c r="R275" s="3457"/>
      <c r="S275" s="3457"/>
      <c r="T275" s="3457"/>
      <c r="U275" s="3457"/>
    </row>
    <row r="276" spans="1:21" s="1008" customFormat="1" ht="14.25" customHeight="1" thickBot="1">
      <c r="A276" s="3436" t="s">
        <v>1155</v>
      </c>
      <c r="B276" s="3424" t="s">
        <v>2945</v>
      </c>
      <c r="C276" s="3424"/>
      <c r="D276" s="3424"/>
      <c r="E276" s="3424"/>
      <c r="F276" s="3425">
        <v>1380</v>
      </c>
      <c r="G276" s="3437"/>
      <c r="I276" s="1021"/>
      <c r="J276" s="3457"/>
      <c r="K276" s="3457"/>
      <c r="L276" s="3457"/>
      <c r="M276" s="3457"/>
      <c r="N276" s="3457"/>
      <c r="O276" s="3457"/>
      <c r="P276" s="3457"/>
      <c r="Q276" s="3457"/>
      <c r="R276" s="3457"/>
      <c r="S276" s="3457"/>
      <c r="T276" s="3457"/>
      <c r="U276" s="3457"/>
    </row>
    <row r="277" spans="1:21" s="1008" customFormat="1" ht="14.25" customHeight="1">
      <c r="A277" s="3435" t="s">
        <v>1156</v>
      </c>
      <c r="B277" s="1286" t="s">
        <v>2946</v>
      </c>
      <c r="C277" s="1286">
        <v>5790</v>
      </c>
      <c r="D277" s="1286">
        <v>5740</v>
      </c>
      <c r="E277" s="1286">
        <v>6730</v>
      </c>
      <c r="F277" s="3422">
        <v>1110</v>
      </c>
      <c r="G277" s="3422">
        <v>3460</v>
      </c>
      <c r="I277" s="1021"/>
      <c r="J277" s="3457"/>
      <c r="K277" s="3457"/>
      <c r="L277" s="3457"/>
      <c r="M277" s="3457"/>
      <c r="N277" s="3457"/>
      <c r="O277" s="3457"/>
      <c r="P277" s="3457"/>
      <c r="Q277" s="3457"/>
      <c r="R277" s="3457"/>
      <c r="S277" s="3457"/>
      <c r="T277" s="3457"/>
      <c r="U277" s="3457"/>
    </row>
    <row r="278" spans="1:21" s="1008" customFormat="1" ht="14.25" customHeight="1">
      <c r="A278" s="3421" t="s">
        <v>1156</v>
      </c>
      <c r="B278" s="3421" t="s">
        <v>980</v>
      </c>
      <c r="C278" s="3421">
        <v>5740</v>
      </c>
      <c r="D278" s="3421">
        <v>5670</v>
      </c>
      <c r="E278" s="3421">
        <v>6680</v>
      </c>
      <c r="F278" s="3427">
        <v>1070</v>
      </c>
      <c r="G278" s="3427">
        <v>3420</v>
      </c>
      <c r="I278" s="1021"/>
      <c r="J278" s="3457"/>
      <c r="K278" s="3457"/>
      <c r="L278" s="3457"/>
      <c r="M278" s="3457"/>
      <c r="N278" s="3457"/>
      <c r="O278" s="3457"/>
      <c r="P278" s="3457"/>
      <c r="Q278" s="3457"/>
      <c r="R278" s="3457"/>
      <c r="S278" s="3457"/>
      <c r="T278" s="3457"/>
      <c r="U278" s="3457"/>
    </row>
    <row r="279" spans="1:21" s="1008" customFormat="1" ht="14.25" customHeight="1">
      <c r="A279" s="3421" t="s">
        <v>1156</v>
      </c>
      <c r="B279" s="3421" t="s">
        <v>2947</v>
      </c>
      <c r="C279" s="3421">
        <v>4760</v>
      </c>
      <c r="D279" s="3421">
        <v>4720</v>
      </c>
      <c r="E279" s="3421">
        <v>5540</v>
      </c>
      <c r="F279" s="3427">
        <v>810</v>
      </c>
      <c r="G279" s="3427">
        <v>2850</v>
      </c>
      <c r="I279" s="1021"/>
      <c r="J279" s="3457"/>
      <c r="K279" s="3457"/>
      <c r="L279" s="3457"/>
      <c r="M279" s="3457"/>
      <c r="N279" s="3457"/>
      <c r="O279" s="3457"/>
      <c r="P279" s="3457"/>
      <c r="Q279" s="3457"/>
      <c r="R279" s="3457"/>
      <c r="S279" s="3457"/>
      <c r="T279" s="3457"/>
      <c r="U279" s="3457"/>
    </row>
    <row r="280" spans="1:21" s="1008" customFormat="1" ht="14.25" customHeight="1">
      <c r="A280" s="3421" t="s">
        <v>1156</v>
      </c>
      <c r="B280" s="3421" t="s">
        <v>2948</v>
      </c>
      <c r="C280" s="3421">
        <v>4010</v>
      </c>
      <c r="D280" s="3421">
        <v>3950</v>
      </c>
      <c r="E280" s="3421">
        <v>4710</v>
      </c>
      <c r="F280" s="3427">
        <v>800</v>
      </c>
      <c r="G280" s="3427">
        <v>2390</v>
      </c>
      <c r="I280" s="1021"/>
      <c r="J280" s="3457"/>
      <c r="K280" s="3457"/>
      <c r="L280" s="3457"/>
      <c r="M280" s="3457"/>
      <c r="N280" s="3457"/>
      <c r="O280" s="3457"/>
      <c r="P280" s="3457"/>
      <c r="Q280" s="3457"/>
      <c r="R280" s="3457"/>
      <c r="S280" s="3457"/>
      <c r="T280" s="3457"/>
      <c r="U280" s="3457"/>
    </row>
    <row r="281" spans="1:21" s="1008" customFormat="1" ht="14.25" customHeight="1">
      <c r="A281" s="3421" t="s">
        <v>1156</v>
      </c>
      <c r="B281" s="3421" t="s">
        <v>2949</v>
      </c>
      <c r="C281" s="3421">
        <v>4480</v>
      </c>
      <c r="D281" s="3421">
        <v>4420</v>
      </c>
      <c r="E281" s="3421">
        <v>5230</v>
      </c>
      <c r="F281" s="3427">
        <v>870</v>
      </c>
      <c r="G281" s="3427">
        <v>2660</v>
      </c>
      <c r="I281" s="1021"/>
      <c r="J281" s="3457"/>
      <c r="K281" s="3457"/>
      <c r="L281" s="3457"/>
      <c r="M281" s="3457"/>
      <c r="N281" s="3457"/>
      <c r="O281" s="3457"/>
      <c r="P281" s="3457"/>
      <c r="Q281" s="3457"/>
      <c r="R281" s="3457"/>
      <c r="S281" s="3457"/>
      <c r="T281" s="3457"/>
      <c r="U281" s="3457"/>
    </row>
    <row r="282" spans="1:21" s="1008" customFormat="1" ht="14.25" customHeight="1">
      <c r="A282" s="3421" t="s">
        <v>1156</v>
      </c>
      <c r="B282" s="3421" t="s">
        <v>2950</v>
      </c>
      <c r="C282" s="3421">
        <v>5360</v>
      </c>
      <c r="D282" s="3421">
        <v>5300</v>
      </c>
      <c r="E282" s="3421">
        <v>6190</v>
      </c>
      <c r="F282" s="3427">
        <v>950</v>
      </c>
      <c r="G282" s="3427">
        <v>3190</v>
      </c>
      <c r="I282" s="1021"/>
      <c r="J282" s="3457"/>
      <c r="K282" s="3457"/>
      <c r="L282" s="3457"/>
      <c r="M282" s="3457"/>
      <c r="N282" s="3457"/>
      <c r="O282" s="3457"/>
      <c r="P282" s="3457"/>
      <c r="Q282" s="3457"/>
      <c r="R282" s="3457"/>
      <c r="S282" s="3457"/>
      <c r="T282" s="3457"/>
      <c r="U282" s="3457"/>
    </row>
    <row r="283" spans="1:21" s="1008" customFormat="1" ht="14.25" customHeight="1">
      <c r="A283" s="3421" t="s">
        <v>1156</v>
      </c>
      <c r="B283" s="3421" t="s">
        <v>1021</v>
      </c>
      <c r="C283" s="3421">
        <v>4950</v>
      </c>
      <c r="D283" s="3421">
        <v>4900</v>
      </c>
      <c r="E283" s="3421">
        <v>5720</v>
      </c>
      <c r="F283" s="3427">
        <v>920</v>
      </c>
      <c r="G283" s="3427">
        <v>2950</v>
      </c>
      <c r="I283" s="1021"/>
      <c r="J283" s="3457"/>
      <c r="K283" s="3457"/>
      <c r="L283" s="3457"/>
      <c r="M283" s="3457"/>
      <c r="N283" s="3457"/>
      <c r="O283" s="3457"/>
      <c r="P283" s="3457"/>
      <c r="Q283" s="3457"/>
      <c r="R283" s="3457"/>
      <c r="S283" s="3457"/>
      <c r="T283" s="3457"/>
      <c r="U283" s="3457"/>
    </row>
    <row r="284" spans="1:21" s="1008" customFormat="1" ht="14.25" customHeight="1">
      <c r="A284" s="3421" t="s">
        <v>1156</v>
      </c>
      <c r="B284" s="3421" t="s">
        <v>1029</v>
      </c>
      <c r="C284" s="3421">
        <v>5610</v>
      </c>
      <c r="D284" s="3421">
        <v>5560</v>
      </c>
      <c r="E284" s="3421">
        <v>6520</v>
      </c>
      <c r="F284" s="3427">
        <v>1030</v>
      </c>
      <c r="G284" s="3427">
        <v>3360</v>
      </c>
      <c r="I284" s="1021"/>
      <c r="J284" s="3457"/>
      <c r="K284" s="3457"/>
      <c r="L284" s="3457"/>
      <c r="M284" s="3457"/>
      <c r="N284" s="3457"/>
      <c r="O284" s="3457"/>
      <c r="P284" s="3457"/>
      <c r="Q284" s="3457"/>
      <c r="R284" s="3457"/>
      <c r="S284" s="3457"/>
      <c r="T284" s="3457"/>
      <c r="U284" s="3457"/>
    </row>
    <row r="285" spans="1:21" s="1008" customFormat="1" ht="14.25" customHeight="1">
      <c r="A285" s="3421" t="s">
        <v>1156</v>
      </c>
      <c r="B285" s="3421" t="s">
        <v>1039</v>
      </c>
      <c r="C285" s="3421">
        <v>5340</v>
      </c>
      <c r="D285" s="3421">
        <v>5290</v>
      </c>
      <c r="E285" s="3421">
        <v>6170</v>
      </c>
      <c r="F285" s="3427">
        <v>1080</v>
      </c>
      <c r="G285" s="3427">
        <v>3180</v>
      </c>
      <c r="I285" s="1021"/>
      <c r="J285" s="3457"/>
      <c r="K285" s="3457"/>
      <c r="L285" s="3457"/>
      <c r="M285" s="3457"/>
      <c r="N285" s="3457"/>
      <c r="O285" s="3457"/>
      <c r="P285" s="3457"/>
      <c r="Q285" s="3457"/>
      <c r="R285" s="3457"/>
      <c r="S285" s="3457"/>
      <c r="T285" s="3457"/>
      <c r="U285" s="3457"/>
    </row>
    <row r="286" spans="1:21" s="1008" customFormat="1" ht="14.25" customHeight="1">
      <c r="A286" s="3421" t="s">
        <v>1156</v>
      </c>
      <c r="B286" s="3421" t="s">
        <v>1046</v>
      </c>
      <c r="C286" s="3421">
        <v>4890</v>
      </c>
      <c r="D286" s="3421">
        <v>4840</v>
      </c>
      <c r="E286" s="3421">
        <v>5640</v>
      </c>
      <c r="F286" s="3427">
        <v>960</v>
      </c>
      <c r="G286" s="3427">
        <v>2910</v>
      </c>
      <c r="I286" s="1021"/>
      <c r="J286" s="3457"/>
      <c r="K286" s="3457"/>
      <c r="L286" s="3457"/>
      <c r="M286" s="3457"/>
      <c r="N286" s="3457"/>
      <c r="O286" s="3457"/>
      <c r="P286" s="3457"/>
      <c r="Q286" s="3457"/>
      <c r="R286" s="3457"/>
      <c r="S286" s="3457"/>
      <c r="T286" s="3457"/>
      <c r="U286" s="3457"/>
    </row>
    <row r="287" spans="1:21" s="1008" customFormat="1" ht="14.25" customHeight="1">
      <c r="A287" s="3421" t="s">
        <v>1156</v>
      </c>
      <c r="B287" s="3421" t="s">
        <v>2951</v>
      </c>
      <c r="C287" s="3421">
        <v>4960</v>
      </c>
      <c r="D287" s="3421">
        <v>4920</v>
      </c>
      <c r="E287" s="3421">
        <v>5730</v>
      </c>
      <c r="F287" s="3427">
        <v>930</v>
      </c>
      <c r="G287" s="3427">
        <v>2960</v>
      </c>
      <c r="I287" s="1021"/>
      <c r="J287" s="3457"/>
      <c r="K287" s="3457"/>
      <c r="L287" s="3457"/>
      <c r="M287" s="3457"/>
      <c r="N287" s="3457"/>
      <c r="O287" s="3457"/>
      <c r="P287" s="3457"/>
      <c r="Q287" s="3457"/>
      <c r="R287" s="3457"/>
      <c r="S287" s="3457"/>
      <c r="T287" s="3457"/>
      <c r="U287" s="3457"/>
    </row>
    <row r="288" spans="1:21" s="1008" customFormat="1" ht="14.25" customHeight="1">
      <c r="A288" s="3421" t="s">
        <v>1156</v>
      </c>
      <c r="B288" s="3421" t="s">
        <v>1067</v>
      </c>
      <c r="C288" s="3421">
        <v>4350</v>
      </c>
      <c r="D288" s="3421">
        <v>4300</v>
      </c>
      <c r="E288" s="3421">
        <v>4900</v>
      </c>
      <c r="F288" s="3427">
        <v>820</v>
      </c>
      <c r="G288" s="3427">
        <v>2590</v>
      </c>
      <c r="I288" s="1021"/>
      <c r="J288" s="3457"/>
      <c r="K288" s="3457"/>
      <c r="L288" s="3457"/>
      <c r="M288" s="3457"/>
      <c r="N288" s="3457"/>
      <c r="O288" s="3457"/>
      <c r="P288" s="3457"/>
      <c r="Q288" s="3457"/>
      <c r="R288" s="3457"/>
      <c r="S288" s="3457"/>
      <c r="T288" s="3457"/>
      <c r="U288" s="3457"/>
    </row>
    <row r="289" spans="1:21" s="1008" customFormat="1" ht="14.25" customHeight="1">
      <c r="A289" s="3421" t="s">
        <v>1156</v>
      </c>
      <c r="B289" s="3421" t="s">
        <v>2952</v>
      </c>
      <c r="C289" s="3421">
        <v>5230</v>
      </c>
      <c r="D289" s="3421">
        <v>5170</v>
      </c>
      <c r="E289" s="3421">
        <v>6060</v>
      </c>
      <c r="F289" s="3421">
        <v>900</v>
      </c>
      <c r="G289" s="3421">
        <v>3120</v>
      </c>
      <c r="H289" s="3443"/>
      <c r="I289" s="1021"/>
      <c r="J289" s="3457"/>
      <c r="K289" s="3457"/>
      <c r="L289" s="3457"/>
      <c r="M289" s="3457"/>
      <c r="N289" s="3457"/>
      <c r="O289" s="3457"/>
      <c r="P289" s="3457"/>
      <c r="Q289" s="3457"/>
      <c r="R289" s="3457"/>
      <c r="S289" s="3457"/>
      <c r="T289" s="3457"/>
      <c r="U289" s="3457"/>
    </row>
    <row r="290" spans="1:21" s="1008" customFormat="1" ht="14.25" customHeight="1">
      <c r="A290" s="1286" t="s">
        <v>1156</v>
      </c>
      <c r="B290" s="1286" t="s">
        <v>1090</v>
      </c>
      <c r="C290" s="1286">
        <v>5550</v>
      </c>
      <c r="D290" s="1286">
        <v>5500</v>
      </c>
      <c r="E290" s="1286">
        <v>6440</v>
      </c>
      <c r="F290" s="3422">
        <v>960</v>
      </c>
      <c r="G290" s="3438">
        <v>3320</v>
      </c>
      <c r="I290" s="1021"/>
      <c r="J290" s="3457"/>
      <c r="K290" s="3457"/>
      <c r="L290" s="3457"/>
      <c r="M290" s="3457"/>
      <c r="N290" s="3457"/>
      <c r="O290" s="3457"/>
      <c r="P290" s="3457"/>
      <c r="Q290" s="3457"/>
      <c r="R290" s="3457"/>
      <c r="S290" s="3457"/>
      <c r="T290" s="3457"/>
      <c r="U290" s="3457"/>
    </row>
    <row r="291" spans="1:21" s="1008" customFormat="1" ht="14.25" customHeight="1">
      <c r="A291" s="3421" t="s">
        <v>1156</v>
      </c>
      <c r="B291" s="3421" t="s">
        <v>1098</v>
      </c>
      <c r="C291" s="3421">
        <v>5440</v>
      </c>
      <c r="D291" s="3421">
        <v>5400</v>
      </c>
      <c r="E291" s="3421">
        <v>6320</v>
      </c>
      <c r="F291" s="3427">
        <v>930</v>
      </c>
      <c r="G291" s="3429">
        <v>3250</v>
      </c>
      <c r="I291" s="1021"/>
      <c r="J291" s="3457"/>
      <c r="K291" s="3457"/>
      <c r="L291" s="3457"/>
      <c r="M291" s="3457"/>
      <c r="N291" s="3457"/>
      <c r="O291" s="3457"/>
      <c r="P291" s="3457"/>
      <c r="Q291" s="3457"/>
      <c r="R291" s="3457"/>
      <c r="S291" s="3457"/>
      <c r="T291" s="3457"/>
      <c r="U291" s="3457"/>
    </row>
    <row r="292" spans="1:21" s="1008" customFormat="1" ht="14.25" customHeight="1">
      <c r="A292" s="3421" t="s">
        <v>1156</v>
      </c>
      <c r="B292" s="3421" t="s">
        <v>1104</v>
      </c>
      <c r="C292" s="3421">
        <v>5400</v>
      </c>
      <c r="D292" s="3421">
        <v>5360</v>
      </c>
      <c r="E292" s="3421">
        <v>6270</v>
      </c>
      <c r="F292" s="3427">
        <v>1040</v>
      </c>
      <c r="G292" s="3427">
        <v>3230</v>
      </c>
      <c r="I292" s="1021"/>
      <c r="J292" s="3457"/>
      <c r="K292" s="3457"/>
      <c r="L292" s="3457"/>
      <c r="M292" s="3457"/>
      <c r="N292" s="3457"/>
      <c r="O292" s="3457"/>
      <c r="P292" s="3457"/>
      <c r="Q292" s="3457"/>
      <c r="R292" s="3457"/>
      <c r="S292" s="3457"/>
      <c r="T292" s="3457"/>
      <c r="U292" s="3457"/>
    </row>
    <row r="293" spans="1:21" s="1008" customFormat="1" ht="14.25" customHeight="1">
      <c r="A293" s="3421" t="s">
        <v>1156</v>
      </c>
      <c r="B293" s="3421" t="s">
        <v>2953</v>
      </c>
      <c r="C293" s="3421">
        <v>5320</v>
      </c>
      <c r="D293" s="3421">
        <v>5270</v>
      </c>
      <c r="E293" s="3421">
        <v>6160</v>
      </c>
      <c r="F293" s="3427">
        <v>990</v>
      </c>
      <c r="G293" s="3427">
        <v>3170</v>
      </c>
      <c r="I293" s="1021"/>
      <c r="J293" s="3457"/>
      <c r="K293" s="3457"/>
      <c r="L293" s="3457"/>
      <c r="M293" s="3457"/>
      <c r="N293" s="3457"/>
      <c r="O293" s="3457"/>
      <c r="P293" s="3457"/>
      <c r="Q293" s="3457"/>
      <c r="R293" s="3457"/>
      <c r="S293" s="3457"/>
      <c r="T293" s="3457"/>
      <c r="U293" s="3457"/>
    </row>
    <row r="294" spans="1:21" s="1008" customFormat="1" ht="14.25" customHeight="1">
      <c r="A294" s="3421" t="s">
        <v>1156</v>
      </c>
      <c r="B294" s="3421" t="s">
        <v>2954</v>
      </c>
      <c r="C294" s="3421">
        <v>5260</v>
      </c>
      <c r="D294" s="3421">
        <v>5210</v>
      </c>
      <c r="E294" s="3421">
        <v>6100</v>
      </c>
      <c r="F294" s="3427">
        <v>950</v>
      </c>
      <c r="G294" s="3427">
        <v>3150</v>
      </c>
      <c r="I294" s="1021"/>
      <c r="J294" s="3457"/>
      <c r="K294" s="3457"/>
      <c r="L294" s="3457"/>
      <c r="M294" s="3457"/>
      <c r="N294" s="3457"/>
      <c r="O294" s="3457"/>
      <c r="P294" s="3457"/>
      <c r="Q294" s="3457"/>
      <c r="R294" s="3457"/>
      <c r="S294" s="3457"/>
      <c r="T294" s="3457"/>
      <c r="U294" s="3457"/>
    </row>
    <row r="295" spans="1:21" s="1008" customFormat="1" ht="14.25" customHeight="1">
      <c r="A295" s="3421" t="s">
        <v>1156</v>
      </c>
      <c r="B295" s="3421" t="s">
        <v>1139</v>
      </c>
      <c r="C295" s="3421">
        <v>5610</v>
      </c>
      <c r="D295" s="3421">
        <v>5570</v>
      </c>
      <c r="E295" s="3421">
        <v>6530</v>
      </c>
      <c r="F295" s="3427">
        <v>960</v>
      </c>
      <c r="G295" s="3427">
        <v>3360</v>
      </c>
      <c r="I295" s="1021"/>
      <c r="J295" s="3457"/>
      <c r="K295" s="3457"/>
      <c r="L295" s="3457"/>
      <c r="M295" s="3457"/>
      <c r="N295" s="3457"/>
      <c r="O295" s="3457"/>
      <c r="P295" s="3457"/>
      <c r="Q295" s="3457"/>
      <c r="R295" s="3457"/>
      <c r="S295" s="3457"/>
      <c r="T295" s="3457"/>
      <c r="U295" s="3457"/>
    </row>
    <row r="296" spans="1:21" s="1008" customFormat="1" ht="14.25" customHeight="1">
      <c r="A296" s="3421" t="s">
        <v>1156</v>
      </c>
      <c r="B296" s="3421" t="s">
        <v>1142</v>
      </c>
      <c r="C296" s="3421">
        <v>5540</v>
      </c>
      <c r="D296" s="3421">
        <v>5490</v>
      </c>
      <c r="E296" s="3421">
        <v>6430</v>
      </c>
      <c r="F296" s="3427">
        <v>980</v>
      </c>
      <c r="G296" s="3427">
        <v>3310</v>
      </c>
      <c r="I296" s="1021"/>
      <c r="J296" s="3457"/>
      <c r="K296" s="3457"/>
      <c r="L296" s="3457"/>
      <c r="M296" s="3457"/>
      <c r="N296" s="3457"/>
      <c r="O296" s="3457"/>
      <c r="P296" s="3457"/>
      <c r="Q296" s="3457"/>
      <c r="R296" s="3457"/>
      <c r="S296" s="3457"/>
      <c r="T296" s="3457"/>
      <c r="U296" s="3457"/>
    </row>
    <row r="297" spans="1:21" s="1008" customFormat="1" ht="14.25" customHeight="1">
      <c r="A297" s="3421" t="s">
        <v>1156</v>
      </c>
      <c r="B297" s="3421" t="s">
        <v>1144</v>
      </c>
      <c r="C297" s="3421">
        <v>5480</v>
      </c>
      <c r="D297" s="3421">
        <v>5420</v>
      </c>
      <c r="E297" s="3421">
        <v>6370</v>
      </c>
      <c r="F297" s="3427">
        <v>990</v>
      </c>
      <c r="G297" s="3427">
        <v>3270</v>
      </c>
      <c r="I297" s="1021"/>
      <c r="J297" s="3457"/>
      <c r="K297" s="3457"/>
      <c r="L297" s="3457"/>
      <c r="M297" s="3457"/>
      <c r="N297" s="3457"/>
      <c r="O297" s="3457"/>
      <c r="P297" s="3457"/>
      <c r="Q297" s="3457"/>
      <c r="R297" s="3457"/>
      <c r="S297" s="3457"/>
      <c r="T297" s="3457"/>
      <c r="U297" s="3457"/>
    </row>
    <row r="298" spans="1:21" s="1008" customFormat="1" ht="14.25" customHeight="1">
      <c r="A298" s="3421" t="s">
        <v>1156</v>
      </c>
      <c r="B298" s="3421" t="s">
        <v>1147</v>
      </c>
      <c r="C298" s="3421">
        <v>5090</v>
      </c>
      <c r="D298" s="3421">
        <v>5050</v>
      </c>
      <c r="E298" s="3421">
        <v>5910</v>
      </c>
      <c r="F298" s="3427">
        <v>900</v>
      </c>
      <c r="G298" s="3427">
        <v>3040</v>
      </c>
      <c r="I298" s="1021"/>
      <c r="J298" s="3457"/>
      <c r="K298" s="3457"/>
      <c r="L298" s="3457"/>
      <c r="M298" s="3457"/>
      <c r="N298" s="3457"/>
      <c r="O298" s="3457"/>
      <c r="P298" s="3457"/>
      <c r="Q298" s="3457"/>
      <c r="R298" s="3457"/>
      <c r="S298" s="3457"/>
      <c r="T298" s="3457"/>
      <c r="U298" s="3457"/>
    </row>
    <row r="299" spans="1:21" s="1008" customFormat="1" ht="14.25" customHeight="1">
      <c r="A299" s="3421" t="s">
        <v>1156</v>
      </c>
      <c r="B299" s="3421" t="s">
        <v>2955</v>
      </c>
      <c r="C299" s="3421">
        <v>5430</v>
      </c>
      <c r="D299" s="3421">
        <v>5380</v>
      </c>
      <c r="E299" s="3421">
        <v>6280</v>
      </c>
      <c r="F299" s="3427">
        <v>1000</v>
      </c>
      <c r="G299" s="3429">
        <v>3240</v>
      </c>
      <c r="I299" s="1021"/>
      <c r="J299" s="3457"/>
      <c r="K299" s="3457"/>
      <c r="L299" s="3457"/>
      <c r="M299" s="3457"/>
      <c r="N299" s="3457"/>
      <c r="O299" s="3457"/>
      <c r="P299" s="3457"/>
      <c r="Q299" s="3457"/>
      <c r="R299" s="3457"/>
      <c r="S299" s="3457"/>
      <c r="T299" s="3457"/>
      <c r="U299" s="3457"/>
    </row>
    <row r="300" spans="1:21" s="1008" customFormat="1" ht="14.25" customHeight="1">
      <c r="A300" s="3421" t="s">
        <v>1156</v>
      </c>
      <c r="B300" s="3421" t="s">
        <v>1119</v>
      </c>
      <c r="C300" s="3421">
        <v>4740</v>
      </c>
      <c r="D300" s="3421">
        <v>4680</v>
      </c>
      <c r="E300" s="3421">
        <v>5450</v>
      </c>
      <c r="F300" s="3427">
        <v>900</v>
      </c>
      <c r="G300" s="3427">
        <v>2830</v>
      </c>
      <c r="I300" s="1021"/>
      <c r="J300" s="3457"/>
      <c r="K300" s="3457"/>
      <c r="L300" s="3457"/>
      <c r="M300" s="3457"/>
      <c r="N300" s="3457"/>
      <c r="O300" s="3457"/>
      <c r="P300" s="3457"/>
      <c r="Q300" s="3457"/>
      <c r="R300" s="3457"/>
      <c r="S300" s="3457"/>
      <c r="T300" s="3457"/>
      <c r="U300" s="3457"/>
    </row>
    <row r="301" spans="1:21" s="1008" customFormat="1" ht="14.25" customHeight="1">
      <c r="A301" s="3421" t="s">
        <v>1156</v>
      </c>
      <c r="B301" s="3421" t="s">
        <v>1125</v>
      </c>
      <c r="C301" s="3421">
        <v>4870</v>
      </c>
      <c r="D301" s="3421">
        <v>4810</v>
      </c>
      <c r="E301" s="3421">
        <v>5560</v>
      </c>
      <c r="F301" s="3427">
        <v>990</v>
      </c>
      <c r="G301" s="3429">
        <v>2910</v>
      </c>
      <c r="I301" s="1021"/>
      <c r="J301" s="3457"/>
      <c r="K301" s="3457"/>
      <c r="L301" s="3457"/>
      <c r="M301" s="3457"/>
      <c r="N301" s="3457"/>
      <c r="O301" s="3457"/>
      <c r="P301" s="3457"/>
      <c r="Q301" s="3457"/>
      <c r="R301" s="3457"/>
      <c r="S301" s="3457"/>
      <c r="T301" s="3457"/>
      <c r="U301" s="3457"/>
    </row>
    <row r="302" spans="1:21" s="1008" customFormat="1" ht="14.25" customHeight="1">
      <c r="A302" s="3421" t="s">
        <v>1156</v>
      </c>
      <c r="B302" s="3421" t="s">
        <v>2956</v>
      </c>
      <c r="C302" s="3421">
        <v>5520</v>
      </c>
      <c r="D302" s="3421">
        <v>5470</v>
      </c>
      <c r="E302" s="3421">
        <v>6410</v>
      </c>
      <c r="F302" s="3427">
        <v>950</v>
      </c>
      <c r="G302" s="3427">
        <v>3300</v>
      </c>
      <c r="I302" s="1021"/>
      <c r="J302" s="3457"/>
      <c r="K302" s="3457"/>
      <c r="L302" s="3457"/>
      <c r="M302" s="3457"/>
      <c r="N302" s="3457"/>
      <c r="O302" s="3457"/>
      <c r="P302" s="3457"/>
      <c r="Q302" s="3457"/>
      <c r="R302" s="3457"/>
      <c r="S302" s="3457"/>
      <c r="T302" s="3457"/>
      <c r="U302" s="3457"/>
    </row>
    <row r="303" spans="1:21" s="1008" customFormat="1" ht="14.25" customHeight="1">
      <c r="A303" s="3421" t="s">
        <v>1156</v>
      </c>
      <c r="B303" s="3421" t="s">
        <v>2957</v>
      </c>
      <c r="C303" s="3421">
        <v>5630</v>
      </c>
      <c r="D303" s="3421">
        <v>5590</v>
      </c>
      <c r="E303" s="3421">
        <v>6550</v>
      </c>
      <c r="F303" s="3427">
        <v>1010</v>
      </c>
      <c r="G303" s="3427">
        <v>3370</v>
      </c>
      <c r="I303" s="1021"/>
      <c r="J303" s="3457"/>
      <c r="K303" s="3457"/>
      <c r="L303" s="3457"/>
      <c r="M303" s="3457"/>
      <c r="N303" s="3457"/>
      <c r="O303" s="3457"/>
      <c r="P303" s="3457"/>
      <c r="Q303" s="3457"/>
      <c r="R303" s="3457"/>
      <c r="S303" s="3457"/>
      <c r="T303" s="3457"/>
      <c r="U303" s="3457"/>
    </row>
    <row r="304" spans="1:21" s="1008" customFormat="1" ht="14.25" customHeight="1">
      <c r="A304" s="3421" t="s">
        <v>1156</v>
      </c>
      <c r="B304" s="3421" t="s">
        <v>2958</v>
      </c>
      <c r="C304" s="3421">
        <v>5680</v>
      </c>
      <c r="D304" s="3421">
        <v>5620</v>
      </c>
      <c r="E304" s="3421">
        <v>6620</v>
      </c>
      <c r="F304" s="3427">
        <v>1050</v>
      </c>
      <c r="G304" s="3429">
        <v>3390</v>
      </c>
      <c r="I304" s="1021"/>
      <c r="J304" s="3457"/>
      <c r="K304" s="3457"/>
      <c r="L304" s="3457"/>
      <c r="M304" s="3457"/>
      <c r="N304" s="3457"/>
      <c r="O304" s="3457"/>
      <c r="P304" s="3457"/>
      <c r="Q304" s="3457"/>
      <c r="R304" s="3457"/>
      <c r="S304" s="3457"/>
      <c r="T304" s="3457"/>
      <c r="U304" s="3457"/>
    </row>
    <row r="305" spans="1:21" s="1008" customFormat="1" ht="14.25" customHeight="1">
      <c r="A305" s="3421" t="s">
        <v>1156</v>
      </c>
      <c r="B305" s="3421" t="s">
        <v>2959</v>
      </c>
      <c r="C305" s="3421">
        <v>5590</v>
      </c>
      <c r="D305" s="3421">
        <v>5530</v>
      </c>
      <c r="E305" s="3421">
        <v>6460</v>
      </c>
      <c r="F305" s="3427">
        <v>900</v>
      </c>
      <c r="G305" s="3427">
        <v>3340</v>
      </c>
      <c r="I305" s="1021"/>
      <c r="J305" s="3457"/>
      <c r="K305" s="3457"/>
      <c r="L305" s="3457"/>
      <c r="M305" s="3457"/>
      <c r="N305" s="3457"/>
      <c r="O305" s="3457"/>
      <c r="P305" s="3457"/>
      <c r="Q305" s="3457"/>
      <c r="R305" s="3457"/>
      <c r="S305" s="3457"/>
      <c r="T305" s="3457"/>
      <c r="U305" s="3457"/>
    </row>
    <row r="306" spans="1:21" s="1008" customFormat="1" ht="14.25" customHeight="1">
      <c r="A306" s="3421" t="s">
        <v>1156</v>
      </c>
      <c r="B306" s="3421" t="s">
        <v>2960</v>
      </c>
      <c r="C306" s="3421">
        <v>5560</v>
      </c>
      <c r="D306" s="3421">
        <v>5510</v>
      </c>
      <c r="E306" s="3421">
        <v>6440</v>
      </c>
      <c r="F306" s="3427">
        <v>900</v>
      </c>
      <c r="G306" s="3429">
        <v>3320</v>
      </c>
      <c r="I306" s="1021"/>
      <c r="J306" s="3457"/>
      <c r="K306" s="3457"/>
      <c r="L306" s="3457"/>
      <c r="M306" s="3457"/>
      <c r="N306" s="3457"/>
      <c r="O306" s="3457"/>
      <c r="P306" s="3457"/>
      <c r="Q306" s="3457"/>
      <c r="R306" s="3457"/>
      <c r="S306" s="3457"/>
      <c r="T306" s="3457"/>
      <c r="U306" s="3457"/>
    </row>
    <row r="307" spans="1:21" s="1008" customFormat="1" ht="14.25" customHeight="1">
      <c r="A307" s="3421" t="s">
        <v>1156</v>
      </c>
      <c r="B307" s="3421" t="s">
        <v>2961</v>
      </c>
      <c r="C307" s="3421">
        <v>5650</v>
      </c>
      <c r="D307" s="3421">
        <v>5600</v>
      </c>
      <c r="E307" s="3421">
        <v>6590</v>
      </c>
      <c r="F307" s="3427">
        <v>930</v>
      </c>
      <c r="G307" s="3427">
        <v>3380</v>
      </c>
      <c r="I307" s="1021"/>
      <c r="J307" s="3457"/>
      <c r="K307" s="3457"/>
      <c r="L307" s="3457"/>
      <c r="M307" s="3457"/>
      <c r="N307" s="3457"/>
      <c r="O307" s="3457"/>
      <c r="P307" s="3457"/>
      <c r="Q307" s="3457"/>
      <c r="R307" s="3457"/>
      <c r="S307" s="3457"/>
      <c r="T307" s="3457"/>
      <c r="U307" s="3457"/>
    </row>
    <row r="308" spans="1:21" s="1008" customFormat="1" ht="14.25" customHeight="1">
      <c r="A308" s="3421" t="s">
        <v>1156</v>
      </c>
      <c r="B308" s="3421" t="s">
        <v>2962</v>
      </c>
      <c r="C308" s="3421">
        <v>5620</v>
      </c>
      <c r="D308" s="3421">
        <v>5580</v>
      </c>
      <c r="E308" s="3421">
        <v>6540</v>
      </c>
      <c r="F308" s="3427">
        <v>910</v>
      </c>
      <c r="G308" s="3427">
        <v>3370</v>
      </c>
      <c r="I308" s="1021"/>
      <c r="J308" s="3457"/>
      <c r="K308" s="3457"/>
      <c r="L308" s="3457"/>
      <c r="M308" s="3457"/>
      <c r="N308" s="3457"/>
      <c r="O308" s="3457"/>
      <c r="P308" s="3457"/>
      <c r="Q308" s="3457"/>
      <c r="R308" s="3457"/>
      <c r="S308" s="3457"/>
      <c r="T308" s="3457"/>
      <c r="U308" s="3457"/>
    </row>
    <row r="309" spans="1:21" s="1008" customFormat="1" ht="14.25" customHeight="1">
      <c r="A309" s="3421" t="s">
        <v>1156</v>
      </c>
      <c r="B309" s="3421" t="s">
        <v>2963</v>
      </c>
      <c r="C309" s="3421">
        <v>5060</v>
      </c>
      <c r="D309" s="3421">
        <v>5020</v>
      </c>
      <c r="E309" s="3421">
        <v>6370</v>
      </c>
      <c r="F309" s="3427">
        <v>800</v>
      </c>
      <c r="G309" s="3429">
        <v>3020</v>
      </c>
      <c r="I309" s="1021"/>
      <c r="J309" s="3457"/>
      <c r="K309" s="3457"/>
      <c r="L309" s="3457"/>
      <c r="M309" s="3457"/>
      <c r="N309" s="3457"/>
      <c r="O309" s="3457"/>
      <c r="P309" s="3457"/>
      <c r="Q309" s="3457"/>
      <c r="R309" s="3457"/>
      <c r="S309" s="3457"/>
      <c r="T309" s="3457"/>
      <c r="U309" s="3457"/>
    </row>
    <row r="310" spans="1:21" s="1008" customFormat="1" ht="14.25" customHeight="1">
      <c r="A310" s="3421" t="s">
        <v>1156</v>
      </c>
      <c r="B310" s="3421" t="s">
        <v>2964</v>
      </c>
      <c r="C310" s="3421">
        <v>5150</v>
      </c>
      <c r="D310" s="3421">
        <v>5110</v>
      </c>
      <c r="E310" s="3421">
        <v>6500</v>
      </c>
      <c r="F310" s="3427">
        <v>880</v>
      </c>
      <c r="G310" s="3427">
        <v>3080</v>
      </c>
      <c r="I310" s="1021"/>
      <c r="J310" s="3457"/>
      <c r="K310" s="3457"/>
      <c r="L310" s="3457"/>
      <c r="M310" s="3457"/>
      <c r="N310" s="3457"/>
      <c r="O310" s="3457"/>
      <c r="P310" s="3457"/>
      <c r="Q310" s="3457"/>
      <c r="R310" s="3457"/>
      <c r="S310" s="3457"/>
      <c r="T310" s="3457"/>
      <c r="U310" s="3457"/>
    </row>
    <row r="311" spans="1:21" s="1008" customFormat="1" ht="14.25" customHeight="1">
      <c r="A311" s="3421" t="s">
        <v>1156</v>
      </c>
      <c r="B311" s="3421" t="s">
        <v>2965</v>
      </c>
      <c r="C311" s="3421">
        <v>4750</v>
      </c>
      <c r="D311" s="3421">
        <v>4710</v>
      </c>
      <c r="E311" s="3421">
        <v>5510</v>
      </c>
      <c r="F311" s="3427">
        <v>880</v>
      </c>
      <c r="G311" s="3427">
        <v>2840</v>
      </c>
      <c r="I311" s="1021"/>
      <c r="J311" s="3457"/>
      <c r="K311" s="3457"/>
      <c r="L311" s="3457"/>
      <c r="M311" s="3457"/>
      <c r="N311" s="3457"/>
      <c r="O311" s="3457"/>
      <c r="P311" s="3457"/>
      <c r="Q311" s="3457"/>
      <c r="R311" s="3457"/>
      <c r="S311" s="3457"/>
      <c r="T311" s="3457"/>
      <c r="U311" s="3457"/>
    </row>
    <row r="312" spans="1:21" s="1008" customFormat="1" ht="14.25" customHeight="1">
      <c r="A312" s="3421" t="s">
        <v>1156</v>
      </c>
      <c r="B312" s="3421" t="s">
        <v>2966</v>
      </c>
      <c r="C312" s="3421">
        <v>4690</v>
      </c>
      <c r="D312" s="3421">
        <v>4640</v>
      </c>
      <c r="E312" s="3421">
        <v>5420</v>
      </c>
      <c r="F312" s="3427">
        <v>800</v>
      </c>
      <c r="G312" s="3427">
        <v>2800</v>
      </c>
      <c r="I312" s="1021"/>
      <c r="J312" s="3457"/>
      <c r="K312" s="3457"/>
      <c r="L312" s="3457"/>
      <c r="M312" s="3457"/>
      <c r="N312" s="3457"/>
      <c r="O312" s="3457"/>
      <c r="P312" s="3457"/>
      <c r="Q312" s="3457"/>
      <c r="R312" s="3457"/>
      <c r="S312" s="3457"/>
      <c r="T312" s="3457"/>
      <c r="U312" s="3457"/>
    </row>
    <row r="313" spans="1:21" s="1008" customFormat="1" ht="14.25" customHeight="1">
      <c r="A313" s="3421" t="s">
        <v>1156</v>
      </c>
      <c r="B313" s="3421" t="s">
        <v>2967</v>
      </c>
      <c r="C313" s="3421">
        <v>4810</v>
      </c>
      <c r="D313" s="3421">
        <v>4760</v>
      </c>
      <c r="E313" s="3421">
        <v>5550</v>
      </c>
      <c r="F313" s="3427">
        <v>920</v>
      </c>
      <c r="G313" s="3427">
        <v>2870</v>
      </c>
      <c r="I313" s="1021"/>
      <c r="J313" s="3457"/>
      <c r="K313" s="3457"/>
      <c r="L313" s="3457"/>
      <c r="M313" s="3457"/>
      <c r="N313" s="3457"/>
      <c r="O313" s="3457"/>
      <c r="P313" s="3457"/>
      <c r="Q313" s="3457"/>
      <c r="R313" s="3457"/>
      <c r="S313" s="3457"/>
      <c r="T313" s="3457"/>
      <c r="U313" s="3457"/>
    </row>
    <row r="314" spans="1:21" s="1008" customFormat="1" ht="14.25" customHeight="1">
      <c r="A314" s="3421" t="s">
        <v>1156</v>
      </c>
      <c r="B314" s="3421" t="s">
        <v>2968</v>
      </c>
      <c r="C314" s="3421"/>
      <c r="D314" s="3421"/>
      <c r="E314" s="3421"/>
      <c r="F314" s="3427">
        <v>1020</v>
      </c>
      <c r="G314" s="3427"/>
      <c r="I314" s="1021"/>
      <c r="J314" s="3457"/>
      <c r="K314" s="3457"/>
      <c r="L314" s="3457"/>
      <c r="M314" s="3457"/>
      <c r="N314" s="3457"/>
      <c r="O314" s="3457"/>
      <c r="P314" s="3457"/>
      <c r="Q314" s="3457"/>
      <c r="R314" s="3457"/>
      <c r="S314" s="3457"/>
      <c r="T314" s="3457"/>
      <c r="U314" s="3457"/>
    </row>
    <row r="315" spans="1:21" s="1008" customFormat="1" ht="14.25" customHeight="1">
      <c r="A315" s="3421" t="s">
        <v>1156</v>
      </c>
      <c r="B315" s="3421" t="s">
        <v>2969</v>
      </c>
      <c r="C315" s="3421"/>
      <c r="D315" s="3421"/>
      <c r="E315" s="3421"/>
      <c r="F315" s="3427">
        <v>1050</v>
      </c>
      <c r="G315" s="3427"/>
      <c r="I315" s="1021"/>
      <c r="J315" s="3457"/>
      <c r="K315" s="3457"/>
      <c r="L315" s="3457"/>
      <c r="M315" s="3457"/>
      <c r="N315" s="3457"/>
      <c r="O315" s="3457"/>
      <c r="P315" s="3457"/>
      <c r="Q315" s="3457"/>
      <c r="R315" s="3457"/>
      <c r="S315" s="3457"/>
      <c r="T315" s="3457"/>
      <c r="U315" s="3457"/>
    </row>
    <row r="316" spans="1:21" s="1008" customFormat="1" ht="14.25" customHeight="1">
      <c r="A316" s="3421" t="s">
        <v>1156</v>
      </c>
      <c r="B316" s="3421" t="s">
        <v>2970</v>
      </c>
      <c r="C316" s="3421"/>
      <c r="D316" s="3421"/>
      <c r="E316" s="3421"/>
      <c r="F316" s="3427">
        <v>900</v>
      </c>
      <c r="G316" s="3434"/>
      <c r="I316" s="1021"/>
      <c r="J316" s="3457"/>
      <c r="K316" s="3457"/>
      <c r="L316" s="3457"/>
      <c r="M316" s="3457"/>
      <c r="N316" s="3457"/>
      <c r="O316" s="3457"/>
      <c r="P316" s="3457"/>
      <c r="Q316" s="3457"/>
      <c r="R316" s="3457"/>
      <c r="S316" s="3457"/>
      <c r="T316" s="3457"/>
      <c r="U316" s="3457"/>
    </row>
    <row r="317" spans="1:21" s="1008" customFormat="1" ht="14.25" customHeight="1">
      <c r="A317" s="1286" t="s">
        <v>1156</v>
      </c>
      <c r="B317" s="1286" t="s">
        <v>2971</v>
      </c>
      <c r="C317" s="1286"/>
      <c r="D317" s="1286"/>
      <c r="E317" s="1286"/>
      <c r="F317" s="3422">
        <v>920</v>
      </c>
      <c r="G317" s="3422"/>
      <c r="I317" s="1005"/>
      <c r="J317" s="3457"/>
      <c r="K317" s="3457"/>
      <c r="L317" s="3457"/>
      <c r="M317" s="3457"/>
      <c r="N317" s="3457"/>
      <c r="O317" s="3457"/>
      <c r="P317" s="3457"/>
      <c r="Q317" s="3457"/>
      <c r="R317" s="3457"/>
      <c r="S317" s="3457"/>
      <c r="T317" s="3457"/>
      <c r="U317" s="3457"/>
    </row>
    <row r="318" spans="1:21" s="1008" customFormat="1" ht="14.25" customHeight="1">
      <c r="A318" s="3421" t="s">
        <v>1156</v>
      </c>
      <c r="B318" s="3421" t="s">
        <v>2972</v>
      </c>
      <c r="C318" s="3421"/>
      <c r="D318" s="3421"/>
      <c r="E318" s="3421"/>
      <c r="F318" s="3427">
        <v>1080</v>
      </c>
      <c r="G318" s="3429"/>
      <c r="I318" s="1005"/>
      <c r="J318" s="3457"/>
      <c r="K318" s="3457"/>
      <c r="L318" s="3457"/>
      <c r="M318" s="3457"/>
      <c r="N318" s="3457"/>
      <c r="O318" s="3457"/>
      <c r="P318" s="3457"/>
      <c r="Q318" s="3457"/>
      <c r="R318" s="3457"/>
      <c r="S318" s="3457"/>
      <c r="T318" s="3457"/>
      <c r="U318" s="3457"/>
    </row>
    <row r="319" spans="1:21" s="1008" customFormat="1" ht="14.25" customHeight="1">
      <c r="A319" s="3421" t="s">
        <v>1156</v>
      </c>
      <c r="B319" s="3421" t="s">
        <v>2973</v>
      </c>
      <c r="C319" s="3421"/>
      <c r="D319" s="3421"/>
      <c r="E319" s="3421"/>
      <c r="F319" s="3427">
        <v>1020</v>
      </c>
      <c r="G319" s="3427"/>
      <c r="I319" s="1005"/>
      <c r="J319" s="3457"/>
      <c r="K319" s="3457"/>
      <c r="L319" s="3457"/>
      <c r="M319" s="3457"/>
      <c r="N319" s="3457"/>
      <c r="O319" s="3457"/>
      <c r="P319" s="3457"/>
      <c r="Q319" s="3457"/>
      <c r="R319" s="3457"/>
      <c r="S319" s="3457"/>
      <c r="T319" s="3457"/>
      <c r="U319" s="3457"/>
    </row>
    <row r="320" spans="1:21" s="1008" customFormat="1" ht="14.25" customHeight="1">
      <c r="A320" s="3421" t="s">
        <v>1156</v>
      </c>
      <c r="B320" s="3421" t="s">
        <v>2974</v>
      </c>
      <c r="C320" s="3421"/>
      <c r="D320" s="3421"/>
      <c r="E320" s="3421"/>
      <c r="F320" s="3427">
        <v>1050</v>
      </c>
      <c r="G320" s="3429"/>
      <c r="I320" s="1005"/>
      <c r="J320" s="3457"/>
      <c r="K320" s="3457"/>
      <c r="L320" s="3457"/>
      <c r="M320" s="3457"/>
      <c r="N320" s="3457"/>
      <c r="O320" s="3457"/>
      <c r="P320" s="3457"/>
      <c r="Q320" s="3457"/>
      <c r="R320" s="3457"/>
      <c r="S320" s="3457"/>
      <c r="T320" s="3457"/>
      <c r="U320" s="3457"/>
    </row>
    <row r="321" spans="1:21" s="1008" customFormat="1" ht="14.25" customHeight="1">
      <c r="A321" s="3421" t="s">
        <v>1156</v>
      </c>
      <c r="B321" s="3421" t="s">
        <v>2975</v>
      </c>
      <c r="C321" s="3421"/>
      <c r="D321" s="3421"/>
      <c r="E321" s="3421"/>
      <c r="F321" s="3427">
        <v>960</v>
      </c>
      <c r="G321" s="3429"/>
      <c r="I321" s="1005"/>
      <c r="J321" s="3457"/>
      <c r="K321" s="3457"/>
      <c r="L321" s="3457"/>
      <c r="M321" s="3457"/>
      <c r="N321" s="3457"/>
      <c r="O321" s="3457"/>
      <c r="P321" s="3457"/>
      <c r="Q321" s="3457"/>
      <c r="R321" s="3457"/>
      <c r="S321" s="3457"/>
      <c r="T321" s="3457"/>
      <c r="U321" s="3457"/>
    </row>
    <row r="322" spans="1:21" s="1008" customFormat="1" ht="14.25" customHeight="1">
      <c r="A322" s="3421" t="s">
        <v>1156</v>
      </c>
      <c r="B322" s="3421" t="s">
        <v>2976</v>
      </c>
      <c r="C322" s="3421"/>
      <c r="D322" s="3421"/>
      <c r="E322" s="3421"/>
      <c r="F322" s="3427">
        <v>960</v>
      </c>
      <c r="G322" s="3427"/>
      <c r="I322" s="1005"/>
      <c r="J322" s="3457"/>
      <c r="K322" s="3457"/>
      <c r="L322" s="3457"/>
      <c r="M322" s="3457"/>
      <c r="N322" s="3457"/>
      <c r="O322" s="3457"/>
      <c r="P322" s="3457"/>
      <c r="Q322" s="3457"/>
      <c r="R322" s="3457"/>
      <c r="S322" s="3457"/>
      <c r="T322" s="3457"/>
      <c r="U322" s="3457"/>
    </row>
    <row r="323" spans="1:21" s="1008" customFormat="1" ht="14.25" customHeight="1">
      <c r="A323" s="3421" t="s">
        <v>1156</v>
      </c>
      <c r="B323" s="3421" t="s">
        <v>2977</v>
      </c>
      <c r="C323" s="3421"/>
      <c r="D323" s="3421"/>
      <c r="E323" s="3421"/>
      <c r="F323" s="3427">
        <v>880</v>
      </c>
      <c r="G323" s="3429"/>
      <c r="I323" s="1005"/>
      <c r="J323" s="3457"/>
      <c r="K323" s="3457"/>
      <c r="L323" s="3457"/>
      <c r="M323" s="3457"/>
      <c r="N323" s="3457"/>
      <c r="O323" s="3457"/>
      <c r="P323" s="3457"/>
      <c r="Q323" s="3457"/>
      <c r="R323" s="3457"/>
      <c r="S323" s="3457"/>
      <c r="T323" s="3457"/>
      <c r="U323" s="3457"/>
    </row>
    <row r="324" spans="1:21" s="1008" customFormat="1" ht="14.25" customHeight="1">
      <c r="A324" s="3421" t="s">
        <v>1156</v>
      </c>
      <c r="B324" s="3421" t="s">
        <v>2978</v>
      </c>
      <c r="C324" s="3421"/>
      <c r="D324" s="3421"/>
      <c r="E324" s="3421"/>
      <c r="F324" s="3427">
        <v>930</v>
      </c>
      <c r="G324" s="3429"/>
      <c r="I324" s="1005"/>
      <c r="J324" s="3457"/>
      <c r="K324" s="3457"/>
      <c r="L324" s="3457"/>
      <c r="M324" s="3457"/>
      <c r="N324" s="3457"/>
      <c r="O324" s="3457"/>
      <c r="P324" s="3457"/>
      <c r="Q324" s="3457"/>
      <c r="R324" s="3457"/>
      <c r="S324" s="3457"/>
      <c r="T324" s="3457"/>
      <c r="U324" s="3457"/>
    </row>
    <row r="325" spans="1:21" s="1008" customFormat="1" ht="14.25" customHeight="1">
      <c r="A325" s="3421" t="s">
        <v>1156</v>
      </c>
      <c r="B325" s="3421" t="s">
        <v>2979</v>
      </c>
      <c r="C325" s="3421"/>
      <c r="D325" s="3421"/>
      <c r="E325" s="3421"/>
      <c r="F325" s="3427">
        <v>900</v>
      </c>
      <c r="G325" s="3427"/>
      <c r="I325" s="1005"/>
      <c r="J325" s="3457"/>
      <c r="K325" s="3457"/>
      <c r="L325" s="3457"/>
      <c r="M325" s="3457"/>
      <c r="N325" s="3457"/>
      <c r="O325" s="3457"/>
      <c r="P325" s="3457"/>
      <c r="Q325" s="3457"/>
      <c r="R325" s="3457"/>
      <c r="S325" s="3457"/>
      <c r="T325" s="3457"/>
      <c r="U325" s="3457"/>
    </row>
    <row r="326" spans="1:21" s="1008" customFormat="1" ht="14.25" customHeight="1" thickBot="1">
      <c r="A326" s="3436" t="s">
        <v>1156</v>
      </c>
      <c r="B326" s="3424" t="s">
        <v>2980</v>
      </c>
      <c r="C326" s="3424"/>
      <c r="D326" s="3424"/>
      <c r="E326" s="3424"/>
      <c r="F326" s="3425">
        <v>790</v>
      </c>
      <c r="G326" s="3440"/>
      <c r="I326" s="1005"/>
      <c r="J326" s="3457"/>
      <c r="K326" s="3457"/>
      <c r="L326" s="3457"/>
      <c r="M326" s="3457"/>
      <c r="N326" s="3457"/>
      <c r="O326" s="3457"/>
      <c r="P326" s="3457"/>
      <c r="Q326" s="3457"/>
      <c r="R326" s="3457"/>
      <c r="S326" s="3457"/>
      <c r="T326" s="3457"/>
      <c r="U326" s="3457"/>
    </row>
    <row r="327" spans="1:21" s="1008" customFormat="1" ht="14.25" customHeight="1">
      <c r="A327" s="3435" t="s">
        <v>1157</v>
      </c>
      <c r="B327" s="2598" t="s">
        <v>2981</v>
      </c>
      <c r="C327" s="2598">
        <v>3750</v>
      </c>
      <c r="D327" s="2598">
        <v>3710</v>
      </c>
      <c r="E327" s="2598">
        <v>4080</v>
      </c>
      <c r="F327" s="3444">
        <v>860</v>
      </c>
      <c r="G327" s="3444">
        <v>2210</v>
      </c>
      <c r="I327" s="1005"/>
      <c r="J327" s="3457"/>
      <c r="K327" s="3457"/>
      <c r="L327" s="3457"/>
      <c r="M327" s="3457"/>
      <c r="N327" s="3457"/>
      <c r="O327" s="3457"/>
      <c r="P327" s="3457"/>
      <c r="Q327" s="3457"/>
      <c r="R327" s="3457"/>
      <c r="S327" s="3457"/>
      <c r="T327" s="3457"/>
      <c r="U327" s="3457"/>
    </row>
    <row r="328" spans="1:21" s="1008" customFormat="1" ht="14.25" customHeight="1">
      <c r="A328" s="3421" t="s">
        <v>1157</v>
      </c>
      <c r="B328" s="3421" t="s">
        <v>981</v>
      </c>
      <c r="C328" s="3421">
        <v>3330</v>
      </c>
      <c r="D328" s="3421">
        <v>3290</v>
      </c>
      <c r="E328" s="3421">
        <v>3610</v>
      </c>
      <c r="F328" s="3421">
        <v>850</v>
      </c>
      <c r="G328" s="3421">
        <v>1960</v>
      </c>
      <c r="H328" s="3443"/>
      <c r="I328" s="1005"/>
      <c r="J328" s="3457"/>
      <c r="K328" s="3457"/>
      <c r="L328" s="3457"/>
      <c r="M328" s="3457"/>
      <c r="N328" s="3457"/>
      <c r="O328" s="3457"/>
      <c r="P328" s="3457"/>
      <c r="Q328" s="3457"/>
      <c r="R328" s="3457"/>
      <c r="S328" s="3457"/>
      <c r="T328" s="3457"/>
      <c r="U328" s="3457"/>
    </row>
    <row r="329" spans="1:21" s="1008" customFormat="1" ht="14.25" customHeight="1">
      <c r="A329" s="3421" t="s">
        <v>1157</v>
      </c>
      <c r="B329" s="3421" t="s">
        <v>2982</v>
      </c>
      <c r="C329" s="3421">
        <v>2730</v>
      </c>
      <c r="D329" s="3421">
        <v>2690</v>
      </c>
      <c r="E329" s="3421">
        <v>3100</v>
      </c>
      <c r="F329" s="3421">
        <v>660</v>
      </c>
      <c r="G329" s="3421">
        <v>1610</v>
      </c>
      <c r="H329" s="3443"/>
      <c r="I329" s="1005"/>
      <c r="J329" s="3457"/>
      <c r="K329" s="3457"/>
      <c r="L329" s="3457"/>
      <c r="M329" s="3457"/>
      <c r="N329" s="3457"/>
      <c r="O329" s="3457"/>
      <c r="P329" s="3457"/>
      <c r="Q329" s="3457"/>
      <c r="R329" s="3457"/>
      <c r="S329" s="3457"/>
      <c r="T329" s="3457"/>
      <c r="U329" s="3457"/>
    </row>
    <row r="330" spans="1:21" s="1008" customFormat="1" ht="14.25" customHeight="1">
      <c r="A330" s="3421" t="s">
        <v>1157</v>
      </c>
      <c r="B330" s="3421" t="s">
        <v>2983</v>
      </c>
      <c r="C330" s="3421">
        <v>3270</v>
      </c>
      <c r="D330" s="3421">
        <v>3240</v>
      </c>
      <c r="E330" s="3421">
        <v>3560</v>
      </c>
      <c r="F330" s="3421">
        <v>680</v>
      </c>
      <c r="G330" s="3430">
        <v>1940</v>
      </c>
      <c r="H330" s="3443"/>
      <c r="I330" s="1005"/>
      <c r="J330" s="3457"/>
      <c r="K330" s="3457"/>
      <c r="L330" s="3457"/>
      <c r="M330" s="3457"/>
      <c r="N330" s="3457"/>
      <c r="O330" s="3457"/>
      <c r="P330" s="3457"/>
      <c r="Q330" s="3457"/>
      <c r="R330" s="3457"/>
      <c r="S330" s="3457"/>
      <c r="T330" s="3457"/>
      <c r="U330" s="3457"/>
    </row>
    <row r="331" spans="1:21" s="1008" customFormat="1" ht="14.25" customHeight="1">
      <c r="A331" s="3421" t="s">
        <v>1157</v>
      </c>
      <c r="B331" s="3421" t="s">
        <v>1008</v>
      </c>
      <c r="C331" s="3421">
        <v>3770</v>
      </c>
      <c r="D331" s="3421">
        <v>3740</v>
      </c>
      <c r="E331" s="3421">
        <v>4110</v>
      </c>
      <c r="F331" s="3421">
        <v>730</v>
      </c>
      <c r="G331" s="3421">
        <v>2230</v>
      </c>
      <c r="H331" s="3443"/>
      <c r="I331" s="1005"/>
      <c r="J331" s="3457"/>
      <c r="K331" s="3457"/>
      <c r="L331" s="3457"/>
      <c r="M331" s="3457"/>
      <c r="N331" s="3457"/>
      <c r="O331" s="3457"/>
      <c r="P331" s="3457"/>
      <c r="Q331" s="3457"/>
      <c r="R331" s="3457"/>
      <c r="S331" s="3457"/>
      <c r="T331" s="3457"/>
      <c r="U331" s="3457"/>
    </row>
    <row r="332" spans="1:21" s="1008" customFormat="1" ht="14.25" customHeight="1">
      <c r="A332" s="3421" t="s">
        <v>1157</v>
      </c>
      <c r="B332" s="3421" t="s">
        <v>2984</v>
      </c>
      <c r="C332" s="3421">
        <v>3520</v>
      </c>
      <c r="D332" s="3421">
        <v>3480</v>
      </c>
      <c r="E332" s="3421">
        <v>3830</v>
      </c>
      <c r="F332" s="3421">
        <v>720</v>
      </c>
      <c r="G332" s="3421">
        <v>2090</v>
      </c>
      <c r="H332" s="3443"/>
      <c r="I332" s="1005"/>
      <c r="J332" s="3457"/>
      <c r="K332" s="3457"/>
      <c r="L332" s="3457"/>
      <c r="M332" s="3457"/>
      <c r="N332" s="3457"/>
      <c r="O332" s="3457"/>
      <c r="P332" s="3457"/>
      <c r="Q332" s="3457"/>
      <c r="R332" s="3457"/>
      <c r="S332" s="3457"/>
      <c r="T332" s="3457"/>
      <c r="U332" s="3457"/>
    </row>
    <row r="333" spans="1:21" s="1008" customFormat="1" ht="14.25" customHeight="1">
      <c r="A333" s="3421" t="s">
        <v>1157</v>
      </c>
      <c r="B333" s="3421" t="s">
        <v>2985</v>
      </c>
      <c r="C333" s="3421">
        <v>3840</v>
      </c>
      <c r="D333" s="3421">
        <v>3800</v>
      </c>
      <c r="E333" s="3421">
        <v>4200</v>
      </c>
      <c r="F333" s="3421">
        <v>760</v>
      </c>
      <c r="G333" s="3421">
        <v>2270</v>
      </c>
      <c r="H333" s="3443"/>
      <c r="I333" s="1005"/>
      <c r="J333" s="3457"/>
      <c r="K333" s="3457"/>
      <c r="L333" s="3457"/>
      <c r="M333" s="3457"/>
      <c r="N333" s="3457"/>
      <c r="O333" s="3457"/>
      <c r="P333" s="3457"/>
      <c r="Q333" s="3457"/>
      <c r="R333" s="3457"/>
      <c r="S333" s="3457"/>
      <c r="T333" s="3457"/>
      <c r="U333" s="3457"/>
    </row>
    <row r="334" spans="1:21" s="1008" customFormat="1" ht="14.25" customHeight="1">
      <c r="A334" s="3421" t="s">
        <v>1157</v>
      </c>
      <c r="B334" s="3421" t="s">
        <v>1030</v>
      </c>
      <c r="C334" s="3421">
        <v>3960</v>
      </c>
      <c r="D334" s="3421">
        <v>3910</v>
      </c>
      <c r="E334" s="3421">
        <v>4340</v>
      </c>
      <c r="F334" s="3421">
        <v>780</v>
      </c>
      <c r="G334" s="3421">
        <v>2340</v>
      </c>
      <c r="H334" s="3443"/>
      <c r="I334" s="1005"/>
      <c r="J334" s="3457"/>
      <c r="K334" s="3457"/>
      <c r="L334" s="3457"/>
      <c r="M334" s="3457"/>
      <c r="N334" s="3457"/>
      <c r="O334" s="3457"/>
      <c r="P334" s="3457"/>
      <c r="Q334" s="3457"/>
      <c r="R334" s="3457"/>
      <c r="S334" s="3457"/>
      <c r="T334" s="3457"/>
      <c r="U334" s="3457"/>
    </row>
    <row r="335" spans="1:21" s="1008" customFormat="1" ht="14.25" customHeight="1">
      <c r="A335" s="3421" t="s">
        <v>1157</v>
      </c>
      <c r="B335" s="3421" t="s">
        <v>1040</v>
      </c>
      <c r="C335" s="3421">
        <v>3710</v>
      </c>
      <c r="D335" s="3421">
        <v>3670</v>
      </c>
      <c r="E335" s="3421">
        <v>4030</v>
      </c>
      <c r="F335" s="3421">
        <v>750</v>
      </c>
      <c r="G335" s="3430">
        <v>2200</v>
      </c>
      <c r="H335" s="3443"/>
      <c r="I335" s="1005"/>
      <c r="J335" s="3457"/>
      <c r="K335" s="3457"/>
      <c r="L335" s="3457"/>
      <c r="M335" s="3457"/>
      <c r="N335" s="3457"/>
      <c r="O335" s="3457"/>
      <c r="P335" s="3457"/>
      <c r="Q335" s="3457"/>
      <c r="R335" s="3457"/>
      <c r="S335" s="3457"/>
      <c r="T335" s="3457"/>
      <c r="U335" s="3457"/>
    </row>
    <row r="336" spans="1:21" s="1008" customFormat="1" ht="14.25" customHeight="1">
      <c r="A336" s="3421" t="s">
        <v>1157</v>
      </c>
      <c r="B336" s="3421" t="s">
        <v>2986</v>
      </c>
      <c r="C336" s="3421">
        <v>3570</v>
      </c>
      <c r="D336" s="3421">
        <v>3530</v>
      </c>
      <c r="E336" s="3421">
        <v>3880</v>
      </c>
      <c r="F336" s="3421">
        <v>770</v>
      </c>
      <c r="G336" s="3421">
        <v>2110</v>
      </c>
      <c r="H336" s="3443"/>
      <c r="I336" s="1005"/>
      <c r="J336" s="3457"/>
      <c r="K336" s="3457"/>
      <c r="L336" s="3457"/>
      <c r="M336" s="3457"/>
      <c r="N336" s="3457"/>
      <c r="O336" s="3457"/>
      <c r="P336" s="3457"/>
      <c r="Q336" s="3457"/>
      <c r="R336" s="3457"/>
      <c r="S336" s="3457"/>
      <c r="T336" s="3457"/>
      <c r="U336" s="3457"/>
    </row>
    <row r="337" spans="1:21" s="1008" customFormat="1" ht="14.25" customHeight="1">
      <c r="A337" s="3421" t="s">
        <v>1157</v>
      </c>
      <c r="B337" s="3421" t="s">
        <v>2987</v>
      </c>
      <c r="C337" s="3421">
        <v>3780</v>
      </c>
      <c r="D337" s="3421">
        <v>3750</v>
      </c>
      <c r="E337" s="3421">
        <v>4130</v>
      </c>
      <c r="F337" s="3421">
        <v>750</v>
      </c>
      <c r="G337" s="3421">
        <v>2240</v>
      </c>
      <c r="H337" s="3443"/>
      <c r="I337" s="1005"/>
      <c r="J337" s="3457"/>
      <c r="K337" s="3457"/>
      <c r="L337" s="3457"/>
      <c r="M337" s="3457"/>
      <c r="N337" s="3457"/>
      <c r="O337" s="3457"/>
      <c r="P337" s="3457"/>
      <c r="Q337" s="3457"/>
      <c r="R337" s="3457"/>
      <c r="S337" s="3457"/>
      <c r="T337" s="3457"/>
      <c r="U337" s="3457"/>
    </row>
    <row r="338" spans="1:21" s="1008" customFormat="1" ht="14.25" customHeight="1">
      <c r="A338" s="3421" t="s">
        <v>1157</v>
      </c>
      <c r="B338" s="3421" t="s">
        <v>1068</v>
      </c>
      <c r="C338" s="3421">
        <v>3600</v>
      </c>
      <c r="D338" s="3421">
        <v>3570</v>
      </c>
      <c r="E338" s="3421">
        <v>3920</v>
      </c>
      <c r="F338" s="3421">
        <v>790</v>
      </c>
      <c r="G338" s="3430">
        <v>2140</v>
      </c>
      <c r="H338" s="3443"/>
      <c r="I338" s="1005"/>
      <c r="J338" s="3457"/>
      <c r="K338" s="3457"/>
      <c r="L338" s="3457"/>
      <c r="M338" s="3457"/>
      <c r="N338" s="3457"/>
      <c r="O338" s="3457"/>
      <c r="P338" s="3457"/>
      <c r="Q338" s="3457"/>
      <c r="R338" s="3457"/>
      <c r="S338" s="3457"/>
      <c r="T338" s="3457"/>
      <c r="U338" s="3457"/>
    </row>
    <row r="339" spans="1:21" s="1008" customFormat="1" ht="14.25" customHeight="1">
      <c r="A339" s="3421" t="s">
        <v>1157</v>
      </c>
      <c r="B339" s="3421" t="s">
        <v>1076</v>
      </c>
      <c r="C339" s="3421">
        <v>3540</v>
      </c>
      <c r="D339" s="3421">
        <v>3500</v>
      </c>
      <c r="E339" s="3421">
        <v>3850</v>
      </c>
      <c r="F339" s="3421">
        <v>780</v>
      </c>
      <c r="G339" s="3430">
        <v>2100</v>
      </c>
      <c r="H339" s="3443"/>
      <c r="I339" s="1005"/>
      <c r="J339" s="3457"/>
      <c r="K339" s="3457"/>
      <c r="L339" s="3457"/>
      <c r="M339" s="3457"/>
      <c r="N339" s="3457"/>
      <c r="O339" s="3457"/>
      <c r="P339" s="3457"/>
      <c r="Q339" s="3457"/>
      <c r="R339" s="3457"/>
      <c r="S339" s="3457"/>
      <c r="T339" s="3457"/>
      <c r="U339" s="3457"/>
    </row>
    <row r="340" spans="1:21" s="1008" customFormat="1" ht="14.25" customHeight="1">
      <c r="A340" s="3421" t="s">
        <v>1157</v>
      </c>
      <c r="B340" s="3421" t="s">
        <v>2988</v>
      </c>
      <c r="C340" s="3421">
        <v>3850</v>
      </c>
      <c r="D340" s="3421">
        <v>3810</v>
      </c>
      <c r="E340" s="3421">
        <v>4210</v>
      </c>
      <c r="F340" s="3421">
        <v>750</v>
      </c>
      <c r="G340" s="3430">
        <v>2280</v>
      </c>
      <c r="H340" s="3443"/>
      <c r="I340" s="1005"/>
      <c r="J340" s="3457"/>
      <c r="K340" s="3457"/>
      <c r="L340" s="3457"/>
      <c r="M340" s="3457"/>
      <c r="N340" s="3457"/>
      <c r="O340" s="3457"/>
      <c r="P340" s="3457"/>
      <c r="Q340" s="3457"/>
      <c r="R340" s="3457"/>
      <c r="S340" s="3457"/>
      <c r="T340" s="3457"/>
      <c r="U340" s="3457"/>
    </row>
    <row r="341" spans="1:21" s="1008" customFormat="1" ht="14.25" customHeight="1">
      <c r="A341" s="3421" t="s">
        <v>1157</v>
      </c>
      <c r="B341" s="3421" t="s">
        <v>1054</v>
      </c>
      <c r="C341" s="3421">
        <v>3780</v>
      </c>
      <c r="D341" s="3421">
        <v>3750</v>
      </c>
      <c r="E341" s="3421">
        <v>4140</v>
      </c>
      <c r="F341" s="3421">
        <v>720</v>
      </c>
      <c r="G341" s="3421">
        <v>2240</v>
      </c>
      <c r="H341" s="3443"/>
      <c r="I341" s="1005"/>
      <c r="J341" s="3457"/>
      <c r="K341" s="3457"/>
      <c r="L341" s="3457"/>
      <c r="M341" s="3457"/>
      <c r="N341" s="3457"/>
      <c r="O341" s="3457"/>
      <c r="P341" s="3457"/>
      <c r="Q341" s="3457"/>
      <c r="R341" s="3457"/>
      <c r="S341" s="3457"/>
      <c r="T341" s="3457"/>
      <c r="U341" s="3457"/>
    </row>
    <row r="342" spans="1:21" s="1008" customFormat="1" ht="14.25" customHeight="1">
      <c r="A342" s="3421" t="s">
        <v>1157</v>
      </c>
      <c r="B342" s="3421" t="s">
        <v>2989</v>
      </c>
      <c r="C342" s="3421">
        <v>3670</v>
      </c>
      <c r="D342" s="3421">
        <v>3620</v>
      </c>
      <c r="E342" s="3421">
        <v>3990</v>
      </c>
      <c r="F342" s="3421">
        <v>760</v>
      </c>
      <c r="G342" s="3421">
        <v>2170</v>
      </c>
      <c r="H342" s="3443"/>
      <c r="I342" s="1005"/>
      <c r="J342" s="3457"/>
      <c r="K342" s="3457"/>
      <c r="L342" s="3457"/>
      <c r="M342" s="3457"/>
      <c r="N342" s="3457"/>
      <c r="O342" s="3457"/>
      <c r="P342" s="3457"/>
      <c r="Q342" s="3457"/>
      <c r="R342" s="3457"/>
      <c r="S342" s="3457"/>
      <c r="T342" s="3457"/>
      <c r="U342" s="3457"/>
    </row>
    <row r="343" spans="1:21" s="1008" customFormat="1" ht="14.25" customHeight="1">
      <c r="A343" s="3421" t="s">
        <v>1157</v>
      </c>
      <c r="B343" s="3421" t="s">
        <v>1105</v>
      </c>
      <c r="C343" s="3421">
        <v>3760</v>
      </c>
      <c r="D343" s="3421">
        <v>3720</v>
      </c>
      <c r="E343" s="3421">
        <v>4090</v>
      </c>
      <c r="F343" s="3421">
        <v>780</v>
      </c>
      <c r="G343" s="3421">
        <v>2220</v>
      </c>
      <c r="H343" s="3443"/>
      <c r="I343" s="1005"/>
      <c r="J343" s="3457"/>
      <c r="K343" s="3457"/>
      <c r="L343" s="3457"/>
      <c r="M343" s="3457"/>
      <c r="N343" s="3457"/>
      <c r="O343" s="3457"/>
      <c r="P343" s="3457"/>
      <c r="Q343" s="3457"/>
      <c r="R343" s="3457"/>
      <c r="S343" s="3457"/>
      <c r="T343" s="3457"/>
      <c r="U343" s="3457"/>
    </row>
    <row r="344" spans="1:21" s="1008" customFormat="1" ht="14.25" customHeight="1">
      <c r="A344" s="3421" t="s">
        <v>1157</v>
      </c>
      <c r="B344" s="3421" t="s">
        <v>1113</v>
      </c>
      <c r="C344" s="3421">
        <v>3680</v>
      </c>
      <c r="D344" s="3421">
        <v>3640</v>
      </c>
      <c r="E344" s="3421">
        <v>4010</v>
      </c>
      <c r="F344" s="3421">
        <v>750</v>
      </c>
      <c r="G344" s="3421">
        <v>2180</v>
      </c>
      <c r="H344" s="3443"/>
      <c r="I344" s="1005"/>
      <c r="J344" s="3457"/>
      <c r="K344" s="3457"/>
      <c r="L344" s="3457"/>
      <c r="M344" s="3457"/>
      <c r="N344" s="3457"/>
      <c r="O344" s="3457"/>
      <c r="P344" s="3457"/>
      <c r="Q344" s="3457"/>
      <c r="R344" s="3457"/>
      <c r="S344" s="3457"/>
      <c r="T344" s="3457"/>
      <c r="U344" s="3457"/>
    </row>
    <row r="345" spans="1:21">
      <c r="A345" s="3430" t="s">
        <v>1157</v>
      </c>
      <c r="B345" s="3430" t="s">
        <v>2990</v>
      </c>
      <c r="C345" s="3430">
        <v>3190</v>
      </c>
      <c r="D345" s="3430">
        <v>3140</v>
      </c>
      <c r="E345" s="3430">
        <v>3450</v>
      </c>
      <c r="F345" s="3430">
        <v>720</v>
      </c>
      <c r="G345" s="3430">
        <v>1880</v>
      </c>
      <c r="H345" s="3443"/>
    </row>
    <row r="346" spans="1:21">
      <c r="A346" s="3430" t="s">
        <v>1157</v>
      </c>
      <c r="B346" s="3430" t="s">
        <v>2991</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2992</v>
      </c>
      <c r="C348" s="3430">
        <v>4000</v>
      </c>
      <c r="D348" s="3430">
        <v>3950</v>
      </c>
      <c r="E348" s="3430">
        <v>4430</v>
      </c>
      <c r="F348" s="3430">
        <v>760</v>
      </c>
      <c r="G348" s="3430">
        <v>2360</v>
      </c>
      <c r="H348" s="3443"/>
    </row>
    <row r="349" spans="1:21">
      <c r="A349" s="3430" t="s">
        <v>1157</v>
      </c>
      <c r="B349" s="3430" t="s">
        <v>2993</v>
      </c>
      <c r="C349" s="3430">
        <v>3820</v>
      </c>
      <c r="D349" s="3430">
        <v>3780</v>
      </c>
      <c r="E349" s="3430">
        <v>4170</v>
      </c>
      <c r="F349" s="3430">
        <v>710</v>
      </c>
      <c r="G349" s="3430">
        <v>2260</v>
      </c>
      <c r="H349" s="3443"/>
    </row>
    <row r="350" spans="1:21">
      <c r="A350" s="3430" t="s">
        <v>1157</v>
      </c>
      <c r="B350" s="3430" t="s">
        <v>2994</v>
      </c>
      <c r="C350" s="3430">
        <v>3760</v>
      </c>
      <c r="D350" s="3430">
        <v>3730</v>
      </c>
      <c r="E350" s="3430">
        <v>4100</v>
      </c>
      <c r="F350" s="3430">
        <v>800</v>
      </c>
      <c r="G350" s="3430">
        <v>2230</v>
      </c>
      <c r="H350" s="3443"/>
    </row>
    <row r="351" spans="1:21">
      <c r="A351" s="3430" t="s">
        <v>1157</v>
      </c>
      <c r="B351" s="3430" t="s">
        <v>2995</v>
      </c>
      <c r="C351" s="3430">
        <v>3610</v>
      </c>
      <c r="D351" s="3430">
        <v>3580</v>
      </c>
      <c r="E351" s="3430">
        <v>3930</v>
      </c>
      <c r="F351" s="3430">
        <v>700</v>
      </c>
      <c r="G351" s="3430">
        <v>2140</v>
      </c>
      <c r="H351" s="3443"/>
    </row>
    <row r="352" spans="1:21">
      <c r="A352" s="3430" t="s">
        <v>1157</v>
      </c>
      <c r="B352" s="3430" t="s">
        <v>2996</v>
      </c>
      <c r="C352" s="3430">
        <v>3670</v>
      </c>
      <c r="D352" s="3430">
        <v>3630</v>
      </c>
      <c r="E352" s="3430">
        <v>4000</v>
      </c>
      <c r="F352" s="3430">
        <v>750</v>
      </c>
      <c r="G352" s="3430">
        <v>2180</v>
      </c>
      <c r="H352" s="3443"/>
    </row>
    <row r="353" spans="1:8">
      <c r="A353" s="3430" t="s">
        <v>1157</v>
      </c>
      <c r="B353" s="3430" t="s">
        <v>2997</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2998</v>
      </c>
      <c r="C355" s="3430">
        <v>3650</v>
      </c>
      <c r="D355" s="3430">
        <v>3610</v>
      </c>
      <c r="E355" s="3430">
        <v>4200</v>
      </c>
      <c r="F355" s="3430">
        <v>640</v>
      </c>
      <c r="G355" s="3430">
        <v>2160</v>
      </c>
      <c r="H355" s="3443"/>
    </row>
    <row r="356" spans="1:8">
      <c r="A356" s="3430" t="s">
        <v>1157</v>
      </c>
      <c r="B356" s="3430" t="s">
        <v>2999</v>
      </c>
      <c r="C356" s="3430">
        <v>3260</v>
      </c>
      <c r="D356" s="3430">
        <v>3230</v>
      </c>
      <c r="E356" s="3430">
        <v>3740</v>
      </c>
      <c r="F356" s="3430">
        <v>600</v>
      </c>
      <c r="G356" s="3430">
        <v>1930</v>
      </c>
      <c r="H356" s="3443"/>
    </row>
    <row r="357" spans="1:8" ht="14.25" thickBot="1">
      <c r="A357" s="3446" t="s">
        <v>1157</v>
      </c>
      <c r="B357" s="3446" t="s">
        <v>3000</v>
      </c>
      <c r="C357" s="3446">
        <v>3690</v>
      </c>
      <c r="D357" s="3446">
        <v>3650</v>
      </c>
      <c r="E357" s="3446">
        <v>4020</v>
      </c>
      <c r="F357" s="3446">
        <v>700</v>
      </c>
      <c r="G357" s="3446">
        <v>2190</v>
      </c>
      <c r="H357" s="3443"/>
    </row>
    <row r="358" spans="1:8">
      <c r="A358" s="3447" t="s">
        <v>2755</v>
      </c>
      <c r="B358" s="3448" t="s">
        <v>3001</v>
      </c>
      <c r="C358" s="3448">
        <v>2080</v>
      </c>
      <c r="D358" s="3448">
        <v>2040</v>
      </c>
      <c r="E358" s="3448">
        <v>2010</v>
      </c>
      <c r="F358" s="3448">
        <v>530</v>
      </c>
      <c r="G358" s="3449">
        <v>1230</v>
      </c>
      <c r="H358" s="3443"/>
    </row>
    <row r="359" spans="1:8">
      <c r="A359" s="3450" t="s">
        <v>2755</v>
      </c>
      <c r="B359" s="3430" t="s">
        <v>3002</v>
      </c>
      <c r="C359" s="3430">
        <v>1850</v>
      </c>
      <c r="D359" s="3430">
        <v>1820</v>
      </c>
      <c r="E359" s="3430">
        <v>1780</v>
      </c>
      <c r="F359" s="3430">
        <v>520</v>
      </c>
      <c r="G359" s="3442">
        <v>1100</v>
      </c>
      <c r="H359" s="3443"/>
    </row>
    <row r="360" spans="1:8">
      <c r="A360" s="3450" t="s">
        <v>2755</v>
      </c>
      <c r="B360" s="3430" t="s">
        <v>3003</v>
      </c>
      <c r="C360" s="3430">
        <v>2020</v>
      </c>
      <c r="D360" s="3430">
        <v>1990</v>
      </c>
      <c r="E360" s="3430">
        <v>1950</v>
      </c>
      <c r="F360" s="3430">
        <v>500</v>
      </c>
      <c r="G360" s="3442">
        <v>1200</v>
      </c>
      <c r="H360" s="3443"/>
    </row>
    <row r="361" spans="1:8">
      <c r="A361" s="3450" t="s">
        <v>2755</v>
      </c>
      <c r="B361" s="3430" t="s">
        <v>999</v>
      </c>
      <c r="C361" s="3430">
        <v>2260</v>
      </c>
      <c r="D361" s="3430">
        <v>2220</v>
      </c>
      <c r="E361" s="3430">
        <v>2180</v>
      </c>
      <c r="F361" s="3430">
        <v>580</v>
      </c>
      <c r="G361" s="3442">
        <v>1340</v>
      </c>
      <c r="H361" s="3443"/>
    </row>
    <row r="362" spans="1:8">
      <c r="A362" s="3450" t="s">
        <v>2755</v>
      </c>
      <c r="B362" s="3430" t="s">
        <v>3004</v>
      </c>
      <c r="C362" s="3430">
        <v>2650</v>
      </c>
      <c r="D362" s="3430">
        <v>2610</v>
      </c>
      <c r="E362" s="3430">
        <v>2570</v>
      </c>
      <c r="F362" s="3430">
        <v>630</v>
      </c>
      <c r="G362" s="3442">
        <v>1570</v>
      </c>
      <c r="H362" s="3443"/>
    </row>
    <row r="363" spans="1:8">
      <c r="A363" s="3450" t="s">
        <v>2755</v>
      </c>
      <c r="B363" s="3430" t="s">
        <v>3005</v>
      </c>
      <c r="C363" s="3430">
        <v>2390</v>
      </c>
      <c r="D363" s="3430">
        <v>2360</v>
      </c>
      <c r="E363" s="3430">
        <v>2320</v>
      </c>
      <c r="F363" s="3430">
        <v>600</v>
      </c>
      <c r="G363" s="3442">
        <v>1420</v>
      </c>
      <c r="H363" s="3443"/>
    </row>
    <row r="364" spans="1:8">
      <c r="A364" s="3450" t="s">
        <v>2755</v>
      </c>
      <c r="B364" s="3430" t="s">
        <v>3006</v>
      </c>
      <c r="C364" s="3430">
        <v>2050</v>
      </c>
      <c r="D364" s="3430">
        <v>2030</v>
      </c>
      <c r="E364" s="3430">
        <v>1990</v>
      </c>
      <c r="F364" s="3430">
        <v>550</v>
      </c>
      <c r="G364" s="3442">
        <v>1220</v>
      </c>
      <c r="H364" s="3443"/>
    </row>
    <row r="365" spans="1:8">
      <c r="A365" s="3450" t="s">
        <v>2755</v>
      </c>
      <c r="B365" s="3430" t="s">
        <v>1047</v>
      </c>
      <c r="C365" s="3430">
        <v>2140</v>
      </c>
      <c r="D365" s="3430">
        <v>2100</v>
      </c>
      <c r="E365" s="3430">
        <v>2060</v>
      </c>
      <c r="F365" s="3430">
        <v>540</v>
      </c>
      <c r="G365" s="3442">
        <v>1270</v>
      </c>
      <c r="H365" s="3443"/>
    </row>
    <row r="366" spans="1:8">
      <c r="A366" s="3450" t="s">
        <v>2755</v>
      </c>
      <c r="B366" s="3430" t="s">
        <v>3007</v>
      </c>
      <c r="C366" s="3430">
        <v>2410</v>
      </c>
      <c r="D366" s="3430">
        <v>2370</v>
      </c>
      <c r="E366" s="3430">
        <v>2330</v>
      </c>
      <c r="F366" s="3430">
        <v>570</v>
      </c>
      <c r="G366" s="3442">
        <v>1440</v>
      </c>
      <c r="H366" s="3443"/>
    </row>
    <row r="367" spans="1:8">
      <c r="A367" s="3450" t="s">
        <v>2755</v>
      </c>
      <c r="B367" s="3430" t="s">
        <v>3008</v>
      </c>
      <c r="C367" s="3430">
        <v>2300</v>
      </c>
      <c r="D367" s="3430">
        <v>2260</v>
      </c>
      <c r="E367" s="3430">
        <v>2220</v>
      </c>
      <c r="F367" s="3430">
        <v>560</v>
      </c>
      <c r="G367" s="3442">
        <v>1370</v>
      </c>
      <c r="H367" s="3443"/>
    </row>
    <row r="368" spans="1:8">
      <c r="A368" s="3450" t="s">
        <v>2755</v>
      </c>
      <c r="B368" s="3430" t="s">
        <v>3009</v>
      </c>
      <c r="C368" s="3430">
        <v>2430</v>
      </c>
      <c r="D368" s="3430">
        <v>2390</v>
      </c>
      <c r="E368" s="3430">
        <v>2350</v>
      </c>
      <c r="F368" s="3430">
        <v>570</v>
      </c>
      <c r="G368" s="3442">
        <v>1450</v>
      </c>
      <c r="H368" s="3443"/>
    </row>
    <row r="369" spans="1:8">
      <c r="A369" s="3450" t="s">
        <v>2755</v>
      </c>
      <c r="B369" s="3430" t="s">
        <v>1061</v>
      </c>
      <c r="C369" s="3430">
        <v>2320</v>
      </c>
      <c r="D369" s="3430">
        <v>2290</v>
      </c>
      <c r="E369" s="3430">
        <v>2250</v>
      </c>
      <c r="F369" s="3430">
        <v>550</v>
      </c>
      <c r="G369" s="3442">
        <v>1380</v>
      </c>
      <c r="H369" s="3443"/>
    </row>
    <row r="370" spans="1:8">
      <c r="A370" s="3450" t="s">
        <v>2755</v>
      </c>
      <c r="B370" s="3430" t="s">
        <v>1069</v>
      </c>
      <c r="C370" s="3430">
        <v>2190</v>
      </c>
      <c r="D370" s="3430">
        <v>2170</v>
      </c>
      <c r="E370" s="3430">
        <v>2130</v>
      </c>
      <c r="F370" s="3430">
        <v>530</v>
      </c>
      <c r="G370" s="3442">
        <v>1310</v>
      </c>
      <c r="H370" s="3443"/>
    </row>
    <row r="371" spans="1:8">
      <c r="A371" s="3450" t="s">
        <v>2755</v>
      </c>
      <c r="B371" s="3430" t="s">
        <v>1077</v>
      </c>
      <c r="C371" s="3430">
        <v>2460</v>
      </c>
      <c r="D371" s="3430">
        <v>2420</v>
      </c>
      <c r="E371" s="3430">
        <v>2370</v>
      </c>
      <c r="F371" s="3430">
        <v>560</v>
      </c>
      <c r="G371" s="3442">
        <v>1470</v>
      </c>
      <c r="H371" s="3443"/>
    </row>
    <row r="372" spans="1:8">
      <c r="A372" s="3450" t="s">
        <v>2755</v>
      </c>
      <c r="B372" s="3430" t="s">
        <v>3010</v>
      </c>
      <c r="C372" s="3430">
        <v>2250</v>
      </c>
      <c r="D372" s="3430">
        <v>2210</v>
      </c>
      <c r="E372" s="3430">
        <v>2180</v>
      </c>
      <c r="F372" s="3430">
        <v>550</v>
      </c>
      <c r="G372" s="3442">
        <v>1340</v>
      </c>
      <c r="H372" s="3443"/>
    </row>
    <row r="373" spans="1:8">
      <c r="A373" s="3450" t="s">
        <v>2755</v>
      </c>
      <c r="B373" s="3430" t="s">
        <v>1106</v>
      </c>
      <c r="C373" s="3430">
        <v>2210</v>
      </c>
      <c r="D373" s="3430">
        <v>2190</v>
      </c>
      <c r="E373" s="3430">
        <v>2150</v>
      </c>
      <c r="F373" s="3430">
        <v>530</v>
      </c>
      <c r="G373" s="3442">
        <v>1320</v>
      </c>
      <c r="H373" s="3443"/>
    </row>
    <row r="374" spans="1:8">
      <c r="A374" s="3450" t="s">
        <v>2755</v>
      </c>
      <c r="B374" s="3430" t="s">
        <v>1114</v>
      </c>
      <c r="C374" s="3430">
        <v>2320</v>
      </c>
      <c r="D374" s="3430">
        <v>2280</v>
      </c>
      <c r="E374" s="3430">
        <v>2230</v>
      </c>
      <c r="F374" s="3430">
        <v>580</v>
      </c>
      <c r="G374" s="3442">
        <v>1380</v>
      </c>
      <c r="H374" s="3443"/>
    </row>
    <row r="375" spans="1:8">
      <c r="A375" s="3450" t="s">
        <v>2755</v>
      </c>
      <c r="B375" s="3430" t="s">
        <v>3011</v>
      </c>
      <c r="C375" s="3430">
        <v>2090</v>
      </c>
      <c r="D375" s="3430">
        <v>2050</v>
      </c>
      <c r="E375" s="3430">
        <v>2020</v>
      </c>
      <c r="F375" s="3430">
        <v>520</v>
      </c>
      <c r="G375" s="3442">
        <v>1240</v>
      </c>
      <c r="H375" s="3443"/>
    </row>
    <row r="376" spans="1:8">
      <c r="A376" s="3450" t="s">
        <v>2755</v>
      </c>
      <c r="B376" s="3430" t="s">
        <v>1126</v>
      </c>
      <c r="C376" s="3430">
        <v>2010</v>
      </c>
      <c r="D376" s="3430">
        <v>1980</v>
      </c>
      <c r="E376" s="3430">
        <v>1940</v>
      </c>
      <c r="F376" s="3430">
        <v>540</v>
      </c>
      <c r="G376" s="3442">
        <v>1190</v>
      </c>
      <c r="H376" s="3443"/>
    </row>
    <row r="377" spans="1:8" ht="14.25" thickBot="1">
      <c r="A377" s="3452" t="s">
        <v>2755</v>
      </c>
      <c r="B377" s="3446" t="s">
        <v>3012</v>
      </c>
      <c r="C377" s="3446">
        <v>1930</v>
      </c>
      <c r="D377" s="3446">
        <v>1890</v>
      </c>
      <c r="E377" s="3446">
        <v>1860</v>
      </c>
      <c r="F377" s="3446">
        <v>530</v>
      </c>
      <c r="G377" s="3453">
        <v>1150</v>
      </c>
      <c r="H377" s="3443"/>
    </row>
    <row r="378" spans="1:8">
      <c r="A378" s="3447" t="s">
        <v>2756</v>
      </c>
      <c r="B378" s="3448" t="s">
        <v>3013</v>
      </c>
      <c r="C378" s="3448">
        <v>1520</v>
      </c>
      <c r="D378" s="3448">
        <v>1490</v>
      </c>
      <c r="E378" s="3448">
        <v>1460</v>
      </c>
      <c r="F378" s="3448">
        <v>460</v>
      </c>
      <c r="G378" s="3449">
        <v>940</v>
      </c>
      <c r="H378" s="3443"/>
    </row>
    <row r="379" spans="1:8">
      <c r="A379" s="3450" t="s">
        <v>2756</v>
      </c>
      <c r="B379" s="3430" t="s">
        <v>3014</v>
      </c>
      <c r="C379" s="3430">
        <v>1500</v>
      </c>
      <c r="D379" s="3430">
        <v>1470</v>
      </c>
      <c r="E379" s="3430">
        <v>1430</v>
      </c>
      <c r="F379" s="3430">
        <v>460</v>
      </c>
      <c r="G379" s="3442">
        <v>920</v>
      </c>
      <c r="H379" s="3443"/>
    </row>
    <row r="380" spans="1:8">
      <c r="A380" s="3450" t="s">
        <v>2756</v>
      </c>
      <c r="B380" s="3430" t="s">
        <v>3015</v>
      </c>
      <c r="C380" s="3430">
        <v>1620</v>
      </c>
      <c r="D380" s="3430">
        <v>1590</v>
      </c>
      <c r="E380" s="3430">
        <v>1560</v>
      </c>
      <c r="F380" s="3430">
        <v>480</v>
      </c>
      <c r="G380" s="3442">
        <v>1000</v>
      </c>
      <c r="H380" s="3443"/>
    </row>
    <row r="381" spans="1:8">
      <c r="A381" s="3450" t="s">
        <v>2756</v>
      </c>
      <c r="B381" s="3430" t="s">
        <v>3016</v>
      </c>
      <c r="C381" s="3430">
        <v>1460</v>
      </c>
      <c r="D381" s="3430">
        <v>1430</v>
      </c>
      <c r="E381" s="3430">
        <v>1390</v>
      </c>
      <c r="F381" s="3430">
        <v>450</v>
      </c>
      <c r="G381" s="3442">
        <v>900</v>
      </c>
      <c r="H381" s="3443"/>
    </row>
    <row r="382" spans="1:8">
      <c r="A382" s="3450" t="s">
        <v>2756</v>
      </c>
      <c r="B382" s="3430" t="s">
        <v>3017</v>
      </c>
      <c r="C382" s="3430">
        <v>1310</v>
      </c>
      <c r="D382" s="3430">
        <v>1280</v>
      </c>
      <c r="E382" s="3430">
        <v>1250</v>
      </c>
      <c r="F382" s="3430">
        <v>440</v>
      </c>
      <c r="G382" s="3442">
        <v>800</v>
      </c>
      <c r="H382" s="3443"/>
    </row>
    <row r="383" spans="1:8">
      <c r="A383" s="3450" t="s">
        <v>2756</v>
      </c>
      <c r="B383" s="3430" t="s">
        <v>3018</v>
      </c>
      <c r="C383" s="3430">
        <v>1260</v>
      </c>
      <c r="D383" s="3430">
        <v>1230</v>
      </c>
      <c r="E383" s="3430">
        <v>1200</v>
      </c>
      <c r="F383" s="3430">
        <v>420</v>
      </c>
      <c r="G383" s="3442">
        <v>770</v>
      </c>
      <c r="H383" s="3443"/>
    </row>
    <row r="384" spans="1:8" ht="14.25" thickBot="1">
      <c r="A384" s="3451" t="s">
        <v>2756</v>
      </c>
      <c r="B384" s="3445" t="s">
        <v>3019</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0" t="s">
        <v>3182</v>
      </c>
      <c r="B1" s="3980"/>
      <c r="C1" s="3980"/>
      <c r="D1" s="3980"/>
      <c r="E1" s="3980"/>
      <c r="F1" s="3981"/>
    </row>
    <row r="2" spans="1:6">
      <c r="A2" s="3497" t="s">
        <v>3183</v>
      </c>
      <c r="B2" s="3498"/>
      <c r="C2" s="3498"/>
      <c r="D2" s="3498"/>
      <c r="E2" s="3498"/>
      <c r="F2" s="3498"/>
    </row>
    <row r="3" spans="1:6">
      <c r="A3" s="3497" t="s">
        <v>3184</v>
      </c>
      <c r="B3" s="3498"/>
      <c r="C3" s="3498"/>
      <c r="D3" s="3498"/>
      <c r="E3" s="3498"/>
      <c r="F3" s="3499" t="s">
        <v>3185</v>
      </c>
    </row>
    <row r="4" spans="1:6">
      <c r="A4" s="3500" t="s">
        <v>3180</v>
      </c>
      <c r="B4" s="3500" t="s">
        <v>2731</v>
      </c>
      <c r="C4" s="3500" t="s">
        <v>1212</v>
      </c>
      <c r="D4" s="3500" t="s">
        <v>3181</v>
      </c>
      <c r="E4" s="3500" t="s">
        <v>905</v>
      </c>
      <c r="F4" s="3500" t="s">
        <v>3186</v>
      </c>
    </row>
    <row r="5" spans="1:6">
      <c r="A5" s="3501" t="s">
        <v>2754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2755</v>
      </c>
      <c r="B16" s="3503">
        <v>2230</v>
      </c>
      <c r="C16" s="3503">
        <v>2200</v>
      </c>
      <c r="D16" s="3503">
        <v>2180</v>
      </c>
      <c r="E16" s="3503">
        <v>570</v>
      </c>
      <c r="F16" s="3503">
        <v>1330</v>
      </c>
    </row>
    <row r="17" spans="1:6">
      <c r="A17" s="3501" t="s">
        <v>2756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7" t="s">
        <v>2768</v>
      </c>
      <c r="B1" s="967"/>
      <c r="C1" s="967"/>
      <c r="D1" s="967"/>
      <c r="E1" s="967"/>
      <c r="F1" s="967"/>
      <c r="G1" s="967"/>
      <c r="H1" s="967"/>
      <c r="I1" s="967"/>
      <c r="J1" s="967"/>
      <c r="K1" s="967"/>
      <c r="L1" s="967"/>
      <c r="M1" s="967"/>
      <c r="N1" s="967"/>
    </row>
    <row r="2" spans="1:14">
      <c r="A2" s="969" t="s">
        <v>1550</v>
      </c>
      <c r="B2" s="970" t="s">
        <v>990</v>
      </c>
      <c r="C2" s="970" t="s">
        <v>1031</v>
      </c>
      <c r="D2" s="970" t="s">
        <v>1145</v>
      </c>
      <c r="E2" s="970" t="s">
        <v>853</v>
      </c>
      <c r="F2" s="970" t="s">
        <v>1152</v>
      </c>
      <c r="G2" s="970" t="s">
        <v>1153</v>
      </c>
      <c r="H2" s="971" t="s">
        <v>1154</v>
      </c>
      <c r="I2" s="971" t="s">
        <v>1155</v>
      </c>
      <c r="J2" s="972" t="s">
        <v>1156</v>
      </c>
      <c r="K2" s="972" t="s">
        <v>1157</v>
      </c>
      <c r="L2" s="972" t="s">
        <v>2755</v>
      </c>
      <c r="M2" s="972" t="s">
        <v>2756</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7" t="s">
        <v>2769</v>
      </c>
      <c r="B93" s="978"/>
      <c r="C93" s="978"/>
      <c r="D93" s="978"/>
      <c r="E93" s="978"/>
      <c r="F93" s="978"/>
      <c r="G93" s="978"/>
      <c r="H93" s="978"/>
      <c r="I93" s="978"/>
      <c r="J93" s="978"/>
      <c r="K93" s="978"/>
      <c r="L93" s="978"/>
      <c r="M93" s="978"/>
    </row>
    <row r="94" spans="1:14">
      <c r="A94" s="986" t="s">
        <v>1550</v>
      </c>
      <c r="B94" s="978" t="s">
        <v>990</v>
      </c>
      <c r="C94" s="978" t="s">
        <v>1031</v>
      </c>
      <c r="D94" s="978" t="s">
        <v>1145</v>
      </c>
      <c r="E94" s="978" t="s">
        <v>853</v>
      </c>
      <c r="F94" s="978" t="s">
        <v>1152</v>
      </c>
      <c r="G94" s="978" t="s">
        <v>1153</v>
      </c>
      <c r="H94" s="978" t="s">
        <v>1154</v>
      </c>
      <c r="I94" s="978" t="s">
        <v>1155</v>
      </c>
      <c r="J94" s="978" t="s">
        <v>1156</v>
      </c>
      <c r="K94" s="978" t="s">
        <v>1157</v>
      </c>
      <c r="L94" s="978" t="s">
        <v>2755</v>
      </c>
      <c r="M94" s="978" t="s">
        <v>2756</v>
      </c>
      <c r="N94" s="968" t="e">
        <f>SUMPRODUCT((A95:A184=ROUNDDOWN([2]基准地价修正!G3,1))*(B94:M94=[2]基准地价修正!G2)*(B95:M184))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7" t="s">
        <v>2770</v>
      </c>
      <c r="B185" s="978"/>
      <c r="C185" s="978"/>
      <c r="D185" s="978"/>
      <c r="E185" s="978"/>
      <c r="F185" s="978"/>
      <c r="G185" s="978"/>
      <c r="H185" s="978"/>
      <c r="I185" s="978"/>
      <c r="J185" s="978"/>
      <c r="K185" s="978"/>
      <c r="L185" s="978"/>
      <c r="M185" s="978"/>
    </row>
    <row r="186" spans="1:13">
      <c r="A186" s="969" t="s">
        <v>1550</v>
      </c>
      <c r="B186" s="978" t="s">
        <v>990</v>
      </c>
      <c r="C186" s="978" t="s">
        <v>1031</v>
      </c>
      <c r="D186" s="978" t="s">
        <v>1145</v>
      </c>
      <c r="E186" s="978" t="s">
        <v>853</v>
      </c>
      <c r="F186" s="978" t="s">
        <v>1152</v>
      </c>
      <c r="G186" s="978" t="s">
        <v>1153</v>
      </c>
      <c r="H186" s="978" t="s">
        <v>1154</v>
      </c>
      <c r="I186" s="978" t="s">
        <v>1155</v>
      </c>
      <c r="J186" s="978" t="s">
        <v>1156</v>
      </c>
      <c r="K186" s="978" t="s">
        <v>1157</v>
      </c>
      <c r="L186" s="978" t="s">
        <v>2755</v>
      </c>
      <c r="M186" s="978" t="s">
        <v>2756</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7" t="s">
        <v>2771</v>
      </c>
      <c r="B277" s="978"/>
      <c r="C277" s="978"/>
      <c r="D277" s="978"/>
      <c r="E277" s="978"/>
      <c r="F277" s="978"/>
      <c r="G277" s="978"/>
      <c r="H277" s="978"/>
      <c r="I277" s="978"/>
      <c r="J277" s="978"/>
      <c r="K277" s="978"/>
      <c r="L277" s="978"/>
      <c r="M277" s="978"/>
    </row>
    <row r="278" spans="1:13">
      <c r="A278" s="969" t="s">
        <v>1550</v>
      </c>
      <c r="B278" s="978" t="s">
        <v>990</v>
      </c>
      <c r="C278" s="978" t="s">
        <v>1031</v>
      </c>
      <c r="D278" s="978" t="s">
        <v>1145</v>
      </c>
      <c r="E278" s="978" t="s">
        <v>853</v>
      </c>
      <c r="F278" s="978" t="s">
        <v>1152</v>
      </c>
      <c r="G278" s="978" t="s">
        <v>1153</v>
      </c>
      <c r="H278" s="978" t="s">
        <v>1154</v>
      </c>
      <c r="I278" s="978" t="s">
        <v>1155</v>
      </c>
      <c r="J278" s="978" t="s">
        <v>1156</v>
      </c>
      <c r="K278" s="978" t="s">
        <v>1157</v>
      </c>
      <c r="L278" s="978" t="s">
        <v>2755</v>
      </c>
      <c r="M278" s="978" t="s">
        <v>2756</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7" t="s">
        <v>2772</v>
      </c>
      <c r="B369" s="978"/>
      <c r="C369" s="978"/>
      <c r="D369" s="978"/>
      <c r="E369" s="978"/>
      <c r="F369" s="978"/>
      <c r="G369" s="978"/>
      <c r="H369" s="978"/>
      <c r="I369" s="978"/>
      <c r="J369" s="978"/>
      <c r="K369" s="978"/>
      <c r="L369" s="978"/>
      <c r="M369" s="978"/>
    </row>
    <row r="370" spans="1:14">
      <c r="A370" s="969" t="s">
        <v>1550</v>
      </c>
      <c r="B370" s="978" t="s">
        <v>990</v>
      </c>
      <c r="C370" s="978" t="s">
        <v>1031</v>
      </c>
      <c r="D370" s="978" t="s">
        <v>1145</v>
      </c>
      <c r="E370" s="978" t="s">
        <v>853</v>
      </c>
      <c r="F370" s="978" t="s">
        <v>1152</v>
      </c>
      <c r="G370" s="978" t="s">
        <v>1153</v>
      </c>
      <c r="H370" s="978" t="s">
        <v>1154</v>
      </c>
      <c r="I370" s="978" t="s">
        <v>1155</v>
      </c>
      <c r="J370" s="978" t="s">
        <v>1156</v>
      </c>
      <c r="K370" s="978" t="s">
        <v>1157</v>
      </c>
      <c r="L370" s="978" t="s">
        <v>2755</v>
      </c>
      <c r="M370" s="978" t="s">
        <v>2756</v>
      </c>
      <c r="N370" s="968" t="e">
        <f>SUMPRODUCT((A371:A460=ROUNDDOWN([2]基准地价修正!G3,1))*(B370:M370=[2]基准地价修正!G2)*(B371:M460))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78"/>
  </cols>
  <sheetData>
    <row r="1" spans="1:7">
      <c r="A1" s="3982" t="s">
        <v>3020</v>
      </c>
      <c r="B1" s="3982"/>
    </row>
    <row r="2" spans="1:7" ht="14.25" thickBot="1">
      <c r="A2" s="3462"/>
      <c r="B2" s="3462"/>
    </row>
    <row r="3" spans="1:7" ht="14.25" thickBot="1">
      <c r="A3" s="3462"/>
      <c r="B3" s="3462"/>
      <c r="C3" s="3463" t="s">
        <v>3021</v>
      </c>
      <c r="D3" s="3463" t="s">
        <v>3022</v>
      </c>
      <c r="E3" s="3463" t="s">
        <v>3023</v>
      </c>
      <c r="F3" s="3463" t="s">
        <v>3024</v>
      </c>
      <c r="G3" s="3463" t="s">
        <v>3025</v>
      </c>
    </row>
    <row r="4" spans="1:7" ht="14.25" thickBot="1">
      <c r="A4" s="3464" t="s">
        <v>3026</v>
      </c>
      <c r="B4" s="3465" t="s">
        <v>3027</v>
      </c>
      <c r="C4" s="3463"/>
      <c r="D4" s="3463"/>
      <c r="E4" s="3463"/>
      <c r="F4" s="3463"/>
      <c r="G4" s="3463"/>
    </row>
    <row r="5" spans="1:7">
      <c r="A5" s="3466" t="s">
        <v>3028</v>
      </c>
      <c r="B5" s="3467" t="s">
        <v>3029</v>
      </c>
      <c r="C5" s="3468">
        <v>9.8000000000000004E-2</v>
      </c>
      <c r="D5" s="3468">
        <v>8.6999999999999994E-2</v>
      </c>
      <c r="E5" s="3468">
        <v>8.6999999999999994E-2</v>
      </c>
      <c r="F5" s="3468">
        <v>9.8000000000000004E-2</v>
      </c>
      <c r="G5" s="3469">
        <v>9.5000000000000001E-2</v>
      </c>
    </row>
    <row r="6" spans="1:7">
      <c r="A6" s="3470" t="s">
        <v>990</v>
      </c>
      <c r="B6" s="3471" t="s">
        <v>3030</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3031</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3032</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2818</v>
      </c>
      <c r="C29" s="3480"/>
      <c r="D29" s="3476">
        <v>5.1999999999999998E-2</v>
      </c>
      <c r="E29" s="3476">
        <v>7.0000000000000007E-2</v>
      </c>
      <c r="F29" s="3480"/>
      <c r="G29" s="3478">
        <v>7.0999999999999994E-2</v>
      </c>
    </row>
    <row r="30" spans="1:7">
      <c r="A30" s="3481" t="s">
        <v>1145</v>
      </c>
      <c r="B30" s="3467" t="s">
        <v>3033</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3034</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2820</v>
      </c>
      <c r="C50" s="3472">
        <v>9.8000000000000004E-2</v>
      </c>
      <c r="D50" s="3472">
        <v>7.2999999999999995E-2</v>
      </c>
      <c r="E50" s="3472">
        <v>7.0999999999999994E-2</v>
      </c>
      <c r="F50" s="3483"/>
      <c r="G50" s="3473">
        <v>7.2999999999999995E-2</v>
      </c>
    </row>
    <row r="51" spans="1:7">
      <c r="A51" s="3482" t="s">
        <v>1145</v>
      </c>
      <c r="B51" s="3471" t="s">
        <v>2821</v>
      </c>
      <c r="C51" s="3472">
        <v>9.9000000000000005E-2</v>
      </c>
      <c r="D51" s="3472">
        <v>8.5000000000000006E-2</v>
      </c>
      <c r="E51" s="3472">
        <v>6.3E-2</v>
      </c>
      <c r="F51" s="3483"/>
      <c r="G51" s="3473">
        <v>9.6000000000000002E-2</v>
      </c>
    </row>
    <row r="52" spans="1:7">
      <c r="A52" s="3482" t="s">
        <v>1145</v>
      </c>
      <c r="B52" s="3471" t="s">
        <v>2822</v>
      </c>
      <c r="C52" s="3472">
        <v>7.3999999999999996E-2</v>
      </c>
      <c r="D52" s="3472">
        <v>9.6000000000000002E-2</v>
      </c>
      <c r="E52" s="3472">
        <v>0.05</v>
      </c>
      <c r="F52" s="3483"/>
      <c r="G52" s="3473">
        <v>9.8000000000000004E-2</v>
      </c>
    </row>
    <row r="53" spans="1:7">
      <c r="A53" s="3482" t="s">
        <v>1145</v>
      </c>
      <c r="B53" s="3471" t="s">
        <v>2823</v>
      </c>
      <c r="C53" s="3472">
        <v>8.5999999999999993E-2</v>
      </c>
      <c r="D53" s="3483"/>
      <c r="E53" s="3472">
        <v>9.1999999999999998E-2</v>
      </c>
      <c r="F53" s="3483"/>
      <c r="G53" s="3484"/>
    </row>
    <row r="54" spans="1:7" ht="14.25" thickBot="1">
      <c r="A54" s="3485" t="s">
        <v>1145</v>
      </c>
      <c r="B54" s="3475" t="s">
        <v>2824</v>
      </c>
      <c r="C54" s="3476">
        <v>9.6000000000000002E-2</v>
      </c>
      <c r="D54" s="3477"/>
      <c r="E54" s="3486"/>
      <c r="F54" s="3477"/>
      <c r="G54" s="3487"/>
    </row>
    <row r="55" spans="1:7">
      <c r="A55" s="3481" t="s">
        <v>853</v>
      </c>
      <c r="B55" s="3467" t="s">
        <v>3035</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2826</v>
      </c>
      <c r="C78" s="3472">
        <v>0.1</v>
      </c>
      <c r="D78" s="3472">
        <v>8.5000000000000006E-2</v>
      </c>
      <c r="E78" s="3472">
        <v>9.6000000000000002E-2</v>
      </c>
      <c r="F78" s="3483"/>
      <c r="G78" s="3473">
        <v>9.6000000000000002E-2</v>
      </c>
    </row>
    <row r="79" spans="1:7">
      <c r="A79" s="3482" t="s">
        <v>853</v>
      </c>
      <c r="B79" s="3471" t="s">
        <v>2827</v>
      </c>
      <c r="C79" s="3472">
        <v>0.05</v>
      </c>
      <c r="D79" s="3472">
        <v>9.6000000000000002E-2</v>
      </c>
      <c r="E79" s="3472">
        <v>9.5000000000000001E-2</v>
      </c>
      <c r="F79" s="3483"/>
      <c r="G79" s="3473">
        <v>9.8000000000000004E-2</v>
      </c>
    </row>
    <row r="80" spans="1:7">
      <c r="A80" s="3482" t="s">
        <v>853</v>
      </c>
      <c r="B80" s="3471" t="s">
        <v>2828</v>
      </c>
      <c r="C80" s="3472">
        <v>8.5999999999999993E-2</v>
      </c>
      <c r="D80" s="3488"/>
      <c r="E80" s="3472">
        <v>0.1</v>
      </c>
      <c r="F80" s="3483"/>
      <c r="G80" s="3484"/>
    </row>
    <row r="81" spans="1:7">
      <c r="A81" s="3482" t="s">
        <v>853</v>
      </c>
      <c r="B81" s="3471" t="s">
        <v>2829</v>
      </c>
      <c r="C81" s="3472">
        <v>9.6000000000000002E-2</v>
      </c>
      <c r="D81" s="3483"/>
      <c r="E81" s="3472">
        <v>9.8000000000000004E-2</v>
      </c>
      <c r="F81" s="3483"/>
      <c r="G81" s="3484"/>
    </row>
    <row r="82" spans="1:7">
      <c r="A82" s="3482" t="s">
        <v>853</v>
      </c>
      <c r="B82" s="3471" t="s">
        <v>2830</v>
      </c>
      <c r="C82" s="3488"/>
      <c r="D82" s="3483"/>
      <c r="E82" s="3472">
        <v>7.6999999999999999E-2</v>
      </c>
      <c r="F82" s="3483"/>
      <c r="G82" s="3484"/>
    </row>
    <row r="83" spans="1:7">
      <c r="A83" s="3482" t="s">
        <v>853</v>
      </c>
      <c r="B83" s="3471" t="s">
        <v>3036</v>
      </c>
      <c r="C83" s="3483"/>
      <c r="D83" s="3483"/>
      <c r="E83" s="3483"/>
      <c r="F83" s="3472">
        <v>0.1</v>
      </c>
      <c r="G83" s="3489"/>
    </row>
    <row r="84" spans="1:7">
      <c r="A84" s="3482" t="s">
        <v>853</v>
      </c>
      <c r="B84" s="3471" t="s">
        <v>3037</v>
      </c>
      <c r="C84" s="3483"/>
      <c r="D84" s="3483"/>
      <c r="E84" s="3483"/>
      <c r="F84" s="3472">
        <v>0.1</v>
      </c>
      <c r="G84" s="3489"/>
    </row>
    <row r="85" spans="1:7">
      <c r="A85" s="3482" t="s">
        <v>853</v>
      </c>
      <c r="B85" s="3471" t="s">
        <v>3038</v>
      </c>
      <c r="C85" s="3483"/>
      <c r="D85" s="3483"/>
      <c r="E85" s="3483"/>
      <c r="F85" s="3472">
        <v>0.1</v>
      </c>
      <c r="G85" s="3489"/>
    </row>
    <row r="86" spans="1:7" ht="14.25" thickBot="1">
      <c r="A86" s="3485" t="s">
        <v>853</v>
      </c>
      <c r="B86" s="3475" t="s">
        <v>3039</v>
      </c>
      <c r="C86" s="3476">
        <v>9.8000000000000004E-2</v>
      </c>
      <c r="D86" s="3476">
        <v>9.8000000000000004E-2</v>
      </c>
      <c r="E86" s="3476">
        <v>9.6000000000000002E-2</v>
      </c>
      <c r="F86" s="3486"/>
      <c r="G86" s="3478">
        <v>0.1</v>
      </c>
    </row>
    <row r="87" spans="1:7">
      <c r="A87" s="3481" t="s">
        <v>1152</v>
      </c>
      <c r="B87" s="3467" t="s">
        <v>3040</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2836</v>
      </c>
      <c r="C113" s="3472">
        <v>0.1</v>
      </c>
      <c r="D113" s="3472">
        <v>0.1</v>
      </c>
      <c r="E113" s="3483"/>
      <c r="F113" s="3483"/>
      <c r="G113" s="3473">
        <v>0.1</v>
      </c>
    </row>
    <row r="114" spans="1:7">
      <c r="A114" s="3482" t="s">
        <v>1152</v>
      </c>
      <c r="B114" s="3471" t="s">
        <v>2837</v>
      </c>
      <c r="C114" s="3472">
        <v>9.7000000000000003E-2</v>
      </c>
      <c r="D114" s="3472">
        <v>9.7000000000000003E-2</v>
      </c>
      <c r="E114" s="3483"/>
      <c r="F114" s="3483"/>
      <c r="G114" s="3473">
        <v>9.9000000000000005E-2</v>
      </c>
    </row>
    <row r="115" spans="1:7">
      <c r="A115" s="3482" t="s">
        <v>1152</v>
      </c>
      <c r="B115" s="3471" t="s">
        <v>2838</v>
      </c>
      <c r="C115" s="3472">
        <v>0.1</v>
      </c>
      <c r="D115" s="3472">
        <v>0.1</v>
      </c>
      <c r="E115" s="3483"/>
      <c r="F115" s="3483"/>
      <c r="G115" s="3473">
        <v>0.1</v>
      </c>
    </row>
    <row r="116" spans="1:7">
      <c r="A116" s="3482" t="s">
        <v>1152</v>
      </c>
      <c r="B116" s="3471" t="s">
        <v>2839</v>
      </c>
      <c r="C116" s="3472">
        <v>0.1</v>
      </c>
      <c r="D116" s="3472">
        <v>0.1</v>
      </c>
      <c r="E116" s="3483"/>
      <c r="F116" s="3483"/>
      <c r="G116" s="3473">
        <v>0.1</v>
      </c>
    </row>
    <row r="117" spans="1:7">
      <c r="A117" s="3482" t="s">
        <v>1152</v>
      </c>
      <c r="B117" s="3471" t="s">
        <v>2840</v>
      </c>
      <c r="C117" s="3472">
        <v>9.7000000000000003E-2</v>
      </c>
      <c r="D117" s="3472">
        <v>9.7000000000000003E-2</v>
      </c>
      <c r="E117" s="3483"/>
      <c r="F117" s="3483"/>
      <c r="G117" s="3473">
        <v>9.7000000000000003E-2</v>
      </c>
    </row>
    <row r="118" spans="1:7">
      <c r="A118" s="3482" t="s">
        <v>1152</v>
      </c>
      <c r="B118" s="3471" t="s">
        <v>2841</v>
      </c>
      <c r="C118" s="3472">
        <v>0.1</v>
      </c>
      <c r="D118" s="3472">
        <v>0.1</v>
      </c>
      <c r="E118" s="3483"/>
      <c r="F118" s="3483"/>
      <c r="G118" s="3473">
        <v>0.1</v>
      </c>
    </row>
    <row r="119" spans="1:7">
      <c r="A119" s="3482" t="s">
        <v>1152</v>
      </c>
      <c r="B119" s="3471" t="s">
        <v>2842</v>
      </c>
      <c r="C119" s="3472">
        <v>5.0999999999999997E-2</v>
      </c>
      <c r="D119" s="3472">
        <v>5.1999999999999998E-2</v>
      </c>
      <c r="E119" s="3483"/>
      <c r="F119" s="3488"/>
      <c r="G119" s="3473">
        <v>0.06</v>
      </c>
    </row>
    <row r="120" spans="1:7">
      <c r="A120" s="3482" t="s">
        <v>1152</v>
      </c>
      <c r="B120" s="3471" t="s">
        <v>3041</v>
      </c>
      <c r="C120" s="3483"/>
      <c r="D120" s="3483"/>
      <c r="E120" s="3483"/>
      <c r="F120" s="3472">
        <v>0.1</v>
      </c>
      <c r="G120" s="3489"/>
    </row>
    <row r="121" spans="1:7">
      <c r="A121" s="3482" t="s">
        <v>1152</v>
      </c>
      <c r="B121" s="3471" t="s">
        <v>3042</v>
      </c>
      <c r="C121" s="3483"/>
      <c r="D121" s="3483"/>
      <c r="E121" s="3483"/>
      <c r="F121" s="3472">
        <v>0.1</v>
      </c>
      <c r="G121" s="3489"/>
    </row>
    <row r="122" spans="1:7">
      <c r="A122" s="3482" t="s">
        <v>1152</v>
      </c>
      <c r="B122" s="3471" t="s">
        <v>3043</v>
      </c>
      <c r="C122" s="3472">
        <v>0.1</v>
      </c>
      <c r="D122" s="3472">
        <v>0.1</v>
      </c>
      <c r="E122" s="3472">
        <v>9.8000000000000004E-2</v>
      </c>
      <c r="F122" s="3472">
        <v>0.1</v>
      </c>
      <c r="G122" s="3473">
        <v>0.1</v>
      </c>
    </row>
    <row r="123" spans="1:7">
      <c r="A123" s="3482" t="s">
        <v>1152</v>
      </c>
      <c r="B123" s="3471" t="s">
        <v>2846</v>
      </c>
      <c r="C123" s="3472">
        <v>0.1</v>
      </c>
      <c r="D123" s="3472">
        <v>0.1</v>
      </c>
      <c r="E123" s="3472">
        <v>9.8000000000000004E-2</v>
      </c>
      <c r="F123" s="3472">
        <v>0.1</v>
      </c>
      <c r="G123" s="3473">
        <v>0.1</v>
      </c>
    </row>
    <row r="124" spans="1:7">
      <c r="A124" s="3482" t="s">
        <v>1152</v>
      </c>
      <c r="B124" s="3471" t="s">
        <v>2847</v>
      </c>
      <c r="C124" s="3472">
        <v>0.1</v>
      </c>
      <c r="D124" s="3472">
        <v>0.1</v>
      </c>
      <c r="E124" s="3472">
        <v>9.8000000000000004E-2</v>
      </c>
      <c r="F124" s="3488"/>
      <c r="G124" s="3473">
        <v>0.1</v>
      </c>
    </row>
    <row r="125" spans="1:7">
      <c r="A125" s="3482" t="s">
        <v>1152</v>
      </c>
      <c r="B125" s="3471" t="s">
        <v>2848</v>
      </c>
      <c r="C125" s="3472">
        <v>9.8000000000000004E-2</v>
      </c>
      <c r="D125" s="3472">
        <v>9.8000000000000004E-2</v>
      </c>
      <c r="E125" s="3472">
        <v>9.6000000000000002E-2</v>
      </c>
      <c r="F125" s="3488"/>
      <c r="G125" s="3473">
        <v>0.1</v>
      </c>
    </row>
    <row r="126" spans="1:7" ht="14.25" thickBot="1">
      <c r="A126" s="3485" t="s">
        <v>1152</v>
      </c>
      <c r="B126" s="3475" t="s">
        <v>3044</v>
      </c>
      <c r="C126" s="3476">
        <v>0.1</v>
      </c>
      <c r="D126" s="3476">
        <v>0.1</v>
      </c>
      <c r="E126" s="3476">
        <v>9.8000000000000004E-2</v>
      </c>
      <c r="F126" s="3476">
        <v>0.1</v>
      </c>
      <c r="G126" s="3478">
        <v>0.1</v>
      </c>
    </row>
    <row r="127" spans="1:7">
      <c r="A127" s="3481" t="s">
        <v>1153</v>
      </c>
      <c r="B127" s="3467" t="s">
        <v>3045</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3046</v>
      </c>
      <c r="C148" s="3472">
        <v>0.13</v>
      </c>
      <c r="D148" s="3472">
        <v>0.13</v>
      </c>
      <c r="E148" s="3472">
        <v>0.13</v>
      </c>
      <c r="F148" s="3483"/>
      <c r="G148" s="3473">
        <v>0.13</v>
      </c>
    </row>
    <row r="149" spans="1:7">
      <c r="A149" s="3482" t="s">
        <v>1153</v>
      </c>
      <c r="B149" s="3471" t="s">
        <v>3047</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2853</v>
      </c>
      <c r="C153" s="3472">
        <v>0.13</v>
      </c>
      <c r="D153" s="3472">
        <v>0.13</v>
      </c>
      <c r="E153" s="3472">
        <v>0.13</v>
      </c>
      <c r="F153" s="3472">
        <v>0.13</v>
      </c>
      <c r="G153" s="3473">
        <v>0.13</v>
      </c>
    </row>
    <row r="154" spans="1:7">
      <c r="A154" s="3482" t="s">
        <v>1153</v>
      </c>
      <c r="B154" s="3471" t="s">
        <v>3048</v>
      </c>
      <c r="C154" s="3472">
        <v>0.121</v>
      </c>
      <c r="D154" s="3472">
        <v>0.121</v>
      </c>
      <c r="E154" s="3472">
        <v>0.105</v>
      </c>
      <c r="F154" s="3472">
        <v>0.121</v>
      </c>
      <c r="G154" s="3473">
        <v>0.123</v>
      </c>
    </row>
    <row r="155" spans="1:7">
      <c r="A155" s="3482" t="s">
        <v>1153</v>
      </c>
      <c r="B155" s="3471" t="s">
        <v>2855</v>
      </c>
      <c r="C155" s="3472">
        <v>0.1</v>
      </c>
      <c r="D155" s="3472">
        <v>0.1</v>
      </c>
      <c r="E155" s="3472">
        <v>0.1</v>
      </c>
      <c r="F155" s="3472">
        <v>0.1</v>
      </c>
      <c r="G155" s="3473">
        <v>0.1</v>
      </c>
    </row>
    <row r="156" spans="1:7">
      <c r="A156" s="3482" t="s">
        <v>1153</v>
      </c>
      <c r="B156" s="3471" t="s">
        <v>3049</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3050</v>
      </c>
      <c r="C160" s="3472">
        <v>0.13</v>
      </c>
      <c r="D160" s="3472">
        <v>0.13</v>
      </c>
      <c r="E160" s="3472">
        <v>0.124</v>
      </c>
      <c r="F160" s="3472">
        <v>0.126</v>
      </c>
      <c r="G160" s="3473">
        <v>0.13</v>
      </c>
    </row>
    <row r="161" spans="1:7">
      <c r="A161" s="3482" t="s">
        <v>1153</v>
      </c>
      <c r="B161" s="3471" t="s">
        <v>2858</v>
      </c>
      <c r="C161" s="3472">
        <v>0.13</v>
      </c>
      <c r="D161" s="3472">
        <v>0.13</v>
      </c>
      <c r="E161" s="3472">
        <v>0.124</v>
      </c>
      <c r="F161" s="3472">
        <v>0.127</v>
      </c>
      <c r="G161" s="3473">
        <v>0.13</v>
      </c>
    </row>
    <row r="162" spans="1:7">
      <c r="A162" s="3482" t="s">
        <v>1153</v>
      </c>
      <c r="B162" s="3471" t="s">
        <v>2859</v>
      </c>
      <c r="C162" s="3472">
        <v>0.1</v>
      </c>
      <c r="D162" s="3472">
        <v>0.1</v>
      </c>
      <c r="E162" s="3472">
        <v>0.1</v>
      </c>
      <c r="F162" s="3472">
        <v>0.121</v>
      </c>
      <c r="G162" s="3473">
        <v>0.105</v>
      </c>
    </row>
    <row r="163" spans="1:7">
      <c r="A163" s="3482" t="s">
        <v>1153</v>
      </c>
      <c r="B163" s="3471" t="s">
        <v>2860</v>
      </c>
      <c r="C163" s="3472">
        <v>0.1</v>
      </c>
      <c r="D163" s="3472">
        <v>0.1</v>
      </c>
      <c r="E163" s="3472">
        <v>0.1</v>
      </c>
      <c r="F163" s="3472">
        <v>0.1</v>
      </c>
      <c r="G163" s="3473">
        <v>0.1</v>
      </c>
    </row>
    <row r="164" spans="1:7">
      <c r="A164" s="3482" t="s">
        <v>1153</v>
      </c>
      <c r="B164" s="3471" t="s">
        <v>2861</v>
      </c>
      <c r="C164" s="3488"/>
      <c r="D164" s="3488"/>
      <c r="E164" s="3488"/>
      <c r="F164" s="3472">
        <v>0.1</v>
      </c>
      <c r="G164" s="3484"/>
    </row>
    <row r="165" spans="1:7">
      <c r="A165" s="3482" t="s">
        <v>1153</v>
      </c>
      <c r="B165" s="3471" t="s">
        <v>3051</v>
      </c>
      <c r="C165" s="3472">
        <v>0.126</v>
      </c>
      <c r="D165" s="3472">
        <v>0.126</v>
      </c>
      <c r="E165" s="3472">
        <v>0.11899999999999999</v>
      </c>
      <c r="F165" s="3472">
        <v>0.13</v>
      </c>
      <c r="G165" s="3473">
        <v>0.128</v>
      </c>
    </row>
    <row r="166" spans="1:7">
      <c r="A166" s="3482" t="s">
        <v>1153</v>
      </c>
      <c r="B166" s="3471" t="s">
        <v>2863</v>
      </c>
      <c r="C166" s="3472">
        <v>0.129</v>
      </c>
      <c r="D166" s="3472">
        <v>0.129</v>
      </c>
      <c r="E166" s="3472">
        <v>0.123</v>
      </c>
      <c r="F166" s="3472">
        <v>0.128</v>
      </c>
      <c r="G166" s="3473">
        <v>0.13</v>
      </c>
    </row>
    <row r="167" spans="1:7">
      <c r="A167" s="3482" t="s">
        <v>1153</v>
      </c>
      <c r="B167" s="3471" t="s">
        <v>2864</v>
      </c>
      <c r="C167" s="3472">
        <v>0.125</v>
      </c>
      <c r="D167" s="3472">
        <v>0.125</v>
      </c>
      <c r="E167" s="3472">
        <v>0.11700000000000001</v>
      </c>
      <c r="F167" s="3472">
        <v>0.13</v>
      </c>
      <c r="G167" s="3473">
        <v>0.126</v>
      </c>
    </row>
    <row r="168" spans="1:7">
      <c r="A168" s="3482" t="s">
        <v>1153</v>
      </c>
      <c r="B168" s="3471" t="s">
        <v>2865</v>
      </c>
      <c r="C168" s="3472">
        <v>0.128</v>
      </c>
      <c r="D168" s="3472">
        <v>0.128</v>
      </c>
      <c r="E168" s="3472">
        <v>0.123</v>
      </c>
      <c r="F168" s="3483"/>
      <c r="G168" s="3473">
        <v>0.13</v>
      </c>
    </row>
    <row r="169" spans="1:7">
      <c r="A169" s="3482" t="s">
        <v>1153</v>
      </c>
      <c r="B169" s="3471" t="s">
        <v>3052</v>
      </c>
      <c r="C169" s="3488"/>
      <c r="D169" s="3488"/>
      <c r="E169" s="3488"/>
      <c r="F169" s="3472">
        <v>0.05</v>
      </c>
      <c r="G169" s="3484"/>
    </row>
    <row r="170" spans="1:7">
      <c r="A170" s="3482" t="s">
        <v>1153</v>
      </c>
      <c r="B170" s="3471" t="s">
        <v>3053</v>
      </c>
      <c r="C170" s="3488"/>
      <c r="D170" s="3488"/>
      <c r="E170" s="3488"/>
      <c r="F170" s="3472">
        <v>0.05</v>
      </c>
      <c r="G170" s="3484"/>
    </row>
    <row r="171" spans="1:7">
      <c r="A171" s="3482" t="s">
        <v>1153</v>
      </c>
      <c r="B171" s="3471" t="s">
        <v>3054</v>
      </c>
      <c r="C171" s="3488"/>
      <c r="D171" s="3488"/>
      <c r="E171" s="3488"/>
      <c r="F171" s="3472">
        <v>0.05</v>
      </c>
      <c r="G171" s="3489"/>
    </row>
    <row r="172" spans="1:7">
      <c r="A172" s="3482" t="s">
        <v>1153</v>
      </c>
      <c r="B172" s="3471" t="s">
        <v>3055</v>
      </c>
      <c r="C172" s="3488"/>
      <c r="D172" s="3488"/>
      <c r="E172" s="3488"/>
      <c r="F172" s="3472">
        <v>0.05</v>
      </c>
      <c r="G172" s="3489"/>
    </row>
    <row r="173" spans="1:7">
      <c r="A173" s="3482" t="s">
        <v>1153</v>
      </c>
      <c r="B173" s="3471" t="s">
        <v>3056</v>
      </c>
      <c r="C173" s="3488"/>
      <c r="D173" s="3488"/>
      <c r="E173" s="3488"/>
      <c r="F173" s="3472">
        <v>0.05</v>
      </c>
      <c r="G173" s="3484"/>
    </row>
    <row r="174" spans="1:7">
      <c r="A174" s="3482" t="s">
        <v>1153</v>
      </c>
      <c r="B174" s="3471" t="s">
        <v>3057</v>
      </c>
      <c r="C174" s="3488"/>
      <c r="D174" s="3488"/>
      <c r="E174" s="3488"/>
      <c r="F174" s="3472">
        <v>0.05</v>
      </c>
      <c r="G174" s="3484"/>
    </row>
    <row r="175" spans="1:7">
      <c r="A175" s="3482" t="s">
        <v>1153</v>
      </c>
      <c r="B175" s="3471" t="s">
        <v>3058</v>
      </c>
      <c r="C175" s="3488"/>
      <c r="D175" s="3488"/>
      <c r="E175" s="3488"/>
      <c r="F175" s="3472">
        <v>0.05</v>
      </c>
      <c r="G175" s="3484"/>
    </row>
    <row r="176" spans="1:7">
      <c r="A176" s="3482" t="s">
        <v>1153</v>
      </c>
      <c r="B176" s="3471" t="s">
        <v>3059</v>
      </c>
      <c r="C176" s="3488"/>
      <c r="D176" s="3488"/>
      <c r="E176" s="3488"/>
      <c r="F176" s="3472">
        <v>0.05</v>
      </c>
      <c r="G176" s="3484"/>
    </row>
    <row r="177" spans="1:7">
      <c r="A177" s="3482" t="s">
        <v>1153</v>
      </c>
      <c r="B177" s="3471" t="s">
        <v>3060</v>
      </c>
      <c r="C177" s="3483"/>
      <c r="D177" s="3483"/>
      <c r="E177" s="3483"/>
      <c r="F177" s="3472">
        <v>0.05</v>
      </c>
      <c r="G177" s="3489"/>
    </row>
    <row r="178" spans="1:7">
      <c r="A178" s="3482" t="s">
        <v>1153</v>
      </c>
      <c r="B178" s="3471" t="s">
        <v>3061</v>
      </c>
      <c r="C178" s="3483"/>
      <c r="D178" s="3483"/>
      <c r="E178" s="3483"/>
      <c r="F178" s="3472">
        <v>0.05</v>
      </c>
      <c r="G178" s="3489"/>
    </row>
    <row r="179" spans="1:7">
      <c r="A179" s="3482" t="s">
        <v>1153</v>
      </c>
      <c r="B179" s="3471" t="s">
        <v>3062</v>
      </c>
      <c r="C179" s="3483"/>
      <c r="D179" s="3483"/>
      <c r="E179" s="3483"/>
      <c r="F179" s="3472">
        <v>0.05</v>
      </c>
      <c r="G179" s="3489"/>
    </row>
    <row r="180" spans="1:7">
      <c r="A180" s="3482" t="s">
        <v>1153</v>
      </c>
      <c r="B180" s="3471" t="s">
        <v>3063</v>
      </c>
      <c r="C180" s="3483"/>
      <c r="D180" s="3483"/>
      <c r="E180" s="3483"/>
      <c r="F180" s="3472">
        <v>0.05</v>
      </c>
      <c r="G180" s="3489"/>
    </row>
    <row r="181" spans="1:7">
      <c r="A181" s="3482" t="s">
        <v>1153</v>
      </c>
      <c r="B181" s="3471" t="s">
        <v>3064</v>
      </c>
      <c r="C181" s="3483"/>
      <c r="D181" s="3483"/>
      <c r="E181" s="3483"/>
      <c r="F181" s="3472">
        <v>0.05</v>
      </c>
      <c r="G181" s="3489"/>
    </row>
    <row r="182" spans="1:7">
      <c r="A182" s="3482" t="s">
        <v>1153</v>
      </c>
      <c r="B182" s="3471" t="s">
        <v>3065</v>
      </c>
      <c r="C182" s="3483"/>
      <c r="D182" s="3483"/>
      <c r="E182" s="3483"/>
      <c r="F182" s="3472">
        <v>0.05</v>
      </c>
      <c r="G182" s="3489"/>
    </row>
    <row r="183" spans="1:7">
      <c r="A183" s="3482" t="s">
        <v>1153</v>
      </c>
      <c r="B183" s="3471" t="s">
        <v>3066</v>
      </c>
      <c r="C183" s="3483"/>
      <c r="D183" s="3483"/>
      <c r="E183" s="3483"/>
      <c r="F183" s="3472">
        <v>0.05</v>
      </c>
      <c r="G183" s="3489"/>
    </row>
    <row r="184" spans="1:7">
      <c r="A184" s="3482" t="s">
        <v>1153</v>
      </c>
      <c r="B184" s="3471" t="s">
        <v>3067</v>
      </c>
      <c r="C184" s="3483"/>
      <c r="D184" s="3483"/>
      <c r="E184" s="3483"/>
      <c r="F184" s="3472">
        <v>0.05</v>
      </c>
      <c r="G184" s="3489"/>
    </row>
    <row r="185" spans="1:7">
      <c r="A185" s="3482" t="s">
        <v>1153</v>
      </c>
      <c r="B185" s="3471" t="s">
        <v>3068</v>
      </c>
      <c r="C185" s="3483"/>
      <c r="D185" s="3483"/>
      <c r="E185" s="3483"/>
      <c r="F185" s="3472">
        <v>0.05</v>
      </c>
      <c r="G185" s="3489"/>
    </row>
    <row r="186" spans="1:7">
      <c r="A186" s="3482" t="s">
        <v>1153</v>
      </c>
      <c r="B186" s="3471" t="s">
        <v>3069</v>
      </c>
      <c r="C186" s="3483"/>
      <c r="D186" s="3483"/>
      <c r="E186" s="3483"/>
      <c r="F186" s="3472">
        <v>0.05</v>
      </c>
      <c r="G186" s="3489"/>
    </row>
    <row r="187" spans="1:7">
      <c r="A187" s="3482" t="s">
        <v>1153</v>
      </c>
      <c r="B187" s="3471" t="s">
        <v>3070</v>
      </c>
      <c r="C187" s="3483"/>
      <c r="D187" s="3483"/>
      <c r="E187" s="3483"/>
      <c r="F187" s="3472">
        <v>0.05</v>
      </c>
      <c r="G187" s="3489"/>
    </row>
    <row r="188" spans="1:7">
      <c r="A188" s="3482" t="s">
        <v>1153</v>
      </c>
      <c r="B188" s="3471" t="s">
        <v>3071</v>
      </c>
      <c r="C188" s="3483"/>
      <c r="D188" s="3483"/>
      <c r="E188" s="3483"/>
      <c r="F188" s="3472">
        <v>0.05</v>
      </c>
      <c r="G188" s="3489"/>
    </row>
    <row r="189" spans="1:7" ht="14.25" thickBot="1">
      <c r="A189" s="3485" t="s">
        <v>1153</v>
      </c>
      <c r="B189" s="3475" t="s">
        <v>3072</v>
      </c>
      <c r="C189" s="3477"/>
      <c r="D189" s="3477"/>
      <c r="E189" s="3477"/>
      <c r="F189" s="3476">
        <v>0.05</v>
      </c>
      <c r="G189" s="3490"/>
    </row>
    <row r="190" spans="1:7">
      <c r="A190" s="3481" t="s">
        <v>1154</v>
      </c>
      <c r="B190" s="3467" t="s">
        <v>3073</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3074</v>
      </c>
      <c r="C199" s="3472">
        <v>0.13</v>
      </c>
      <c r="D199" s="3472">
        <v>0.13</v>
      </c>
      <c r="E199" s="3472">
        <v>0.13</v>
      </c>
      <c r="F199" s="3472">
        <v>0.13</v>
      </c>
      <c r="G199" s="3473">
        <v>0.13</v>
      </c>
    </row>
    <row r="200" spans="1:7">
      <c r="A200" s="3482" t="s">
        <v>1154</v>
      </c>
      <c r="B200" s="3471" t="s">
        <v>2889</v>
      </c>
      <c r="C200" s="3488"/>
      <c r="D200" s="3488"/>
      <c r="E200" s="3488"/>
      <c r="F200" s="3472">
        <v>0.13</v>
      </c>
      <c r="G200" s="3484"/>
    </row>
    <row r="201" spans="1:7">
      <c r="A201" s="3482" t="s">
        <v>1154</v>
      </c>
      <c r="B201" s="3471" t="s">
        <v>3075</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3076</v>
      </c>
      <c r="C203" s="3472">
        <v>0.129</v>
      </c>
      <c r="D203" s="3472">
        <v>0.129</v>
      </c>
      <c r="E203" s="3472">
        <v>0.13</v>
      </c>
      <c r="F203" s="3472">
        <v>0.13</v>
      </c>
      <c r="G203" s="3473">
        <v>0.13</v>
      </c>
    </row>
    <row r="204" spans="1:7">
      <c r="A204" s="3482" t="s">
        <v>1154</v>
      </c>
      <c r="B204" s="3471" t="s">
        <v>2892</v>
      </c>
      <c r="C204" s="3472">
        <v>0.129</v>
      </c>
      <c r="D204" s="3472">
        <v>0.129</v>
      </c>
      <c r="E204" s="3472">
        <v>0.123</v>
      </c>
      <c r="F204" s="3472">
        <v>0.13</v>
      </c>
      <c r="G204" s="3473">
        <v>0.13</v>
      </c>
    </row>
    <row r="205" spans="1:7">
      <c r="A205" s="3482" t="s">
        <v>1154</v>
      </c>
      <c r="B205" s="3471" t="s">
        <v>2893</v>
      </c>
      <c r="C205" s="3472">
        <v>0.13</v>
      </c>
      <c r="D205" s="3472">
        <v>0.13</v>
      </c>
      <c r="E205" s="3472">
        <v>0.13</v>
      </c>
      <c r="F205" s="3472">
        <v>0.13</v>
      </c>
      <c r="G205" s="3473">
        <v>0.13</v>
      </c>
    </row>
    <row r="206" spans="1:7">
      <c r="A206" s="3482" t="s">
        <v>1154</v>
      </c>
      <c r="B206" s="3471" t="s">
        <v>2894</v>
      </c>
      <c r="C206" s="3472">
        <v>0.13</v>
      </c>
      <c r="D206" s="3472">
        <v>0.13</v>
      </c>
      <c r="E206" s="3472">
        <v>0.13</v>
      </c>
      <c r="F206" s="3472">
        <v>0.128</v>
      </c>
      <c r="G206" s="3473">
        <v>0.13</v>
      </c>
    </row>
    <row r="207" spans="1:7">
      <c r="A207" s="3482" t="s">
        <v>1154</v>
      </c>
      <c r="B207" s="3471" t="s">
        <v>2895</v>
      </c>
      <c r="C207" s="3472">
        <v>0.13</v>
      </c>
      <c r="D207" s="3472">
        <v>0.13</v>
      </c>
      <c r="E207" s="3472">
        <v>0.13</v>
      </c>
      <c r="F207" s="3472">
        <v>0.13</v>
      </c>
      <c r="G207" s="3473">
        <v>0.13</v>
      </c>
    </row>
    <row r="208" spans="1:7">
      <c r="A208" s="3482" t="s">
        <v>1154</v>
      </c>
      <c r="B208" s="3471" t="s">
        <v>3077</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2897</v>
      </c>
      <c r="C210" s="3472">
        <v>0.121</v>
      </c>
      <c r="D210" s="3472">
        <v>0.121</v>
      </c>
      <c r="E210" s="3472">
        <v>0.125</v>
      </c>
      <c r="F210" s="3472">
        <v>0.13</v>
      </c>
      <c r="G210" s="3473">
        <v>0.123</v>
      </c>
    </row>
    <row r="211" spans="1:7">
      <c r="A211" s="3482" t="s">
        <v>1154</v>
      </c>
      <c r="B211" s="3471" t="s">
        <v>3078</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3079</v>
      </c>
      <c r="C214" s="3472">
        <v>0.128</v>
      </c>
      <c r="D214" s="3472">
        <v>0.128</v>
      </c>
      <c r="E214" s="3472">
        <v>0.13</v>
      </c>
      <c r="F214" s="3472">
        <v>0.13</v>
      </c>
      <c r="G214" s="3473">
        <v>0.13</v>
      </c>
    </row>
    <row r="215" spans="1:7">
      <c r="A215" s="3482" t="s">
        <v>1154</v>
      </c>
      <c r="B215" s="3471" t="s">
        <v>3080</v>
      </c>
      <c r="C215" s="3472">
        <v>0.13</v>
      </c>
      <c r="D215" s="3472">
        <v>0.13</v>
      </c>
      <c r="E215" s="3472">
        <v>0.13</v>
      </c>
      <c r="F215" s="3472">
        <v>0.129</v>
      </c>
      <c r="G215" s="3473">
        <v>0.13</v>
      </c>
    </row>
    <row r="216" spans="1:7">
      <c r="A216" s="3482" t="s">
        <v>1154</v>
      </c>
      <c r="B216" s="3471" t="s">
        <v>3081</v>
      </c>
      <c r="C216" s="3472">
        <v>0.13</v>
      </c>
      <c r="D216" s="3472">
        <v>0.13</v>
      </c>
      <c r="E216" s="3472">
        <v>0.13</v>
      </c>
      <c r="F216" s="3472">
        <v>0.13</v>
      </c>
      <c r="G216" s="3473">
        <v>0.13</v>
      </c>
    </row>
    <row r="217" spans="1:7">
      <c r="A217" s="3482" t="s">
        <v>1154</v>
      </c>
      <c r="B217" s="3471" t="s">
        <v>2901</v>
      </c>
      <c r="C217" s="3472">
        <v>0.129</v>
      </c>
      <c r="D217" s="3472">
        <v>0.129</v>
      </c>
      <c r="E217" s="3472">
        <v>0.13</v>
      </c>
      <c r="F217" s="3472">
        <v>0.13</v>
      </c>
      <c r="G217" s="3473">
        <v>0.13</v>
      </c>
    </row>
    <row r="218" spans="1:7">
      <c r="A218" s="3482" t="s">
        <v>1154</v>
      </c>
      <c r="B218" s="3471" t="s">
        <v>3082</v>
      </c>
      <c r="C218" s="3483"/>
      <c r="D218" s="3483"/>
      <c r="E218" s="3483"/>
      <c r="F218" s="3472">
        <v>0.05</v>
      </c>
      <c r="G218" s="3489"/>
    </row>
    <row r="219" spans="1:7">
      <c r="A219" s="3482" t="s">
        <v>1154</v>
      </c>
      <c r="B219" s="3471" t="s">
        <v>3083</v>
      </c>
      <c r="C219" s="3483"/>
      <c r="D219" s="3483"/>
      <c r="E219" s="3483"/>
      <c r="F219" s="3472">
        <v>0.05</v>
      </c>
      <c r="G219" s="3489"/>
    </row>
    <row r="220" spans="1:7">
      <c r="A220" s="3482" t="s">
        <v>1154</v>
      </c>
      <c r="B220" s="3471" t="s">
        <v>3084</v>
      </c>
      <c r="C220" s="3483"/>
      <c r="D220" s="3483"/>
      <c r="E220" s="3483"/>
      <c r="F220" s="3472">
        <v>0.05</v>
      </c>
      <c r="G220" s="3489"/>
    </row>
    <row r="221" spans="1:7">
      <c r="A221" s="3482" t="s">
        <v>1154</v>
      </c>
      <c r="B221" s="3471" t="s">
        <v>3085</v>
      </c>
      <c r="C221" s="3483"/>
      <c r="D221" s="3483"/>
      <c r="E221" s="3483"/>
      <c r="F221" s="3472">
        <v>0.05</v>
      </c>
      <c r="G221" s="3489"/>
    </row>
    <row r="222" spans="1:7">
      <c r="A222" s="3482" t="s">
        <v>1154</v>
      </c>
      <c r="B222" s="3471" t="s">
        <v>3086</v>
      </c>
      <c r="C222" s="3483"/>
      <c r="D222" s="3483"/>
      <c r="E222" s="3483"/>
      <c r="F222" s="3472">
        <v>0.05</v>
      </c>
      <c r="G222" s="3489"/>
    </row>
    <row r="223" spans="1:7">
      <c r="A223" s="3482" t="s">
        <v>1154</v>
      </c>
      <c r="B223" s="3471" t="s">
        <v>3087</v>
      </c>
      <c r="C223" s="3483"/>
      <c r="D223" s="3483"/>
      <c r="E223" s="3483"/>
      <c r="F223" s="3472">
        <v>0.05</v>
      </c>
      <c r="G223" s="3489"/>
    </row>
    <row r="224" spans="1:7">
      <c r="A224" s="3482" t="s">
        <v>1154</v>
      </c>
      <c r="B224" s="3471" t="s">
        <v>3088</v>
      </c>
      <c r="C224" s="3483"/>
      <c r="D224" s="3483"/>
      <c r="E224" s="3483"/>
      <c r="F224" s="3472">
        <v>0.05</v>
      </c>
      <c r="G224" s="3489"/>
    </row>
    <row r="225" spans="1:7">
      <c r="A225" s="3482" t="s">
        <v>1154</v>
      </c>
      <c r="B225" s="3471" t="s">
        <v>3089</v>
      </c>
      <c r="C225" s="3483"/>
      <c r="D225" s="3483"/>
      <c r="E225" s="3483"/>
      <c r="F225" s="3472">
        <v>0.05</v>
      </c>
      <c r="G225" s="3489"/>
    </row>
    <row r="226" spans="1:7">
      <c r="A226" s="3482" t="s">
        <v>1154</v>
      </c>
      <c r="B226" s="3471" t="s">
        <v>3090</v>
      </c>
      <c r="C226" s="3483"/>
      <c r="D226" s="3483"/>
      <c r="E226" s="3483"/>
      <c r="F226" s="3472">
        <v>0.05</v>
      </c>
      <c r="G226" s="3489"/>
    </row>
    <row r="227" spans="1:7">
      <c r="A227" s="3482" t="s">
        <v>1154</v>
      </c>
      <c r="B227" s="3471" t="s">
        <v>3091</v>
      </c>
      <c r="C227" s="3483"/>
      <c r="D227" s="3483"/>
      <c r="E227" s="3483"/>
      <c r="F227" s="3472">
        <v>0.05</v>
      </c>
      <c r="G227" s="3489"/>
    </row>
    <row r="228" spans="1:7">
      <c r="A228" s="3482" t="s">
        <v>1154</v>
      </c>
      <c r="B228" s="3471" t="s">
        <v>3092</v>
      </c>
      <c r="C228" s="3483"/>
      <c r="D228" s="3483"/>
      <c r="E228" s="3483"/>
      <c r="F228" s="3472">
        <v>0.05</v>
      </c>
      <c r="G228" s="3489"/>
    </row>
    <row r="229" spans="1:7">
      <c r="A229" s="3482" t="s">
        <v>1154</v>
      </c>
      <c r="B229" s="3471" t="s">
        <v>3093</v>
      </c>
      <c r="C229" s="3483"/>
      <c r="D229" s="3483"/>
      <c r="E229" s="3483"/>
      <c r="F229" s="3472">
        <v>0.05</v>
      </c>
      <c r="G229" s="3489"/>
    </row>
    <row r="230" spans="1:7">
      <c r="A230" s="3482" t="s">
        <v>1154</v>
      </c>
      <c r="B230" s="3471" t="s">
        <v>3094</v>
      </c>
      <c r="C230" s="3483"/>
      <c r="D230" s="3483"/>
      <c r="E230" s="3483"/>
      <c r="F230" s="3472">
        <v>0.05</v>
      </c>
      <c r="G230" s="3489"/>
    </row>
    <row r="231" spans="1:7">
      <c r="A231" s="3482" t="s">
        <v>1154</v>
      </c>
      <c r="B231" s="3471" t="s">
        <v>3095</v>
      </c>
      <c r="C231" s="3483"/>
      <c r="D231" s="3483"/>
      <c r="E231" s="3483"/>
      <c r="F231" s="3472">
        <v>0.05</v>
      </c>
      <c r="G231" s="3489"/>
    </row>
    <row r="232" spans="1:7">
      <c r="A232" s="3482" t="s">
        <v>1154</v>
      </c>
      <c r="B232" s="3471" t="s">
        <v>3096</v>
      </c>
      <c r="C232" s="3483"/>
      <c r="D232" s="3483"/>
      <c r="E232" s="3483"/>
      <c r="F232" s="3472">
        <v>0.05</v>
      </c>
      <c r="G232" s="3489"/>
    </row>
    <row r="233" spans="1:7" ht="14.25" thickBot="1">
      <c r="A233" s="3485" t="s">
        <v>1154</v>
      </c>
      <c r="B233" s="3475" t="s">
        <v>3097</v>
      </c>
      <c r="C233" s="3477"/>
      <c r="D233" s="3477"/>
      <c r="E233" s="3477"/>
      <c r="F233" s="3476">
        <v>0.05</v>
      </c>
      <c r="G233" s="3490"/>
    </row>
    <row r="234" spans="1:7">
      <c r="A234" s="3481" t="s">
        <v>1155</v>
      </c>
      <c r="B234" s="3467" t="s">
        <v>3098</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2919</v>
      </c>
      <c r="C238" s="3472">
        <v>0.14899999999999999</v>
      </c>
      <c r="D238" s="3472">
        <v>0.14899999999999999</v>
      </c>
      <c r="E238" s="3472">
        <v>0.15</v>
      </c>
      <c r="F238" s="3472">
        <v>0.15</v>
      </c>
      <c r="G238" s="3473">
        <v>0.15</v>
      </c>
    </row>
    <row r="239" spans="1:7">
      <c r="A239" s="3482" t="s">
        <v>1155</v>
      </c>
      <c r="B239" s="3471" t="s">
        <v>3099</v>
      </c>
      <c r="C239" s="3472">
        <v>0.15</v>
      </c>
      <c r="D239" s="3472">
        <v>0.15</v>
      </c>
      <c r="E239" s="3472">
        <v>0.15</v>
      </c>
      <c r="F239" s="3472">
        <v>0.15</v>
      </c>
      <c r="G239" s="3473">
        <v>0.15</v>
      </c>
    </row>
    <row r="240" spans="1:7">
      <c r="A240" s="3482" t="s">
        <v>1155</v>
      </c>
      <c r="B240" s="3471" t="s">
        <v>3100</v>
      </c>
      <c r="C240" s="3472">
        <v>0.15</v>
      </c>
      <c r="D240" s="3472">
        <v>0.15</v>
      </c>
      <c r="E240" s="3472">
        <v>0.15</v>
      </c>
      <c r="F240" s="3472">
        <v>0.15</v>
      </c>
      <c r="G240" s="3473">
        <v>0.15</v>
      </c>
    </row>
    <row r="241" spans="1:7">
      <c r="A241" s="3482" t="s">
        <v>1155</v>
      </c>
      <c r="B241" s="3471" t="s">
        <v>3101</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3102</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3103</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3104</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3105</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3106</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2928</v>
      </c>
      <c r="C258" s="3472">
        <v>0.14299999999999999</v>
      </c>
      <c r="D258" s="3472">
        <v>0.14299999999999999</v>
      </c>
      <c r="E258" s="3472">
        <v>0.15</v>
      </c>
      <c r="F258" s="3472">
        <v>0.14799999999999999</v>
      </c>
      <c r="G258" s="3473">
        <v>0.14599999999999999</v>
      </c>
    </row>
    <row r="259" spans="1:7">
      <c r="A259" s="3482" t="s">
        <v>1155</v>
      </c>
      <c r="B259" s="3471" t="s">
        <v>3107</v>
      </c>
      <c r="C259" s="3472">
        <v>0.14399999999999999</v>
      </c>
      <c r="D259" s="3472">
        <v>0.14399999999999999</v>
      </c>
      <c r="E259" s="3472">
        <v>0.14899999999999999</v>
      </c>
      <c r="F259" s="3472">
        <v>0.14699999999999999</v>
      </c>
      <c r="G259" s="3473">
        <v>0.14599999999999999</v>
      </c>
    </row>
    <row r="260" spans="1:7">
      <c r="A260" s="3482" t="s">
        <v>1155</v>
      </c>
      <c r="B260" s="3471" t="s">
        <v>3108</v>
      </c>
      <c r="C260" s="3472">
        <v>0.109</v>
      </c>
      <c r="D260" s="3472">
        <v>0.111</v>
      </c>
      <c r="E260" s="3472">
        <v>0.13100000000000001</v>
      </c>
      <c r="F260" s="3472">
        <v>0.126</v>
      </c>
      <c r="G260" s="3473">
        <v>0.11899999999999999</v>
      </c>
    </row>
    <row r="261" spans="1:7">
      <c r="A261" s="3482" t="s">
        <v>1155</v>
      </c>
      <c r="B261" s="3471" t="s">
        <v>3109</v>
      </c>
      <c r="C261" s="3472">
        <v>0.1</v>
      </c>
      <c r="D261" s="3472">
        <v>0.1</v>
      </c>
      <c r="E261" s="3472">
        <v>0.11799999999999999</v>
      </c>
      <c r="F261" s="3472">
        <v>0.108</v>
      </c>
      <c r="G261" s="3473">
        <v>0.107</v>
      </c>
    </row>
    <row r="262" spans="1:7">
      <c r="A262" s="3482" t="s">
        <v>1155</v>
      </c>
      <c r="B262" s="3471" t="s">
        <v>3110</v>
      </c>
      <c r="C262" s="3472">
        <v>0.1</v>
      </c>
      <c r="D262" s="3472">
        <v>0.1</v>
      </c>
      <c r="E262" s="3472">
        <v>0.1</v>
      </c>
      <c r="F262" s="3472">
        <v>0.14099999999999999</v>
      </c>
      <c r="G262" s="3473">
        <v>0.1</v>
      </c>
    </row>
    <row r="263" spans="1:7">
      <c r="A263" s="3482" t="s">
        <v>1155</v>
      </c>
      <c r="B263" s="3471" t="s">
        <v>3111</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3112</v>
      </c>
      <c r="C265" s="3483"/>
      <c r="D265" s="3483"/>
      <c r="E265" s="3483"/>
      <c r="F265" s="3472">
        <v>0.05</v>
      </c>
      <c r="G265" s="3489"/>
    </row>
    <row r="266" spans="1:7">
      <c r="A266" s="3482" t="s">
        <v>1155</v>
      </c>
      <c r="B266" s="3471" t="s">
        <v>3113</v>
      </c>
      <c r="C266" s="3483"/>
      <c r="D266" s="3483"/>
      <c r="E266" s="3483"/>
      <c r="F266" s="3472">
        <v>0.05</v>
      </c>
      <c r="G266" s="3489"/>
    </row>
    <row r="267" spans="1:7">
      <c r="A267" s="3482" t="s">
        <v>1155</v>
      </c>
      <c r="B267" s="3471" t="s">
        <v>3114</v>
      </c>
      <c r="C267" s="3483"/>
      <c r="D267" s="3483"/>
      <c r="E267" s="3483"/>
      <c r="F267" s="3472">
        <v>0.05</v>
      </c>
      <c r="G267" s="3489"/>
    </row>
    <row r="268" spans="1:7">
      <c r="A268" s="3482" t="s">
        <v>1155</v>
      </c>
      <c r="B268" s="3471" t="s">
        <v>3115</v>
      </c>
      <c r="C268" s="3483"/>
      <c r="D268" s="3483"/>
      <c r="E268" s="3483"/>
      <c r="F268" s="3472">
        <v>0.05</v>
      </c>
      <c r="G268" s="3489"/>
    </row>
    <row r="269" spans="1:7">
      <c r="A269" s="3482" t="s">
        <v>1155</v>
      </c>
      <c r="B269" s="3471" t="s">
        <v>3116</v>
      </c>
      <c r="C269" s="3483"/>
      <c r="D269" s="3483"/>
      <c r="E269" s="3483"/>
      <c r="F269" s="3472">
        <v>0.05</v>
      </c>
      <c r="G269" s="3489"/>
    </row>
    <row r="270" spans="1:7">
      <c r="A270" s="3482" t="s">
        <v>1155</v>
      </c>
      <c r="B270" s="3471" t="s">
        <v>3117</v>
      </c>
      <c r="C270" s="3483"/>
      <c r="D270" s="3483"/>
      <c r="E270" s="3483"/>
      <c r="F270" s="3472">
        <v>0.05</v>
      </c>
      <c r="G270" s="3489"/>
    </row>
    <row r="271" spans="1:7">
      <c r="A271" s="3482" t="s">
        <v>1155</v>
      </c>
      <c r="B271" s="3471" t="s">
        <v>3118</v>
      </c>
      <c r="C271" s="3483"/>
      <c r="D271" s="3483"/>
      <c r="E271" s="3483"/>
      <c r="F271" s="3472">
        <v>0.05</v>
      </c>
      <c r="G271" s="3489"/>
    </row>
    <row r="272" spans="1:7">
      <c r="A272" s="3482" t="s">
        <v>1155</v>
      </c>
      <c r="B272" s="3471" t="s">
        <v>3119</v>
      </c>
      <c r="C272" s="3483"/>
      <c r="D272" s="3483"/>
      <c r="E272" s="3483"/>
      <c r="F272" s="3472">
        <v>0.05</v>
      </c>
      <c r="G272" s="3489"/>
    </row>
    <row r="273" spans="1:7">
      <c r="A273" s="3482" t="s">
        <v>1155</v>
      </c>
      <c r="B273" s="3471" t="s">
        <v>3120</v>
      </c>
      <c r="C273" s="3483"/>
      <c r="D273" s="3483"/>
      <c r="E273" s="3483"/>
      <c r="F273" s="3472">
        <v>0.05</v>
      </c>
      <c r="G273" s="3489"/>
    </row>
    <row r="274" spans="1:7">
      <c r="A274" s="3482" t="s">
        <v>1155</v>
      </c>
      <c r="B274" s="3471" t="s">
        <v>3121</v>
      </c>
      <c r="C274" s="3483"/>
      <c r="D274" s="3483"/>
      <c r="E274" s="3483"/>
      <c r="F274" s="3472">
        <v>0.05</v>
      </c>
      <c r="G274" s="3489"/>
    </row>
    <row r="275" spans="1:7">
      <c r="A275" s="3482" t="s">
        <v>1155</v>
      </c>
      <c r="B275" s="3471" t="s">
        <v>3122</v>
      </c>
      <c r="C275" s="3483"/>
      <c r="D275" s="3483"/>
      <c r="E275" s="3483"/>
      <c r="F275" s="3472">
        <v>0.05</v>
      </c>
      <c r="G275" s="3489"/>
    </row>
    <row r="276" spans="1:7" ht="14.25" thickBot="1">
      <c r="A276" s="3485" t="s">
        <v>1155</v>
      </c>
      <c r="B276" s="3475" t="s">
        <v>3123</v>
      </c>
      <c r="C276" s="3477"/>
      <c r="D276" s="3477"/>
      <c r="E276" s="3477"/>
      <c r="F276" s="3476">
        <v>0.05</v>
      </c>
      <c r="G276" s="3490"/>
    </row>
    <row r="277" spans="1:7">
      <c r="A277" s="3481" t="s">
        <v>1156</v>
      </c>
      <c r="B277" s="3467" t="s">
        <v>3124</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3125</v>
      </c>
      <c r="C279" s="3472">
        <v>0.15</v>
      </c>
      <c r="D279" s="3472">
        <v>0.15</v>
      </c>
      <c r="E279" s="3472">
        <v>0.15</v>
      </c>
      <c r="F279" s="3472">
        <v>0.15</v>
      </c>
      <c r="G279" s="3473">
        <v>0.15</v>
      </c>
    </row>
    <row r="280" spans="1:7">
      <c r="A280" s="3482" t="s">
        <v>1156</v>
      </c>
      <c r="B280" s="3471" t="s">
        <v>3126</v>
      </c>
      <c r="C280" s="3472">
        <v>0.15</v>
      </c>
      <c r="D280" s="3472">
        <v>0.15</v>
      </c>
      <c r="E280" s="3472">
        <v>0.15</v>
      </c>
      <c r="F280" s="3472">
        <v>0.15</v>
      </c>
      <c r="G280" s="3473">
        <v>0.15</v>
      </c>
    </row>
    <row r="281" spans="1:7">
      <c r="A281" s="3482" t="s">
        <v>1156</v>
      </c>
      <c r="B281" s="3471" t="s">
        <v>3127</v>
      </c>
      <c r="C281" s="3472">
        <v>0.15</v>
      </c>
      <c r="D281" s="3472">
        <v>0.15</v>
      </c>
      <c r="E281" s="3472">
        <v>0.15</v>
      </c>
      <c r="F281" s="3472">
        <v>0.15</v>
      </c>
      <c r="G281" s="3473">
        <v>0.15</v>
      </c>
    </row>
    <row r="282" spans="1:7">
      <c r="A282" s="3482" t="s">
        <v>1156</v>
      </c>
      <c r="B282" s="3471" t="s">
        <v>3128</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3129</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3130</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2953</v>
      </c>
      <c r="C293" s="3472">
        <v>0.15</v>
      </c>
      <c r="D293" s="3472">
        <v>0.15</v>
      </c>
      <c r="E293" s="3472">
        <v>0.15</v>
      </c>
      <c r="F293" s="3472">
        <v>0.14499999999999999</v>
      </c>
      <c r="G293" s="3473">
        <v>0.15</v>
      </c>
    </row>
    <row r="294" spans="1:7">
      <c r="A294" s="3482" t="s">
        <v>1156</v>
      </c>
      <c r="B294" s="3471" t="s">
        <v>3131</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2955</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3132</v>
      </c>
      <c r="C302" s="3472">
        <v>0.15</v>
      </c>
      <c r="D302" s="3472">
        <v>0.15</v>
      </c>
      <c r="E302" s="3472">
        <v>0.15</v>
      </c>
      <c r="F302" s="3472">
        <v>0.14699999999999999</v>
      </c>
      <c r="G302" s="3473">
        <v>0.15</v>
      </c>
    </row>
    <row r="303" spans="1:7">
      <c r="A303" s="3482" t="s">
        <v>1156</v>
      </c>
      <c r="B303" s="3471" t="s">
        <v>2957</v>
      </c>
      <c r="C303" s="3472">
        <v>0.15</v>
      </c>
      <c r="D303" s="3472">
        <v>0.15</v>
      </c>
      <c r="E303" s="3472">
        <v>0.15</v>
      </c>
      <c r="F303" s="3472">
        <v>0.14199999999999999</v>
      </c>
      <c r="G303" s="3473">
        <v>0.15</v>
      </c>
    </row>
    <row r="304" spans="1:7">
      <c r="A304" s="3482" t="s">
        <v>1156</v>
      </c>
      <c r="B304" s="3471" t="s">
        <v>2958</v>
      </c>
      <c r="C304" s="3472">
        <v>0.15</v>
      </c>
      <c r="D304" s="3472">
        <v>0.15</v>
      </c>
      <c r="E304" s="3472">
        <v>0.15</v>
      </c>
      <c r="F304" s="3472">
        <v>0.14499999999999999</v>
      </c>
      <c r="G304" s="3473">
        <v>0.15</v>
      </c>
    </row>
    <row r="305" spans="1:7">
      <c r="A305" s="3482" t="s">
        <v>1156</v>
      </c>
      <c r="B305" s="3471" t="s">
        <v>2959</v>
      </c>
      <c r="C305" s="3472">
        <v>0.15</v>
      </c>
      <c r="D305" s="3472">
        <v>0.15</v>
      </c>
      <c r="E305" s="3472">
        <v>0.15</v>
      </c>
      <c r="F305" s="3472">
        <v>0.111</v>
      </c>
      <c r="G305" s="3473">
        <v>0.15</v>
      </c>
    </row>
    <row r="306" spans="1:7">
      <c r="A306" s="3482" t="s">
        <v>1156</v>
      </c>
      <c r="B306" s="3471" t="s">
        <v>3133</v>
      </c>
      <c r="C306" s="3472">
        <v>0.15</v>
      </c>
      <c r="D306" s="3472">
        <v>0.15</v>
      </c>
      <c r="E306" s="3472">
        <v>0.15</v>
      </c>
      <c r="F306" s="3472">
        <v>0.126</v>
      </c>
      <c r="G306" s="3473">
        <v>0.15</v>
      </c>
    </row>
    <row r="307" spans="1:7">
      <c r="A307" s="3482" t="s">
        <v>1156</v>
      </c>
      <c r="B307" s="3471" t="s">
        <v>2961</v>
      </c>
      <c r="C307" s="3472">
        <v>0.15</v>
      </c>
      <c r="D307" s="3472">
        <v>0.15</v>
      </c>
      <c r="E307" s="3472">
        <v>0.15</v>
      </c>
      <c r="F307" s="3472">
        <v>0.12</v>
      </c>
      <c r="G307" s="3473">
        <v>0.15</v>
      </c>
    </row>
    <row r="308" spans="1:7">
      <c r="A308" s="3482" t="s">
        <v>1156</v>
      </c>
      <c r="B308" s="3471" t="s">
        <v>3134</v>
      </c>
      <c r="C308" s="3472">
        <v>0.15</v>
      </c>
      <c r="D308" s="3472">
        <v>0.15</v>
      </c>
      <c r="E308" s="3472">
        <v>0.15</v>
      </c>
      <c r="F308" s="3472">
        <v>0.13</v>
      </c>
      <c r="G308" s="3473">
        <v>0.15</v>
      </c>
    </row>
    <row r="309" spans="1:7">
      <c r="A309" s="3482" t="s">
        <v>1156</v>
      </c>
      <c r="B309" s="3471" t="s">
        <v>3135</v>
      </c>
      <c r="C309" s="3472">
        <v>0.15</v>
      </c>
      <c r="D309" s="3472">
        <v>0.15</v>
      </c>
      <c r="E309" s="3472">
        <v>0.15</v>
      </c>
      <c r="F309" s="3472">
        <v>0.14099999999999999</v>
      </c>
      <c r="G309" s="3473">
        <v>0.15</v>
      </c>
    </row>
    <row r="310" spans="1:7">
      <c r="A310" s="3482" t="s">
        <v>1156</v>
      </c>
      <c r="B310" s="3471" t="s">
        <v>2964</v>
      </c>
      <c r="C310" s="3472">
        <v>0.15</v>
      </c>
      <c r="D310" s="3472">
        <v>0.15</v>
      </c>
      <c r="E310" s="3472">
        <v>0.15</v>
      </c>
      <c r="F310" s="3472">
        <v>0.15</v>
      </c>
      <c r="G310" s="3473">
        <v>0.15</v>
      </c>
    </row>
    <row r="311" spans="1:7">
      <c r="A311" s="3482" t="s">
        <v>1156</v>
      </c>
      <c r="B311" s="3471" t="s">
        <v>3136</v>
      </c>
      <c r="C311" s="3472">
        <v>0.13200000000000001</v>
      </c>
      <c r="D311" s="3472">
        <v>0.13300000000000001</v>
      </c>
      <c r="E311" s="3472">
        <v>0.14499999999999999</v>
      </c>
      <c r="F311" s="3472">
        <v>0.14199999999999999</v>
      </c>
      <c r="G311" s="3473">
        <v>0.14000000000000001</v>
      </c>
    </row>
    <row r="312" spans="1:7">
      <c r="A312" s="3482" t="s">
        <v>1156</v>
      </c>
      <c r="B312" s="3471" t="s">
        <v>2966</v>
      </c>
      <c r="C312" s="3472">
        <v>0.13800000000000001</v>
      </c>
      <c r="D312" s="3472">
        <v>0.14000000000000001</v>
      </c>
      <c r="E312" s="3472">
        <v>0.14599999999999999</v>
      </c>
      <c r="F312" s="3472">
        <v>0.14899999999999999</v>
      </c>
      <c r="G312" s="3473">
        <v>0.14199999999999999</v>
      </c>
    </row>
    <row r="313" spans="1:7">
      <c r="A313" s="3482" t="s">
        <v>1156</v>
      </c>
      <c r="B313" s="3471" t="s">
        <v>2967</v>
      </c>
      <c r="C313" s="3472">
        <v>0.125</v>
      </c>
      <c r="D313" s="3472">
        <v>0.127</v>
      </c>
      <c r="E313" s="3472">
        <v>0.14399999999999999</v>
      </c>
      <c r="F313" s="3472">
        <v>0.115</v>
      </c>
      <c r="G313" s="3473">
        <v>0.13600000000000001</v>
      </c>
    </row>
    <row r="314" spans="1:7">
      <c r="A314" s="3482" t="s">
        <v>1156</v>
      </c>
      <c r="B314" s="3471" t="s">
        <v>3137</v>
      </c>
      <c r="C314" s="3488"/>
      <c r="D314" s="3488"/>
      <c r="E314" s="3488"/>
      <c r="F314" s="3472">
        <v>0.05</v>
      </c>
      <c r="G314" s="3489"/>
    </row>
    <row r="315" spans="1:7">
      <c r="A315" s="3482" t="s">
        <v>1156</v>
      </c>
      <c r="B315" s="3471" t="s">
        <v>3138</v>
      </c>
      <c r="C315" s="3488"/>
      <c r="D315" s="3488"/>
      <c r="E315" s="3488"/>
      <c r="F315" s="3472">
        <v>0.05</v>
      </c>
      <c r="G315" s="3489"/>
    </row>
    <row r="316" spans="1:7">
      <c r="A316" s="3482" t="s">
        <v>1156</v>
      </c>
      <c r="B316" s="3471" t="s">
        <v>3139</v>
      </c>
      <c r="C316" s="3483"/>
      <c r="D316" s="3483"/>
      <c r="E316" s="3483"/>
      <c r="F316" s="3472">
        <v>0.05</v>
      </c>
      <c r="G316" s="3489"/>
    </row>
    <row r="317" spans="1:7">
      <c r="A317" s="3482" t="s">
        <v>1156</v>
      </c>
      <c r="B317" s="3471" t="s">
        <v>3140</v>
      </c>
      <c r="C317" s="3483"/>
      <c r="D317" s="3483"/>
      <c r="E317" s="3483"/>
      <c r="F317" s="3472">
        <v>0.05</v>
      </c>
      <c r="G317" s="3489"/>
    </row>
    <row r="318" spans="1:7">
      <c r="A318" s="3482" t="s">
        <v>1156</v>
      </c>
      <c r="B318" s="3471" t="s">
        <v>3141</v>
      </c>
      <c r="C318" s="3483"/>
      <c r="D318" s="3483"/>
      <c r="E318" s="3483"/>
      <c r="F318" s="3472">
        <v>0.05</v>
      </c>
      <c r="G318" s="3489"/>
    </row>
    <row r="319" spans="1:7">
      <c r="A319" s="3482" t="s">
        <v>1156</v>
      </c>
      <c r="B319" s="3471" t="s">
        <v>3142</v>
      </c>
      <c r="C319" s="3483"/>
      <c r="D319" s="3483"/>
      <c r="E319" s="3483"/>
      <c r="F319" s="3472">
        <v>0.05</v>
      </c>
      <c r="G319" s="3489"/>
    </row>
    <row r="320" spans="1:7">
      <c r="A320" s="3482" t="s">
        <v>1156</v>
      </c>
      <c r="B320" s="3471" t="s">
        <v>3143</v>
      </c>
      <c r="C320" s="3483"/>
      <c r="D320" s="3483"/>
      <c r="E320" s="3483"/>
      <c r="F320" s="3472">
        <v>0.05</v>
      </c>
      <c r="G320" s="3489"/>
    </row>
    <row r="321" spans="1:7">
      <c r="A321" s="3482" t="s">
        <v>1156</v>
      </c>
      <c r="B321" s="3471" t="s">
        <v>3144</v>
      </c>
      <c r="C321" s="3483"/>
      <c r="D321" s="3483"/>
      <c r="E321" s="3483"/>
      <c r="F321" s="3472">
        <v>0.05</v>
      </c>
      <c r="G321" s="3489"/>
    </row>
    <row r="322" spans="1:7">
      <c r="A322" s="3482" t="s">
        <v>1156</v>
      </c>
      <c r="B322" s="3471" t="s">
        <v>3145</v>
      </c>
      <c r="C322" s="3483"/>
      <c r="D322" s="3483"/>
      <c r="E322" s="3483"/>
      <c r="F322" s="3472">
        <v>0.05</v>
      </c>
      <c r="G322" s="3489"/>
    </row>
    <row r="323" spans="1:7">
      <c r="A323" s="3482" t="s">
        <v>1156</v>
      </c>
      <c r="B323" s="3471" t="s">
        <v>3146</v>
      </c>
      <c r="C323" s="3483"/>
      <c r="D323" s="3483"/>
      <c r="E323" s="3483"/>
      <c r="F323" s="3472">
        <v>0.05</v>
      </c>
      <c r="G323" s="3489"/>
    </row>
    <row r="324" spans="1:7">
      <c r="A324" s="3482" t="s">
        <v>1156</v>
      </c>
      <c r="B324" s="3471" t="s">
        <v>3147</v>
      </c>
      <c r="C324" s="3483"/>
      <c r="D324" s="3483"/>
      <c r="E324" s="3483"/>
      <c r="F324" s="3472">
        <v>0.05</v>
      </c>
      <c r="G324" s="3489"/>
    </row>
    <row r="325" spans="1:7">
      <c r="A325" s="3482" t="s">
        <v>1156</v>
      </c>
      <c r="B325" s="3471" t="s">
        <v>3148</v>
      </c>
      <c r="C325" s="3483"/>
      <c r="D325" s="3483"/>
      <c r="E325" s="3483"/>
      <c r="F325" s="3472">
        <v>0.05</v>
      </c>
      <c r="G325" s="3489"/>
    </row>
    <row r="326" spans="1:7" ht="14.25" thickBot="1">
      <c r="A326" s="3485" t="s">
        <v>1156</v>
      </c>
      <c r="B326" s="3475" t="s">
        <v>3149</v>
      </c>
      <c r="C326" s="3477"/>
      <c r="D326" s="3477"/>
      <c r="E326" s="3477"/>
      <c r="F326" s="3476">
        <v>0.05</v>
      </c>
      <c r="G326" s="3490"/>
    </row>
    <row r="327" spans="1:7">
      <c r="A327" s="3481" t="s">
        <v>1157</v>
      </c>
      <c r="B327" s="3467" t="s">
        <v>3150</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3151</v>
      </c>
      <c r="C329" s="3472">
        <v>0.15</v>
      </c>
      <c r="D329" s="3472">
        <v>0.15</v>
      </c>
      <c r="E329" s="3472">
        <v>0.15</v>
      </c>
      <c r="F329" s="3472">
        <v>0.15</v>
      </c>
      <c r="G329" s="3473">
        <v>0.15</v>
      </c>
    </row>
    <row r="330" spans="1:7">
      <c r="A330" s="3482" t="s">
        <v>1157</v>
      </c>
      <c r="B330" s="3471" t="s">
        <v>3152</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2984</v>
      </c>
      <c r="C332" s="3472">
        <v>0.15</v>
      </c>
      <c r="D332" s="3472">
        <v>0.15</v>
      </c>
      <c r="E332" s="3472">
        <v>0.15</v>
      </c>
      <c r="F332" s="3472">
        <v>0.15</v>
      </c>
      <c r="G332" s="3473">
        <v>0.15</v>
      </c>
    </row>
    <row r="333" spans="1:7">
      <c r="A333" s="3482" t="s">
        <v>1157</v>
      </c>
      <c r="B333" s="3471" t="s">
        <v>3153</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2986</v>
      </c>
      <c r="C336" s="3472">
        <v>0.15</v>
      </c>
      <c r="D336" s="3472">
        <v>0.15</v>
      </c>
      <c r="E336" s="3472">
        <v>0.15</v>
      </c>
      <c r="F336" s="3472">
        <v>0.14199999999999999</v>
      </c>
      <c r="G336" s="3473">
        <v>0.15</v>
      </c>
    </row>
    <row r="337" spans="1:7">
      <c r="A337" s="3482" t="s">
        <v>1157</v>
      </c>
      <c r="B337" s="3471" t="s">
        <v>3154</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3155</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3156</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2990</v>
      </c>
      <c r="C345" s="3472">
        <v>0.15</v>
      </c>
      <c r="D345" s="3472">
        <v>0.15</v>
      </c>
      <c r="E345" s="3472">
        <v>0.15</v>
      </c>
      <c r="F345" s="3472">
        <v>0.13800000000000001</v>
      </c>
      <c r="G345" s="3473">
        <v>0.15</v>
      </c>
    </row>
    <row r="346" spans="1:7">
      <c r="A346" s="3482" t="s">
        <v>1157</v>
      </c>
      <c r="B346" s="3471" t="s">
        <v>3157</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2992</v>
      </c>
      <c r="C348" s="3472">
        <v>0.15</v>
      </c>
      <c r="D348" s="3472">
        <v>0.15</v>
      </c>
      <c r="E348" s="3472">
        <v>0.15</v>
      </c>
      <c r="F348" s="3472">
        <v>0.14399999999999999</v>
      </c>
      <c r="G348" s="3473">
        <v>0.15</v>
      </c>
    </row>
    <row r="349" spans="1:7">
      <c r="A349" s="3482" t="s">
        <v>1157</v>
      </c>
      <c r="B349" s="3471" t="s">
        <v>2993</v>
      </c>
      <c r="C349" s="3472">
        <v>0.15</v>
      </c>
      <c r="D349" s="3472">
        <v>0.15</v>
      </c>
      <c r="E349" s="3472">
        <v>0.15</v>
      </c>
      <c r="F349" s="3472">
        <v>0.15</v>
      </c>
      <c r="G349" s="3473">
        <v>0.15</v>
      </c>
    </row>
    <row r="350" spans="1:7">
      <c r="A350" s="3482" t="s">
        <v>1157</v>
      </c>
      <c r="B350" s="3471" t="s">
        <v>3158</v>
      </c>
      <c r="C350" s="3472">
        <v>0.15</v>
      </c>
      <c r="D350" s="3472">
        <v>0.15</v>
      </c>
      <c r="E350" s="3472">
        <v>0.15</v>
      </c>
      <c r="F350" s="3472">
        <v>0.14699999999999999</v>
      </c>
      <c r="G350" s="3473">
        <v>0.15</v>
      </c>
    </row>
    <row r="351" spans="1:7">
      <c r="A351" s="3482" t="s">
        <v>1157</v>
      </c>
      <c r="B351" s="3471" t="s">
        <v>2995</v>
      </c>
      <c r="C351" s="3472">
        <v>0.15</v>
      </c>
      <c r="D351" s="3472">
        <v>0.15</v>
      </c>
      <c r="E351" s="3472">
        <v>0.15</v>
      </c>
      <c r="F351" s="3472">
        <v>0.13</v>
      </c>
      <c r="G351" s="3473">
        <v>0.15</v>
      </c>
    </row>
    <row r="352" spans="1:7">
      <c r="A352" s="3482" t="s">
        <v>1157</v>
      </c>
      <c r="B352" s="3471" t="s">
        <v>2996</v>
      </c>
      <c r="C352" s="3472">
        <v>0.15</v>
      </c>
      <c r="D352" s="3472">
        <v>0.15</v>
      </c>
      <c r="E352" s="3472">
        <v>0.15</v>
      </c>
      <c r="F352" s="3472">
        <v>0.14599999999999999</v>
      </c>
      <c r="G352" s="3473">
        <v>0.15</v>
      </c>
    </row>
    <row r="353" spans="1:7">
      <c r="A353" s="3482" t="s">
        <v>1157</v>
      </c>
      <c r="B353" s="3471" t="s">
        <v>3159</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2998</v>
      </c>
      <c r="C355" s="3472">
        <v>0.15</v>
      </c>
      <c r="D355" s="3472">
        <v>0.15</v>
      </c>
      <c r="E355" s="3472">
        <v>0.15</v>
      </c>
      <c r="F355" s="3472">
        <v>0.15</v>
      </c>
      <c r="G355" s="3473">
        <v>0.15</v>
      </c>
    </row>
    <row r="356" spans="1:7">
      <c r="A356" s="3482" t="s">
        <v>1157</v>
      </c>
      <c r="B356" s="3471" t="s">
        <v>2999</v>
      </c>
      <c r="C356" s="3472">
        <v>0.15</v>
      </c>
      <c r="D356" s="3472">
        <v>0.15</v>
      </c>
      <c r="E356" s="3472">
        <v>0.15</v>
      </c>
      <c r="F356" s="3472">
        <v>0.15</v>
      </c>
      <c r="G356" s="3473">
        <v>0.15</v>
      </c>
    </row>
    <row r="357" spans="1:7" ht="14.25" thickBot="1">
      <c r="A357" s="3485" t="s">
        <v>1157</v>
      </c>
      <c r="B357" s="3475" t="s">
        <v>3160</v>
      </c>
      <c r="C357" s="3476">
        <v>0.126</v>
      </c>
      <c r="D357" s="3476">
        <v>0.127</v>
      </c>
      <c r="E357" s="3476">
        <v>0.14299999999999999</v>
      </c>
      <c r="F357" s="3476">
        <v>0.125</v>
      </c>
      <c r="G357" s="3478">
        <v>0.129</v>
      </c>
    </row>
    <row r="358" spans="1:7">
      <c r="A358" s="3481" t="s">
        <v>3161</v>
      </c>
      <c r="B358" s="3467" t="s">
        <v>3162</v>
      </c>
      <c r="C358" s="3468">
        <v>0.15</v>
      </c>
      <c r="D358" s="3468">
        <v>0.15</v>
      </c>
      <c r="E358" s="3468">
        <v>0.15</v>
      </c>
      <c r="F358" s="3468">
        <v>0.15</v>
      </c>
      <c r="G358" s="3469">
        <v>0.15</v>
      </c>
    </row>
    <row r="359" spans="1:7">
      <c r="A359" s="3482" t="s">
        <v>3161</v>
      </c>
      <c r="B359" s="3471" t="s">
        <v>3163</v>
      </c>
      <c r="C359" s="3472">
        <v>0.1</v>
      </c>
      <c r="D359" s="3472">
        <v>0.1</v>
      </c>
      <c r="E359" s="3472">
        <v>0.1</v>
      </c>
      <c r="F359" s="3472">
        <v>0.1</v>
      </c>
      <c r="G359" s="3473">
        <v>0.1</v>
      </c>
    </row>
    <row r="360" spans="1:7">
      <c r="A360" s="3482" t="s">
        <v>3161</v>
      </c>
      <c r="B360" s="3471" t="s">
        <v>3164</v>
      </c>
      <c r="C360" s="3472">
        <v>0.15</v>
      </c>
      <c r="D360" s="3472">
        <v>0.15</v>
      </c>
      <c r="E360" s="3472">
        <v>0.15</v>
      </c>
      <c r="F360" s="3472">
        <v>0.14899999999999999</v>
      </c>
      <c r="G360" s="3473">
        <v>0.15</v>
      </c>
    </row>
    <row r="361" spans="1:7">
      <c r="A361" s="3482" t="s">
        <v>3161</v>
      </c>
      <c r="B361" s="3471" t="s">
        <v>999</v>
      </c>
      <c r="C361" s="3472">
        <v>0.15</v>
      </c>
      <c r="D361" s="3472">
        <v>0.15</v>
      </c>
      <c r="E361" s="3472">
        <v>0.15</v>
      </c>
      <c r="F361" s="3472">
        <v>0.115</v>
      </c>
      <c r="G361" s="3473">
        <v>0.15</v>
      </c>
    </row>
    <row r="362" spans="1:7">
      <c r="A362" s="3482" t="s">
        <v>3161</v>
      </c>
      <c r="B362" s="3471" t="s">
        <v>3165</v>
      </c>
      <c r="C362" s="3472">
        <v>0.15</v>
      </c>
      <c r="D362" s="3472">
        <v>0.15</v>
      </c>
      <c r="E362" s="3472">
        <v>0.15</v>
      </c>
      <c r="F362" s="3472">
        <v>0.106</v>
      </c>
      <c r="G362" s="3473">
        <v>0.15</v>
      </c>
    </row>
    <row r="363" spans="1:7">
      <c r="A363" s="3482" t="s">
        <v>3161</v>
      </c>
      <c r="B363" s="3471" t="s">
        <v>3005</v>
      </c>
      <c r="C363" s="3472">
        <v>0.15</v>
      </c>
      <c r="D363" s="3472">
        <v>0.15</v>
      </c>
      <c r="E363" s="3472">
        <v>0.15</v>
      </c>
      <c r="F363" s="3472">
        <v>0.14699999999999999</v>
      </c>
      <c r="G363" s="3473">
        <v>0.15</v>
      </c>
    </row>
    <row r="364" spans="1:7">
      <c r="A364" s="3482" t="s">
        <v>3161</v>
      </c>
      <c r="B364" s="3471" t="s">
        <v>3166</v>
      </c>
      <c r="C364" s="3472">
        <v>0.15</v>
      </c>
      <c r="D364" s="3472">
        <v>0.15</v>
      </c>
      <c r="E364" s="3472">
        <v>0.15</v>
      </c>
      <c r="F364" s="3472">
        <v>0.14799999999999999</v>
      </c>
      <c r="G364" s="3473">
        <v>0.15</v>
      </c>
    </row>
    <row r="365" spans="1:7">
      <c r="A365" s="3482" t="s">
        <v>3161</v>
      </c>
      <c r="B365" s="3471" t="s">
        <v>1047</v>
      </c>
      <c r="C365" s="3472">
        <v>0.15</v>
      </c>
      <c r="D365" s="3472">
        <v>0.15</v>
      </c>
      <c r="E365" s="3472">
        <v>0.15</v>
      </c>
      <c r="F365" s="3472">
        <v>0.15</v>
      </c>
      <c r="G365" s="3473">
        <v>0.15</v>
      </c>
    </row>
    <row r="366" spans="1:7">
      <c r="A366" s="3482" t="s">
        <v>3161</v>
      </c>
      <c r="B366" s="3471" t="s">
        <v>3007</v>
      </c>
      <c r="C366" s="3472">
        <v>0.15</v>
      </c>
      <c r="D366" s="3472">
        <v>0.15</v>
      </c>
      <c r="E366" s="3472">
        <v>0.15</v>
      </c>
      <c r="F366" s="3472">
        <v>0.15</v>
      </c>
      <c r="G366" s="3473">
        <v>0.15</v>
      </c>
    </row>
    <row r="367" spans="1:7">
      <c r="A367" s="3482" t="s">
        <v>3161</v>
      </c>
      <c r="B367" s="3471" t="s">
        <v>3167</v>
      </c>
      <c r="C367" s="3472">
        <v>0.15</v>
      </c>
      <c r="D367" s="3472">
        <v>0.15</v>
      </c>
      <c r="E367" s="3472">
        <v>0.15</v>
      </c>
      <c r="F367" s="3472">
        <v>0.14699999999999999</v>
      </c>
      <c r="G367" s="3473">
        <v>0.15</v>
      </c>
    </row>
    <row r="368" spans="1:7">
      <c r="A368" s="3482" t="s">
        <v>3161</v>
      </c>
      <c r="B368" s="3471" t="s">
        <v>3168</v>
      </c>
      <c r="C368" s="3472">
        <v>0.15</v>
      </c>
      <c r="D368" s="3472">
        <v>0.15</v>
      </c>
      <c r="E368" s="3472">
        <v>0.15</v>
      </c>
      <c r="F368" s="3472">
        <v>0.13600000000000001</v>
      </c>
      <c r="G368" s="3473">
        <v>0.15</v>
      </c>
    </row>
    <row r="369" spans="1:7">
      <c r="A369" s="3482" t="s">
        <v>3161</v>
      </c>
      <c r="B369" s="3471" t="s">
        <v>1061</v>
      </c>
      <c r="C369" s="3472">
        <v>0.15</v>
      </c>
      <c r="D369" s="3472">
        <v>0.15</v>
      </c>
      <c r="E369" s="3472">
        <v>0.15</v>
      </c>
      <c r="F369" s="3472">
        <v>0.14399999999999999</v>
      </c>
      <c r="G369" s="3473">
        <v>0.15</v>
      </c>
    </row>
    <row r="370" spans="1:7">
      <c r="A370" s="3482" t="s">
        <v>3161</v>
      </c>
      <c r="B370" s="3471" t="s">
        <v>1069</v>
      </c>
      <c r="C370" s="3472">
        <v>0.15</v>
      </c>
      <c r="D370" s="3472">
        <v>0.15</v>
      </c>
      <c r="E370" s="3472">
        <v>0.15</v>
      </c>
      <c r="F370" s="3472">
        <v>0.14599999999999999</v>
      </c>
      <c r="G370" s="3473">
        <v>0.15</v>
      </c>
    </row>
    <row r="371" spans="1:7">
      <c r="A371" s="3482" t="s">
        <v>3161</v>
      </c>
      <c r="B371" s="3471" t="s">
        <v>1077</v>
      </c>
      <c r="C371" s="3472">
        <v>0.15</v>
      </c>
      <c r="D371" s="3472">
        <v>0.15</v>
      </c>
      <c r="E371" s="3472">
        <v>0.15</v>
      </c>
      <c r="F371" s="3472">
        <v>0.12</v>
      </c>
      <c r="G371" s="3473">
        <v>0.15</v>
      </c>
    </row>
    <row r="372" spans="1:7">
      <c r="A372" s="3482" t="s">
        <v>3161</v>
      </c>
      <c r="B372" s="3471" t="s">
        <v>3169</v>
      </c>
      <c r="C372" s="3472">
        <v>0.15</v>
      </c>
      <c r="D372" s="3472">
        <v>0.15</v>
      </c>
      <c r="E372" s="3472">
        <v>0.15</v>
      </c>
      <c r="F372" s="3472">
        <v>0.14299999999999999</v>
      </c>
      <c r="G372" s="3473">
        <v>0.15</v>
      </c>
    </row>
    <row r="373" spans="1:7">
      <c r="A373" s="3482" t="s">
        <v>3161</v>
      </c>
      <c r="B373" s="3471" t="s">
        <v>1106</v>
      </c>
      <c r="C373" s="3472">
        <v>0.15</v>
      </c>
      <c r="D373" s="3472">
        <v>0.15</v>
      </c>
      <c r="E373" s="3472">
        <v>0.15</v>
      </c>
      <c r="F373" s="3472">
        <v>0.14599999999999999</v>
      </c>
      <c r="G373" s="3473">
        <v>0.15</v>
      </c>
    </row>
    <row r="374" spans="1:7">
      <c r="A374" s="3482" t="s">
        <v>3161</v>
      </c>
      <c r="B374" s="3471" t="s">
        <v>1114</v>
      </c>
      <c r="C374" s="3472">
        <v>0.15</v>
      </c>
      <c r="D374" s="3472">
        <v>0.15</v>
      </c>
      <c r="E374" s="3472">
        <v>0.15</v>
      </c>
      <c r="F374" s="3472">
        <v>0.14399999999999999</v>
      </c>
      <c r="G374" s="3473">
        <v>0.15</v>
      </c>
    </row>
    <row r="375" spans="1:7">
      <c r="A375" s="3482" t="s">
        <v>3161</v>
      </c>
      <c r="B375" s="3471" t="s">
        <v>3170</v>
      </c>
      <c r="C375" s="3472">
        <v>0.15</v>
      </c>
      <c r="D375" s="3472">
        <v>0.15</v>
      </c>
      <c r="E375" s="3472">
        <v>0.15</v>
      </c>
      <c r="F375" s="3472">
        <v>0.13</v>
      </c>
      <c r="G375" s="3473">
        <v>0.15</v>
      </c>
    </row>
    <row r="376" spans="1:7">
      <c r="A376" s="3482" t="s">
        <v>3161</v>
      </c>
      <c r="B376" s="3471" t="s">
        <v>1126</v>
      </c>
      <c r="C376" s="3472">
        <v>0.15</v>
      </c>
      <c r="D376" s="3472">
        <v>0.15</v>
      </c>
      <c r="E376" s="3472">
        <v>0.15</v>
      </c>
      <c r="F376" s="3472">
        <v>0.14199999999999999</v>
      </c>
      <c r="G376" s="3473">
        <v>0.15</v>
      </c>
    </row>
    <row r="377" spans="1:7" ht="14.25" thickBot="1">
      <c r="A377" s="3485" t="s">
        <v>3161</v>
      </c>
      <c r="B377" s="3475" t="s">
        <v>3012</v>
      </c>
      <c r="C377" s="3476">
        <v>0.15</v>
      </c>
      <c r="D377" s="3476">
        <v>0.15</v>
      </c>
      <c r="E377" s="3476">
        <v>0.15</v>
      </c>
      <c r="F377" s="3476">
        <v>0.14000000000000001</v>
      </c>
      <c r="G377" s="3478">
        <v>0.15</v>
      </c>
    </row>
    <row r="378" spans="1:7">
      <c r="A378" s="3481" t="s">
        <v>3171</v>
      </c>
      <c r="B378" s="3467" t="s">
        <v>3172</v>
      </c>
      <c r="C378" s="3468">
        <v>0.15</v>
      </c>
      <c r="D378" s="3468">
        <v>0.15</v>
      </c>
      <c r="E378" s="3468">
        <v>0.15</v>
      </c>
      <c r="F378" s="3468">
        <v>0.107</v>
      </c>
      <c r="G378" s="3469">
        <v>0.15</v>
      </c>
    </row>
    <row r="379" spans="1:7">
      <c r="A379" s="3482" t="s">
        <v>3171</v>
      </c>
      <c r="B379" s="3471" t="s">
        <v>3173</v>
      </c>
      <c r="C379" s="3472">
        <v>0.15</v>
      </c>
      <c r="D379" s="3472">
        <v>0.15</v>
      </c>
      <c r="E379" s="3472">
        <v>0.15</v>
      </c>
      <c r="F379" s="3472">
        <v>0.115</v>
      </c>
      <c r="G379" s="3473">
        <v>0.14899999999999999</v>
      </c>
    </row>
    <row r="380" spans="1:7">
      <c r="A380" s="3482" t="s">
        <v>3174</v>
      </c>
      <c r="B380" s="3471" t="s">
        <v>3175</v>
      </c>
      <c r="C380" s="3472">
        <v>0.15</v>
      </c>
      <c r="D380" s="3472">
        <v>0.15</v>
      </c>
      <c r="E380" s="3472">
        <v>0.15</v>
      </c>
      <c r="F380" s="3472">
        <v>0.1</v>
      </c>
      <c r="G380" s="3473">
        <v>0.14799999999999999</v>
      </c>
    </row>
    <row r="381" spans="1:7">
      <c r="A381" s="3482" t="s">
        <v>3174</v>
      </c>
      <c r="B381" s="3471" t="s">
        <v>3176</v>
      </c>
      <c r="C381" s="3472">
        <v>0.15</v>
      </c>
      <c r="D381" s="3472">
        <v>0.15</v>
      </c>
      <c r="E381" s="3472">
        <v>0.15</v>
      </c>
      <c r="F381" s="3472">
        <v>0.126</v>
      </c>
      <c r="G381" s="3473">
        <v>0.15</v>
      </c>
    </row>
    <row r="382" spans="1:7">
      <c r="A382" s="3482" t="s">
        <v>3174</v>
      </c>
      <c r="B382" s="3471" t="s">
        <v>3177</v>
      </c>
      <c r="C382" s="3472">
        <v>0.15</v>
      </c>
      <c r="D382" s="3472">
        <v>0.15</v>
      </c>
      <c r="E382" s="3472">
        <v>0.15</v>
      </c>
      <c r="F382" s="3472">
        <v>0.15</v>
      </c>
      <c r="G382" s="3473">
        <v>0.15</v>
      </c>
    </row>
    <row r="383" spans="1:7">
      <c r="A383" s="3482" t="s">
        <v>3174</v>
      </c>
      <c r="B383" s="3471" t="s">
        <v>3178</v>
      </c>
      <c r="C383" s="3472">
        <v>0.15</v>
      </c>
      <c r="D383" s="3472">
        <v>0.15</v>
      </c>
      <c r="E383" s="3472">
        <v>0.15</v>
      </c>
      <c r="F383" s="3472">
        <v>0.14699999999999999</v>
      </c>
      <c r="G383" s="3473">
        <v>0.15</v>
      </c>
    </row>
    <row r="384" spans="1:7" ht="14.25" thickBot="1">
      <c r="A384" s="3492" t="s">
        <v>3174</v>
      </c>
      <c r="B384" s="3493" t="s">
        <v>3179</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90" t="s">
        <v>1858</v>
      </c>
      <c r="C1" s="3990"/>
      <c r="D1" s="3990"/>
      <c r="E1" s="3990"/>
      <c r="F1" s="3990"/>
      <c r="G1" s="3989" t="s">
        <v>1859</v>
      </c>
      <c r="H1" s="3989"/>
      <c r="I1" s="3989"/>
      <c r="J1" s="3989"/>
      <c r="K1" s="3989"/>
      <c r="L1" s="3989"/>
      <c r="N1" s="3989" t="s">
        <v>1860</v>
      </c>
      <c r="O1" s="3989"/>
      <c r="P1" s="3989"/>
      <c r="Q1" s="3989"/>
      <c r="S1" s="3989" t="s">
        <v>1861</v>
      </c>
      <c r="T1" s="3989"/>
      <c r="U1" s="3989"/>
      <c r="V1" s="3989"/>
      <c r="X1" s="3988" t="s">
        <v>1921</v>
      </c>
      <c r="Y1" s="3989"/>
      <c r="Z1" s="3989"/>
      <c r="AA1" s="3989"/>
      <c r="AB1" s="3989"/>
      <c r="AD1" s="3988" t="s">
        <v>1925</v>
      </c>
      <c r="AE1" s="3989"/>
      <c r="AF1" s="3989"/>
      <c r="AG1" s="3989"/>
      <c r="AH1" s="3989"/>
    </row>
    <row r="2" spans="1:34" s="2615" customFormat="1" ht="14.25" thickBot="1">
      <c r="B2" s="2616" t="s">
        <v>1862</v>
      </c>
      <c r="C2" s="2616" t="s">
        <v>1923</v>
      </c>
      <c r="D2" s="2617" t="s">
        <v>1179</v>
      </c>
      <c r="E2" s="2617" t="s">
        <v>1469</v>
      </c>
      <c r="F2" s="2616" t="s">
        <v>1924</v>
      </c>
      <c r="G2" s="2618"/>
      <c r="I2" s="2616" t="s">
        <v>2207</v>
      </c>
      <c r="J2" s="2617" t="s">
        <v>2209</v>
      </c>
      <c r="K2" s="2617" t="s">
        <v>2210</v>
      </c>
      <c r="L2" s="2616" t="s">
        <v>2211</v>
      </c>
      <c r="N2" s="2616" t="s">
        <v>1862</v>
      </c>
      <c r="O2" s="2617" t="s">
        <v>2208</v>
      </c>
      <c r="P2" s="2617" t="s">
        <v>1469</v>
      </c>
      <c r="Q2" s="2616" t="s">
        <v>1924</v>
      </c>
      <c r="S2" s="2616" t="s">
        <v>1862</v>
      </c>
      <c r="T2" s="2617" t="s">
        <v>2208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2218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2439</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2438</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2437</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2436</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2435</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2284</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2283</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2282</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2281</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2279</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2278</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2239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2238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2236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2235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2234</v>
      </c>
      <c r="B22" s="2649">
        <f t="shared" si="11"/>
        <v>464.37293017158942</v>
      </c>
      <c r="C22" s="2649">
        <f t="shared" si="12"/>
        <v>344.73679941385956</v>
      </c>
      <c r="D22" s="2649">
        <f t="shared" si="2"/>
        <v>344.73679941385956</v>
      </c>
      <c r="E22" s="2649">
        <f t="shared" si="3"/>
        <v>663.2377795103107</v>
      </c>
      <c r="F22" s="2650">
        <f t="shared" si="4"/>
        <v>304.75936311478398</v>
      </c>
      <c r="G22" s="3984">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2227</v>
      </c>
      <c r="B23" s="2639">
        <f t="shared" si="11"/>
        <v>459.95733971036987</v>
      </c>
      <c r="C23" s="2639">
        <f t="shared" si="12"/>
        <v>341.22221064422405</v>
      </c>
      <c r="D23" s="2639">
        <f t="shared" si="2"/>
        <v>341.22221064422405</v>
      </c>
      <c r="E23" s="2639">
        <f t="shared" si="3"/>
        <v>657.19161663724799</v>
      </c>
      <c r="F23" s="2639">
        <f t="shared" si="4"/>
        <v>300.87803644464805</v>
      </c>
      <c r="G23" s="3984"/>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2228</v>
      </c>
      <c r="B24" s="2639">
        <f t="shared" si="11"/>
        <v>453.11529869999993</v>
      </c>
      <c r="C24" s="2639">
        <f t="shared" si="12"/>
        <v>336.47787264000004</v>
      </c>
      <c r="D24" s="2639">
        <f t="shared" si="2"/>
        <v>336.47787264000004</v>
      </c>
      <c r="E24" s="2639">
        <f t="shared" si="3"/>
        <v>647.35186823999993</v>
      </c>
      <c r="F24" s="2639">
        <f t="shared" si="4"/>
        <v>295.73229452000004</v>
      </c>
      <c r="G24" s="3984"/>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2224</v>
      </c>
      <c r="B25" s="2639">
        <f t="shared" si="11"/>
        <v>446.46299999999997</v>
      </c>
      <c r="C25" s="2639">
        <f t="shared" si="12"/>
        <v>333.27840000000003</v>
      </c>
      <c r="D25" s="2639">
        <f t="shared" ref="D25:D30" si="13">C25</f>
        <v>333.27840000000003</v>
      </c>
      <c r="E25" s="2639">
        <f t="shared" si="3"/>
        <v>637.28279999999995</v>
      </c>
      <c r="F25" s="2639">
        <f t="shared" si="4"/>
        <v>288.68830000000003</v>
      </c>
      <c r="G25" s="3985"/>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2217</v>
      </c>
      <c r="B26" s="2655">
        <v>439</v>
      </c>
      <c r="C26" s="2655">
        <v>327</v>
      </c>
      <c r="D26" s="2655">
        <f t="shared" si="13"/>
        <v>327</v>
      </c>
      <c r="E26" s="2655">
        <v>627</v>
      </c>
      <c r="F26" s="2656">
        <v>283</v>
      </c>
      <c r="G26" s="3983">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2219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4"/>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84"/>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85"/>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83">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4"/>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4"/>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7"/>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86">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4"/>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4"/>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7"/>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86">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4"/>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4"/>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7"/>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91">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92"/>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92"/>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93"/>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86">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84"/>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84"/>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87"/>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86">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4">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84">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87">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86">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4">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84">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87">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86">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4">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84">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87">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86">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4">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84">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87">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86">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4">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84">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87">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86">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4">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84">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87">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86">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4">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84">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87">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86">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4">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84">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87">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86">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84">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84">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87">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86">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84">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84">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87">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7" spans="1:4" ht="56.25">
      <c r="A7" s="1580" t="s">
        <v>2029</v>
      </c>
    </row>
    <row r="8" spans="1:4" ht="18.75">
      <c r="A8" s="1579" t="s">
        <v>1430</v>
      </c>
    </row>
    <row r="9" spans="1:4" ht="75">
      <c r="A9" s="1581"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2023年7月31日</v>
      </c>
    </row>
    <row r="12" spans="1:4" ht="18.75">
      <c r="A12" s="1582" t="s">
        <v>1543</v>
      </c>
    </row>
    <row r="13" spans="1:4" ht="18.75">
      <c r="A13" s="1576" t="s">
        <v>2194</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根据《国有土地使用证》[]，估价对象（分摊）出让国有建设用地使用权面积为23364.85平方米。根据《建设工程规划许可证》[]、《出让合同》[]，估价对象规划建筑面积为68710.41平方米。</v>
      </c>
    </row>
    <row r="21" spans="1:1" ht="18.75">
      <c r="A21" s="1576" t="s">
        <v>1592</v>
      </c>
    </row>
    <row r="22" spans="1:1" ht="112.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7">
        <f>基准地价!G23</f>
        <v>45138</v>
      </c>
      <c r="B1" s="3345" t="s">
        <v>2783</v>
      </c>
      <c r="C1" s="3346"/>
      <c r="D1" s="3346"/>
      <c r="E1" s="3346"/>
      <c r="F1" s="3346"/>
      <c r="G1" s="3346"/>
      <c r="H1" s="3346"/>
      <c r="I1" s="3346"/>
      <c r="J1" s="3347"/>
      <c r="K1" s="3346" t="s">
        <v>2784</v>
      </c>
      <c r="L1" s="3346"/>
      <c r="M1" s="3346"/>
      <c r="N1" s="3346"/>
      <c r="O1" s="3346"/>
      <c r="P1" s="3346"/>
      <c r="Q1" s="3347"/>
      <c r="R1" s="3994" t="s">
        <v>2793</v>
      </c>
      <c r="S1" s="3995"/>
      <c r="T1" s="3995"/>
      <c r="U1" s="3995"/>
      <c r="V1" s="3995"/>
      <c r="W1" s="3995"/>
      <c r="X1" s="3347"/>
      <c r="Y1" s="3994" t="s">
        <v>2804</v>
      </c>
      <c r="Z1" s="3995"/>
      <c r="AA1" s="3995"/>
      <c r="AB1" s="3995"/>
      <c r="AC1" s="3995"/>
      <c r="AD1" s="3995"/>
    </row>
    <row r="2" spans="1:30" ht="14.25" thickBot="1">
      <c r="A2" s="3338"/>
      <c r="B2" s="3348"/>
      <c r="C2" s="3349"/>
      <c r="D2" s="3350" t="s">
        <v>2786</v>
      </c>
      <c r="E2" s="3351" t="s">
        <v>2787</v>
      </c>
      <c r="F2" s="3351" t="s">
        <v>2788</v>
      </c>
      <c r="G2" s="3351" t="s">
        <v>2789</v>
      </c>
      <c r="H2" s="3351" t="s">
        <v>2790</v>
      </c>
      <c r="I2" s="3351" t="s">
        <v>2730</v>
      </c>
      <c r="J2" s="3352"/>
      <c r="K2" s="3350" t="s">
        <v>2786</v>
      </c>
      <c r="L2" s="3351" t="s">
        <v>2787</v>
      </c>
      <c r="M2" s="3351" t="s">
        <v>2788</v>
      </c>
      <c r="N2" s="3351" t="s">
        <v>2789</v>
      </c>
      <c r="O2" s="3351" t="s">
        <v>2790</v>
      </c>
      <c r="P2" s="3351" t="s">
        <v>2730</v>
      </c>
      <c r="Q2" s="3352"/>
      <c r="R2" s="3350" t="s">
        <v>2794</v>
      </c>
      <c r="S2" s="3351" t="s">
        <v>2795</v>
      </c>
      <c r="T2" s="3351" t="s">
        <v>2796</v>
      </c>
      <c r="U2" s="3351" t="s">
        <v>2797</v>
      </c>
      <c r="V2" s="3351" t="s">
        <v>2798</v>
      </c>
      <c r="W2" s="3351" t="s">
        <v>2799</v>
      </c>
      <c r="X2" s="3352"/>
      <c r="Y2" s="3350" t="s">
        <v>2786</v>
      </c>
      <c r="Z2" s="3351" t="s">
        <v>1470</v>
      </c>
      <c r="AA2" s="3351" t="s">
        <v>2805</v>
      </c>
      <c r="AB2" s="3351" t="s">
        <v>1469</v>
      </c>
      <c r="AC2" s="3351" t="s">
        <v>2790</v>
      </c>
      <c r="AD2" s="3351" t="s">
        <v>2447</v>
      </c>
    </row>
    <row r="3" spans="1:30">
      <c r="A3" s="3339" t="s">
        <v>2773</v>
      </c>
      <c r="B3" s="3353"/>
      <c r="C3" s="3354"/>
      <c r="D3" s="3354">
        <f>ROUND(AVERAGEIF(D4:D16,"&lt;&gt;0"),2)</f>
        <v>0.81</v>
      </c>
      <c r="E3" s="3354">
        <f>ROUND(AVERAGEIF(E4:E16,"&lt;&gt;0"),2)</f>
        <v>0.33</v>
      </c>
      <c r="F3" s="3354">
        <f>ROUND(AVERAGEIF(F4:F16,"&lt;&gt;0"),2)</f>
        <v>0.15</v>
      </c>
      <c r="G3" s="3354">
        <f>ROUND(AVERAGEIF(G4:G16,"&lt;&gt;0"),2)</f>
        <v>0.89</v>
      </c>
      <c r="H3" s="3354">
        <f>ROUND(AVERAGEIF(H4:H16,"&lt;&gt;0"),2)</f>
        <v>0.66</v>
      </c>
      <c r="I3" s="3354">
        <f>F3</f>
        <v>0.15</v>
      </c>
      <c r="J3" s="3355"/>
      <c r="K3" s="3356">
        <f>ROUND(AVERAGEIF(K4:K16,"&lt;&gt;0"),4)</f>
        <v>8.0999999999999996E-3</v>
      </c>
      <c r="L3" s="3357">
        <f>ROUND(AVERAGEIF(L4:L16,"&lt;&gt;0"),4)</f>
        <v>3.3E-3</v>
      </c>
      <c r="M3" s="3357">
        <f>ROUND(AVERAGEIF(M4:M16,"&lt;&gt;0"),4)</f>
        <v>1.5E-3</v>
      </c>
      <c r="N3" s="3357">
        <f>ROUND(AVERAGEIF(N4:N16,"&lt;&gt;0"),4)</f>
        <v>8.8999999999999999E-3</v>
      </c>
      <c r="O3" s="3357">
        <f>ROUND(AVERAGEIF(O4:O16,"&lt;&gt;0"),4)</f>
        <v>6.6E-3</v>
      </c>
      <c r="P3" s="3357">
        <f>M3</f>
        <v>1.5E-3</v>
      </c>
      <c r="Q3" s="3355"/>
      <c r="R3" s="3372">
        <f>ROUND(SUMPRODUCT(PRODUCT(1+K4:K16)),4)</f>
        <v>1.0668</v>
      </c>
      <c r="S3" s="3373">
        <f>ROUND(SUMPRODUCT(PRODUCT(1+L4:L16)),4)</f>
        <v>1.0266999999999999</v>
      </c>
      <c r="T3" s="3373">
        <f>ROUND(SUMPRODUCT(PRODUCT(1+M4:M16)),4)</f>
        <v>1.0119</v>
      </c>
      <c r="U3" s="3373">
        <f>ROUND(SUMPRODUCT(PRODUCT(1+N4:N16)),4)</f>
        <v>1.0734999999999999</v>
      </c>
      <c r="V3" s="3373">
        <f>ROUND(SUMPRODUCT(PRODUCT(1+O4:O16)),4)</f>
        <v>1.054</v>
      </c>
      <c r="W3" s="3372">
        <f>T3</f>
        <v>1.0119</v>
      </c>
      <c r="X3" s="3355"/>
      <c r="Y3" s="3380">
        <f>ROUND(AVERAGEIF(Y5:Y16,"&lt;&gt;0"),4)</f>
        <v>8.6999999999999994E-3</v>
      </c>
      <c r="Z3" s="3381">
        <f>ROUND(AVERAGEIF(Z5:Z16,"&lt;&gt;0"),4)</f>
        <v>3.5000000000000001E-3</v>
      </c>
      <c r="AA3" s="3382">
        <f>ROUND(AVERAGEIF(AA5:AA16,"&lt;&gt;0"),4)</f>
        <v>8.9999999999999998E-4</v>
      </c>
      <c r="AB3" s="3380">
        <f>ROUND(AVERAGEIF(AB5:AB16,"&lt;&gt;0"),4)</f>
        <v>9.4999999999999998E-3</v>
      </c>
      <c r="AC3" s="3383">
        <f>ROUND(AVERAGEIF(AC5:AC16,"&lt;&gt;0"),4)</f>
        <v>6.1000000000000004E-3</v>
      </c>
      <c r="AD3" s="3380">
        <f>AA3</f>
        <v>8.9999999999999998E-4</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3246</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1.0565</v>
      </c>
      <c r="S5" s="3378">
        <f>ROUND(IF(项目基本情况!$B$8="出让",SUMPRODUCT(PRODUCT(1+L5:$L$16)),SUMPRODUCT(PRODUCT(1+L5:$L$15))),4)</f>
        <v>1.0250999999999999</v>
      </c>
      <c r="T5" s="3378">
        <f>ROUND(IF(项目基本情况!$B$8="出让",SUMPRODUCT(PRODUCT(1+M5:$M$16)),SUMPRODUCT(PRODUCT(1+M5:$M$15))),4)</f>
        <v>1.0145</v>
      </c>
      <c r="U5" s="3378">
        <f>ROUND(IF(项目基本情况!$B$8="出让",SUMPRODUCT(PRODUCT(1+N5:$N$16)),SUMPRODUCT(PRODUCT(1+N5:$N$15))),4)</f>
        <v>1.0618000000000001</v>
      </c>
      <c r="V5" s="3378">
        <f>ROUND(IF(项目基本情况!$B$8="出让",SUMPRODUCT(PRODUCT(1+O5:$O$16)),SUMPRODUCT(PRODUCT(1+O5:$O$15))),4)</f>
        <v>1.0502</v>
      </c>
      <c r="W5" s="3378">
        <f>T5</f>
        <v>1.0145</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3247</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1.0565</v>
      </c>
      <c r="S6" s="3378">
        <f>ROUND(IF(项目基本情况!$B$8="出让",SUMPRODUCT(PRODUCT(1+L6:$L$16)),SUMPRODUCT(PRODUCT(1+L6:$L$15))),4)</f>
        <v>1.0250999999999999</v>
      </c>
      <c r="T6" s="3378">
        <f>ROUND(IF(项目基本情况!$B$8="出让",SUMPRODUCT(PRODUCT(1+M6:$M$16)),SUMPRODUCT(PRODUCT(1+M6:$M$15))),4)</f>
        <v>1.0145</v>
      </c>
      <c r="U6" s="3378">
        <f>ROUND(IF(项目基本情况!$B$8="出让",SUMPRODUCT(PRODUCT(1+N6:$N$16)),SUMPRODUCT(PRODUCT(1+N6:$N$15))),4)</f>
        <v>1.0618000000000001</v>
      </c>
      <c r="V6" s="3378">
        <f>ROUND(IF(项目基本情况!$B$8="出让",SUMPRODUCT(PRODUCT(1+O6:$O$16)),SUMPRODUCT(PRODUCT(1+O6:$O$15))),4)</f>
        <v>1.0502</v>
      </c>
      <c r="W6" s="3378">
        <f t="shared" ref="W6:W8" si="9">T6</f>
        <v>1.0145</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3245</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1.0565</v>
      </c>
      <c r="S7" s="3378">
        <f>ROUND(IF(项目基本情况!$B$8="出让",SUMPRODUCT(PRODUCT(1+L7:$L$16)),SUMPRODUCT(PRODUCT(1+L7:$L$15))),4)</f>
        <v>1.0250999999999999</v>
      </c>
      <c r="T7" s="3378">
        <f>ROUND(IF(项目基本情况!$B$8="出让",SUMPRODUCT(PRODUCT(1+M7:$M$16)),SUMPRODUCT(PRODUCT(1+M7:$M$15))),4)</f>
        <v>1.0145</v>
      </c>
      <c r="U7" s="3378">
        <f>ROUND(IF(项目基本情况!$B$8="出让",SUMPRODUCT(PRODUCT(1+N7:$N$16)),SUMPRODUCT(PRODUCT(1+N7:$N$15))),4)</f>
        <v>1.0618000000000001</v>
      </c>
      <c r="V7" s="3378">
        <f>ROUND(IF(项目基本情况!$B$8="出让",SUMPRODUCT(PRODUCT(1+O7:$O$16)),SUMPRODUCT(PRODUCT(1+O7:$O$15))),4)</f>
        <v>1.0502</v>
      </c>
      <c r="W7" s="3378">
        <f t="shared" si="9"/>
        <v>1.0145</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1" t="s">
        <v>2774</v>
      </c>
      <c r="B8" s="3400">
        <v>2023</v>
      </c>
      <c r="C8" s="3401">
        <v>1</v>
      </c>
      <c r="D8" s="3401">
        <v>0</v>
      </c>
      <c r="E8" s="3401">
        <v>0</v>
      </c>
      <c r="F8" s="3401">
        <v>0</v>
      </c>
      <c r="G8" s="3401">
        <v>0</v>
      </c>
      <c r="H8" s="3401">
        <v>0</v>
      </c>
      <c r="I8" s="3402">
        <f t="shared" si="0"/>
        <v>0</v>
      </c>
      <c r="J8" s="3362"/>
      <c r="K8" s="3363">
        <f t="shared" si="3"/>
        <v>0</v>
      </c>
      <c r="L8" s="3364">
        <f t="shared" si="4"/>
        <v>0</v>
      </c>
      <c r="M8" s="3364">
        <f t="shared" si="5"/>
        <v>0</v>
      </c>
      <c r="N8" s="3364">
        <f t="shared" si="6"/>
        <v>0</v>
      </c>
      <c r="O8" s="3364">
        <f t="shared" si="7"/>
        <v>0</v>
      </c>
      <c r="P8" s="3364">
        <f t="shared" si="8"/>
        <v>0</v>
      </c>
      <c r="Q8" s="3362"/>
      <c r="R8" s="3378">
        <f>ROUND(IF(项目基本情况!$B$8="出让",SUMPRODUCT(PRODUCT(1+K8:$K$16)),SUMPRODUCT(PRODUCT(1+K8:$K$15))),4)</f>
        <v>1.0565</v>
      </c>
      <c r="S8" s="3378">
        <f>ROUND(IF(项目基本情况!$B$8="出让",SUMPRODUCT(PRODUCT(1+L8:$L$16)),SUMPRODUCT(PRODUCT(1+L8:$L$15))),4)</f>
        <v>1.0250999999999999</v>
      </c>
      <c r="T8" s="3378">
        <f>ROUND(IF(项目基本情况!$B$8="出让",SUMPRODUCT(PRODUCT(1+M8:$M$16)),SUMPRODUCT(PRODUCT(1+M8:$M$15))),4)</f>
        <v>1.0145</v>
      </c>
      <c r="U8" s="3378">
        <f>ROUND(IF(项目基本情况!$B$8="出让",SUMPRODUCT(PRODUCT(1+N8:$N$16)),SUMPRODUCT(PRODUCT(1+N8:$N$15))),4)</f>
        <v>1.0618000000000001</v>
      </c>
      <c r="V8" s="3378">
        <f>ROUND(IF(项目基本情况!$B$8="出让",SUMPRODUCT(PRODUCT(1+O8:$O$16)),SUMPRODUCT(PRODUCT(1+O8:$O$15))),4)</f>
        <v>1.0502</v>
      </c>
      <c r="W8" s="3378">
        <f t="shared" si="9"/>
        <v>1.0145</v>
      </c>
      <c r="X8" s="3362"/>
      <c r="Y8" s="3387">
        <f t="shared" ref="Y8:AC8" si="13">IF(D8=0,0,ROUND(AVERAGE(D8:D19)/100,4))</f>
        <v>0</v>
      </c>
      <c r="Z8" s="3387">
        <f t="shared" si="13"/>
        <v>0</v>
      </c>
      <c r="AA8" s="3387">
        <f t="shared" si="13"/>
        <v>0</v>
      </c>
      <c r="AB8" s="3387">
        <f t="shared" si="13"/>
        <v>0</v>
      </c>
      <c r="AC8" s="3387">
        <f t="shared" si="13"/>
        <v>0</v>
      </c>
      <c r="AD8" s="3387">
        <f t="shared" si="11"/>
        <v>0</v>
      </c>
    </row>
    <row r="9" spans="1:30">
      <c r="A9" s="3342" t="s">
        <v>3243</v>
      </c>
      <c r="B9" s="3403">
        <v>2022</v>
      </c>
      <c r="C9" s="3404">
        <v>4</v>
      </c>
      <c r="D9" s="3404">
        <v>0.62</v>
      </c>
      <c r="E9" s="3404">
        <v>0.2</v>
      </c>
      <c r="F9" s="3404">
        <v>0.11</v>
      </c>
      <c r="G9" s="3404">
        <v>0.69</v>
      </c>
      <c r="H9" s="3405">
        <v>0.53</v>
      </c>
      <c r="I9" s="3406">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65">
        <f>ROUND(IF(项目基本情况!B8="出让",SUMPRODUCT(PRODUCT(1+K9:K16)),SUMPRODUCT(PRODUCT(1+K9:K15))),4)</f>
        <v>1.0565</v>
      </c>
      <c r="S9" s="3365">
        <f>ROUND(IF(项目基本情况!B8="出让",SUMPRODUCT(PRODUCT(1+L9:L16)),SUMPRODUCT(PRODUCT(1+L9:L15))),4)</f>
        <v>1.0250999999999999</v>
      </c>
      <c r="T9" s="3365">
        <f>ROUND(IF(项目基本情况!B8="出让",SUMPRODUCT(PRODUCT(1+M9:M16)),SUMPRODUCT(PRODUCT(1+M9:M15))),4)</f>
        <v>1.0145</v>
      </c>
      <c r="U9" s="3365">
        <f>ROUND(IF(项目基本情况!B8="出让",SUMPRODUCT(PRODUCT(1+N9:N16)),SUMPRODUCT(PRODUCT(1+N9:N15))),4)</f>
        <v>1.0618000000000001</v>
      </c>
      <c r="V9" s="3365">
        <f>ROUND(IF(项目基本情况!B8="出让",SUMPRODUCT(PRODUCT(1+O9:O16)),SUMPRODUCT(PRODUCT(1+O9:O15))),4)</f>
        <v>1.0502</v>
      </c>
      <c r="W9" s="3365">
        <f t="shared" ref="W9:W16" si="15">T9</f>
        <v>1.0145</v>
      </c>
      <c r="X9" s="3365"/>
      <c r="Y9" s="3367">
        <f>IF(D9=0,0,ROUND(AVERAGE(D9:D17)/100,4))</f>
        <v>8.0999999999999996E-3</v>
      </c>
      <c r="Z9" s="3367">
        <f>IF(E9=0,0,ROUND(AVERAGE(E9:E16)/100,4))</f>
        <v>3.3E-3</v>
      </c>
      <c r="AA9" s="3367">
        <f>IF(F9=0,0,ROUND(AVERAGE(F9:F16)/100,4))</f>
        <v>1.5E-3</v>
      </c>
      <c r="AB9" s="3367">
        <f>IF(G9=0,0,ROUND(AVERAGE(G9:G16)/100,4))</f>
        <v>8.8999999999999999E-3</v>
      </c>
      <c r="AC9" s="3367">
        <f>IF(H9=0,0,ROUND(AVERAGE(H9:H16)/100,4))</f>
        <v>6.6E-3</v>
      </c>
      <c r="AD9" s="3367">
        <f t="shared" si="2"/>
        <v>1.5E-3</v>
      </c>
    </row>
    <row r="10" spans="1:30">
      <c r="A10" s="3341" t="s">
        <v>3241</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3242</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2775</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2776</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2777</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2778</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2779</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3248</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2791</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2792</v>
      </c>
      <c r="C21" s="3346"/>
      <c r="D21" s="3346"/>
      <c r="E21" s="3346"/>
      <c r="F21" s="3346"/>
      <c r="G21" s="3346"/>
      <c r="H21" s="3346"/>
      <c r="I21" s="3346"/>
      <c r="J21" s="3347"/>
      <c r="K21" s="3346" t="s">
        <v>2784</v>
      </c>
      <c r="L21" s="3346"/>
      <c r="M21" s="3346"/>
      <c r="N21" s="3346"/>
      <c r="O21" s="3346"/>
      <c r="P21" s="3346"/>
      <c r="Q21" s="3347"/>
      <c r="R21" s="3994" t="s">
        <v>2800</v>
      </c>
      <c r="S21" s="3995"/>
      <c r="T21" s="3995"/>
      <c r="U21" s="3995"/>
      <c r="V21" s="3995"/>
      <c r="W21" s="3995"/>
      <c r="X21" s="3347"/>
      <c r="Y21" s="3994" t="s">
        <v>1925</v>
      </c>
      <c r="Z21" s="3995"/>
      <c r="AA21" s="3995"/>
      <c r="AB21" s="3995"/>
      <c r="AC21" s="3995"/>
      <c r="AD21" s="3995"/>
    </row>
    <row r="22" spans="1:30" ht="14.25" thickBot="1">
      <c r="A22" s="3338"/>
      <c r="B22" s="3348"/>
      <c r="C22" s="3349"/>
      <c r="D22" s="3350" t="s">
        <v>2786</v>
      </c>
      <c r="E22" s="3351" t="s">
        <v>2787</v>
      </c>
      <c r="F22" s="3351" t="s">
        <v>2788</v>
      </c>
      <c r="G22" s="3351" t="s">
        <v>1469</v>
      </c>
      <c r="H22" s="3351"/>
      <c r="I22" s="3351" t="s">
        <v>2730</v>
      </c>
      <c r="J22" s="3352"/>
      <c r="K22" s="3350" t="s">
        <v>2786</v>
      </c>
      <c r="L22" s="3351" t="s">
        <v>2787</v>
      </c>
      <c r="M22" s="3351" t="s">
        <v>2788</v>
      </c>
      <c r="N22" s="3351" t="s">
        <v>2789</v>
      </c>
      <c r="O22" s="3351"/>
      <c r="P22" s="3351" t="s">
        <v>2730</v>
      </c>
      <c r="Q22" s="3352"/>
      <c r="R22" s="3350" t="s">
        <v>2801</v>
      </c>
      <c r="S22" s="3351" t="s">
        <v>2802</v>
      </c>
      <c r="T22" s="3351" t="s">
        <v>2788</v>
      </c>
      <c r="U22" s="3351" t="s">
        <v>1469</v>
      </c>
      <c r="V22" s="3351"/>
      <c r="W22" s="3351" t="s">
        <v>2803</v>
      </c>
      <c r="X22" s="3352"/>
      <c r="Y22" s="3350" t="s">
        <v>2785</v>
      </c>
      <c r="Z22" s="3351" t="s">
        <v>2787</v>
      </c>
      <c r="AA22" s="3351" t="s">
        <v>2788</v>
      </c>
      <c r="AB22" s="3351" t="s">
        <v>1469</v>
      </c>
      <c r="AC22" s="3351"/>
      <c r="AD22" s="3351" t="s">
        <v>2806</v>
      </c>
    </row>
    <row r="23" spans="1:30">
      <c r="A23" s="3339" t="s">
        <v>2780</v>
      </c>
      <c r="B23" s="3353"/>
      <c r="C23" s="3354"/>
      <c r="D23" s="3354"/>
      <c r="E23" s="3354">
        <f>ROUND(AVERAGEIF(E24:E36,"&lt;&gt;0"),2)</f>
        <v>0.4</v>
      </c>
      <c r="F23" s="3354">
        <f>ROUND(AVERAGEIF(F24:F36,"&lt;&gt;0"),2)</f>
        <v>0.26</v>
      </c>
      <c r="G23" s="3354">
        <f>ROUND(AVERAGEIF(G24:G36,"&lt;&gt;0"),2)</f>
        <v>0.74</v>
      </c>
      <c r="H23" s="3354"/>
      <c r="I23" s="3354">
        <f>F23</f>
        <v>0.26</v>
      </c>
      <c r="J23" s="3355"/>
      <c r="K23" s="3356"/>
      <c r="L23" s="3357">
        <f>ROUND(AVERAGEIF(L24:L36,"&lt;&gt;0"),4)</f>
        <v>4.0000000000000001E-3</v>
      </c>
      <c r="M23" s="3357">
        <f>ROUND(AVERAGEIF(M24:M36,"&lt;&gt;0"),4)</f>
        <v>2.5999999999999999E-3</v>
      </c>
      <c r="N23" s="3357">
        <f>ROUND(AVERAGEIF(N24:N36,"&lt;&gt;0"),4)</f>
        <v>7.4000000000000003E-3</v>
      </c>
      <c r="O23" s="3357"/>
      <c r="P23" s="3357">
        <f>M23</f>
        <v>2.5999999999999999E-3</v>
      </c>
      <c r="Q23" s="3355"/>
      <c r="R23" s="3372"/>
      <c r="S23" s="3373">
        <f>ROUND(SUMPRODUCT(PRODUCT(1+L24:L36)),4)</f>
        <v>1.0323</v>
      </c>
      <c r="T23" s="3373">
        <f>ROUND(SUMPRODUCT(PRODUCT(1+M24:M36)),4)</f>
        <v>1.0213000000000001</v>
      </c>
      <c r="U23" s="3373">
        <f>ROUND(SUMPRODUCT(PRODUCT(1+N24:N36)),4)</f>
        <v>1.0609</v>
      </c>
      <c r="V23" s="3373"/>
      <c r="W23" s="3372">
        <f>T23</f>
        <v>1.0213000000000001</v>
      </c>
      <c r="X23" s="3355"/>
      <c r="Y23" s="3380"/>
      <c r="Z23" s="3381">
        <f>ROUND(AVERAGEIF(Z24:Z36,"&lt;&gt;0"),4)</f>
        <v>4.3E-3</v>
      </c>
      <c r="AA23" s="3382">
        <f>ROUND(AVERAGEIF(AA24:AA36,"&lt;&gt;0"),4)</f>
        <v>3.5999999999999999E-3</v>
      </c>
      <c r="AB23" s="3380">
        <f>ROUND(AVERAGEIF(AB24:AB36,"&lt;&gt;0"),4)</f>
        <v>8.8999999999999999E-3</v>
      </c>
      <c r="AC23" s="3383"/>
      <c r="AD23" s="3380">
        <f>AA23</f>
        <v>3.5999999999999999E-3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3246</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1.0286999999999999</v>
      </c>
      <c r="T25" s="3378">
        <f>ROUND(IF(项目基本情况!$B$8="出让",SUMPRODUCT(PRODUCT(1+M25:M$36)),SUMPRODUCT(PRODUCT(1+M25:M$35))),4)</f>
        <v>1.0164</v>
      </c>
      <c r="U25" s="3378">
        <f>ROUND(IF(项目基本情况!$B$8="出让",SUMPRODUCT(PRODUCT(1+N25:N$36)),SUMPRODUCT(PRODUCT(1+N25:N$35))),4)</f>
        <v>1.0506</v>
      </c>
      <c r="V25" s="3378"/>
      <c r="W25" s="3378">
        <f>T25</f>
        <v>1.0164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3247</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1.0286999999999999</v>
      </c>
      <c r="T26" s="3378">
        <f>ROUND(IF(项目基本情况!$B$8="出让",SUMPRODUCT(PRODUCT(1+M26:M$36)),SUMPRODUCT(PRODUCT(1+M26:M$35))),4)</f>
        <v>1.0164</v>
      </c>
      <c r="U26" s="3378">
        <f>ROUND(IF(项目基本情况!$B$8="出让",SUMPRODUCT(PRODUCT(1+N26:N$36)),SUMPRODUCT(PRODUCT(1+N26:N$35))),4)</f>
        <v>1.0506</v>
      </c>
      <c r="V26" s="3378"/>
      <c r="W26" s="3378">
        <f t="shared" ref="W26:W28" si="22">T26</f>
        <v>1.0164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3245</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1.0286999999999999</v>
      </c>
      <c r="T27" s="3378">
        <f>ROUND(IF(项目基本情况!$B$8="出让",SUMPRODUCT(PRODUCT(1+M27:M$36)),SUMPRODUCT(PRODUCT(1+M27:M$35))),4)</f>
        <v>1.0164</v>
      </c>
      <c r="U27" s="3378">
        <f>ROUND(IF(项目基本情况!$B$8="出让",SUMPRODUCT(PRODUCT(1+N27:N$36)),SUMPRODUCT(PRODUCT(1+N27:N$35))),4)</f>
        <v>1.0506</v>
      </c>
      <c r="V27" s="3378"/>
      <c r="W27" s="3378">
        <f t="shared" si="22"/>
        <v>1.0164</v>
      </c>
      <c r="X27" s="3362"/>
      <c r="Y27" s="3387"/>
      <c r="Z27" s="3388">
        <f t="shared" ref="Z27:AB27" si="25">IF(E27=0,0,ROUND(AVERAGE(E27:E38)/100,4))</f>
        <v>0</v>
      </c>
      <c r="AA27" s="3388">
        <f t="shared" si="25"/>
        <v>0</v>
      </c>
      <c r="AB27" s="3388">
        <f t="shared" si="25"/>
        <v>0</v>
      </c>
      <c r="AC27" s="3389"/>
      <c r="AD27" s="3387">
        <f t="shared" si="24"/>
        <v>0</v>
      </c>
    </row>
    <row r="28" spans="1:30">
      <c r="A28" s="3341" t="s">
        <v>2774</v>
      </c>
      <c r="B28" s="3400">
        <v>2023</v>
      </c>
      <c r="C28" s="3401">
        <v>1</v>
      </c>
      <c r="D28" s="3401"/>
      <c r="E28" s="3401">
        <v>0</v>
      </c>
      <c r="F28" s="3401">
        <v>0</v>
      </c>
      <c r="G28" s="3401">
        <v>0</v>
      </c>
      <c r="H28" s="3407"/>
      <c r="I28" s="3402">
        <f t="shared" si="16"/>
        <v>0</v>
      </c>
      <c r="J28" s="3362"/>
      <c r="K28" s="3363"/>
      <c r="L28" s="3364">
        <f t="shared" si="18"/>
        <v>0</v>
      </c>
      <c r="M28" s="3364">
        <f t="shared" si="19"/>
        <v>0</v>
      </c>
      <c r="N28" s="3364">
        <f t="shared" si="20"/>
        <v>0</v>
      </c>
      <c r="O28" s="3364"/>
      <c r="P28" s="3364">
        <f t="shared" si="21"/>
        <v>0</v>
      </c>
      <c r="Q28" s="3362"/>
      <c r="R28" s="3378"/>
      <c r="S28" s="3378">
        <f>ROUND(IF(项目基本情况!$B$8="出让",SUMPRODUCT(PRODUCT(1+L28:L$36)),SUMPRODUCT(PRODUCT(1+L28:L$35))),4)</f>
        <v>1.0286999999999999</v>
      </c>
      <c r="T28" s="3378">
        <f>ROUND(IF(项目基本情况!$B$8="出让",SUMPRODUCT(PRODUCT(1+M28:M$36)),SUMPRODUCT(PRODUCT(1+M28:M$35))),4)</f>
        <v>1.0164</v>
      </c>
      <c r="U28" s="3378">
        <f>ROUND(IF(项目基本情况!$B$8="出让",SUMPRODUCT(PRODUCT(1+N28:N$36)),SUMPRODUCT(PRODUCT(1+N28:N$35))),4)</f>
        <v>1.0506</v>
      </c>
      <c r="V28" s="3378"/>
      <c r="W28" s="3378">
        <f t="shared" si="22"/>
        <v>1.0164</v>
      </c>
      <c r="X28" s="3362"/>
      <c r="Y28" s="3387"/>
      <c r="Z28" s="3388">
        <f t="shared" ref="Z28:AB28" si="26">IF(E28=0,0,ROUND(AVERAGE(E28:E39)/100,4))</f>
        <v>0</v>
      </c>
      <c r="AA28" s="3388">
        <f t="shared" si="26"/>
        <v>0</v>
      </c>
      <c r="AB28" s="3388">
        <f t="shared" si="26"/>
        <v>0</v>
      </c>
      <c r="AC28" s="3389"/>
      <c r="AD28" s="3387">
        <f t="shared" si="24"/>
        <v>0</v>
      </c>
    </row>
    <row r="29" spans="1:30">
      <c r="A29" s="3342" t="s">
        <v>3243</v>
      </c>
      <c r="B29" s="3403">
        <v>2022</v>
      </c>
      <c r="C29" s="3404">
        <v>4</v>
      </c>
      <c r="D29" s="3404"/>
      <c r="E29" s="3404">
        <v>0.45</v>
      </c>
      <c r="F29" s="3404">
        <v>0.2</v>
      </c>
      <c r="G29" s="3404">
        <v>0.38</v>
      </c>
      <c r="H29" s="3405"/>
      <c r="I29" s="3406">
        <f t="shared" si="16"/>
        <v>0.2</v>
      </c>
      <c r="J29" s="3365"/>
      <c r="K29" s="3366"/>
      <c r="L29" s="3367">
        <f t="shared" si="17"/>
        <v>4.5000000000000005E-3</v>
      </c>
      <c r="M29" s="3367">
        <f t="shared" si="17"/>
        <v>2E-3</v>
      </c>
      <c r="N29" s="3367">
        <f t="shared" si="17"/>
        <v>3.8E-3</v>
      </c>
      <c r="O29" s="3367"/>
      <c r="P29" s="3367">
        <f t="shared" ref="P29:P36" si="27">M29</f>
        <v>2E-3</v>
      </c>
      <c r="Q29" s="3365"/>
      <c r="R29" s="3365"/>
      <c r="S29" s="3365">
        <f>ROUND(IF(项目基本情况!$B$8="出让",SUMPRODUCT(PRODUCT(1+L29:L$36)),SUMPRODUCT(PRODUCT(1+L29:L$35))),4)</f>
        <v>1.0286999999999999</v>
      </c>
      <c r="T29" s="3365">
        <f>ROUND(IF(项目基本情况!$B$8="出让",SUMPRODUCT(PRODUCT(1+M29:M$36)),SUMPRODUCT(PRODUCT(1+M29:M$35))),4)</f>
        <v>1.0164</v>
      </c>
      <c r="U29" s="3365">
        <f>ROUND(IF(项目基本情况!$B$8="出让",SUMPRODUCT(PRODUCT(1+N29:N$36)),SUMPRODUCT(PRODUCT(1+N29:N$35))),4)</f>
        <v>1.0506</v>
      </c>
      <c r="V29" s="3365"/>
      <c r="W29" s="3365">
        <f t="shared" ref="W29:W36" si="28">T29</f>
        <v>1.0164</v>
      </c>
      <c r="X29" s="3365"/>
      <c r="Y29" s="3367"/>
      <c r="Z29" s="3391">
        <f t="shared" ref="Z29:AD36" si="29">IF(E29=0,0,ROUND(AVERAGE(E29:E37)/100,4))</f>
        <v>4.0000000000000001E-3</v>
      </c>
      <c r="AA29" s="3392">
        <f t="shared" si="29"/>
        <v>2.5999999999999999E-3</v>
      </c>
      <c r="AB29" s="3367">
        <f t="shared" si="29"/>
        <v>7.4000000000000003E-3</v>
      </c>
      <c r="AC29" s="3393"/>
      <c r="AD29" s="3367">
        <f t="shared" si="29"/>
        <v>2.5999999999999999E-3</v>
      </c>
    </row>
    <row r="30" spans="1:30">
      <c r="A30" s="3341" t="s">
        <v>3244</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3242</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2775</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2776</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2777</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2781</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2782</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3249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2201</v>
      </c>
      <c r="B1" s="2985"/>
      <c r="C1" s="2985"/>
      <c r="D1" s="2985"/>
      <c r="E1" s="2985"/>
      <c r="F1" s="2985"/>
      <c r="G1" s="2986"/>
      <c r="H1" s="2986"/>
      <c r="I1" s="2986"/>
      <c r="J1" s="2986"/>
      <c r="K1" s="2986"/>
      <c r="L1" s="2986"/>
      <c r="M1" s="2986"/>
      <c r="N1" s="2986"/>
    </row>
    <row r="2" spans="1:14" ht="14.25">
      <c r="A2" s="2991" t="s">
        <v>2196</v>
      </c>
      <c r="B2" s="2996">
        <f ca="1">SUMIF(B7:B14,"&lt;&gt;#ref!",B7:B14)</f>
        <v>0</v>
      </c>
      <c r="C2" s="2991" t="s">
        <v>2197</v>
      </c>
      <c r="D2" s="2988"/>
      <c r="E2" s="2988"/>
      <c r="F2" s="2988"/>
      <c r="G2" s="2986"/>
      <c r="H2" s="2986"/>
      <c r="I2" s="2986"/>
      <c r="J2" s="2986"/>
      <c r="K2" s="2986"/>
      <c r="L2" s="2986"/>
      <c r="M2" s="2986"/>
      <c r="N2" s="2986"/>
    </row>
    <row r="3" spans="1:14" ht="14.25">
      <c r="A3" s="2991" t="s">
        <v>2225</v>
      </c>
      <c r="B3" s="2996" t="e">
        <f ca="1">ROUND(B2*10000/E3,0)</f>
        <v>#DIV/0!</v>
      </c>
      <c r="C3" s="2991" t="s">
        <v>1596</v>
      </c>
      <c r="D3" s="2991" t="s">
        <v>2198</v>
      </c>
      <c r="E3" s="2989">
        <f ca="1">SUMIF(E7:E14,"&lt;&gt;#ref!",E7:E14)</f>
        <v>0</v>
      </c>
      <c r="F3" s="2988"/>
      <c r="G3" s="2986"/>
      <c r="H3" s="2986"/>
      <c r="I3" s="2986"/>
      <c r="J3" s="2986"/>
      <c r="K3" s="2986"/>
      <c r="L3" s="2986"/>
      <c r="M3" s="2986"/>
      <c r="N3" s="2986"/>
    </row>
    <row r="4" spans="1:14" ht="14.25">
      <c r="A4" s="2991" t="s">
        <v>2204</v>
      </c>
      <c r="B4" s="2996" t="e">
        <f ca="1">ROUND(B2*10000/E4,0)</f>
        <v>#DIV/0!</v>
      </c>
      <c r="C4" s="2991" t="s">
        <v>1596</v>
      </c>
      <c r="D4" s="2991" t="s">
        <v>2205</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2202</v>
      </c>
      <c r="B6" s="2991" t="s">
        <v>2199</v>
      </c>
      <c r="C6" s="2542"/>
      <c r="D6" s="2988"/>
      <c r="E6" s="2991" t="s">
        <v>2200</v>
      </c>
      <c r="F6" s="2991" t="s">
        <v>2203</v>
      </c>
      <c r="G6" s="2986"/>
      <c r="H6" s="2986"/>
      <c r="I6" s="2986"/>
      <c r="J6" s="2986"/>
      <c r="K6" s="2986"/>
      <c r="L6" s="2986"/>
      <c r="M6" s="2986"/>
      <c r="N6" s="2986"/>
    </row>
    <row r="7" spans="1:14" ht="14.25">
      <c r="A7" s="2994"/>
      <c r="B7" s="2996" t="e">
        <f ca="1">SUMIF(INDIRECT("'"&amp;A7&amp;"'"&amp;"!A:A"),"总价",INDIRECT("'"&amp;A7&amp;"'"&amp;"!B:B"))</f>
        <v>#REF!</v>
      </c>
      <c r="C7" s="2991" t="s">
        <v>2197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2197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2197</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2197</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2197</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2197</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2197</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2197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7" t="s">
        <v>576</v>
      </c>
      <c r="B1" s="705"/>
      <c r="C1" s="738"/>
      <c r="D1" s="1771"/>
      <c r="E1" s="2076" t="s">
        <v>1728</v>
      </c>
      <c r="F1" s="2077">
        <f ca="1">J54</f>
        <v>-2</v>
      </c>
      <c r="G1" s="739">
        <f>MATCH(C1,'数据-取费表'!A6:A16,0)+5</f>
        <v>9</v>
      </c>
      <c r="H1" s="1207"/>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8"/>
      <c r="D2" s="1776"/>
      <c r="E2" s="1777"/>
      <c r="F2" s="1777"/>
      <c r="G2" s="1400"/>
      <c r="H2" s="1220"/>
      <c r="I2" s="1778"/>
      <c r="J2" s="1778"/>
      <c r="K2" s="1779"/>
      <c r="L2" s="1778"/>
      <c r="M2" s="1778"/>
    </row>
    <row r="3" spans="1:25" ht="18" customHeight="1">
      <c r="A3" s="1447" t="s">
        <v>1219</v>
      </c>
      <c r="B3" s="1243">
        <f ca="1">ROUND(B2*10000/'数据-汇总表'!E3,0)</f>
        <v>0</v>
      </c>
      <c r="C3" s="1208"/>
      <c r="D3" s="1776"/>
      <c r="E3" s="1777"/>
      <c r="F3" s="1777"/>
      <c r="G3" s="1400"/>
      <c r="H3" s="741" t="s">
        <v>642</v>
      </c>
      <c r="I3" s="1778"/>
      <c r="J3" s="1778"/>
      <c r="K3" s="1779"/>
      <c r="L3" s="1778"/>
      <c r="M3" s="1778"/>
    </row>
    <row r="4" spans="1:25" ht="18" customHeight="1">
      <c r="A4" s="1448" t="s">
        <v>643</v>
      </c>
      <c r="B4" s="1209">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3997" t="s">
        <v>1807</v>
      </c>
      <c r="C8" s="1609">
        <f ca="1">ROUND(F8*F10*F9*(1-F11)/10000,0)</f>
        <v>0</v>
      </c>
      <c r="D8" s="1606" t="s">
        <v>1817</v>
      </c>
      <c r="E8" s="59" t="s">
        <v>585</v>
      </c>
      <c r="F8" s="750">
        <f ca="1">INDIRECT("'数据-取费表'!u"&amp;$G$1)</f>
        <v>0</v>
      </c>
      <c r="G8" s="1402"/>
      <c r="H8" s="2148" t="s">
        <v>1353</v>
      </c>
      <c r="I8" s="3997" t="s">
        <v>1807</v>
      </c>
      <c r="J8" s="748">
        <f ca="1">ROUND(M8*M10*M9*(1-M11)/10000,0)</f>
        <v>0</v>
      </c>
      <c r="K8" s="331" t="s">
        <v>1817</v>
      </c>
      <c r="L8" s="749" t="s">
        <v>1267</v>
      </c>
      <c r="M8" s="750">
        <f ca="1">INDIRECT("'数据-取费表'!z"&amp;$G$1)</f>
        <v>0</v>
      </c>
    </row>
    <row r="9" spans="1:25" ht="18" customHeight="1">
      <c r="A9" s="2144"/>
      <c r="B9" s="3998"/>
      <c r="C9" s="1610"/>
      <c r="D9" s="1607"/>
      <c r="E9" s="59" t="s">
        <v>586</v>
      </c>
      <c r="F9" s="750">
        <f ca="1">IF(INDIRECT("'数据-取费表'!ah"&amp;$G$1)="",INDIRECT("'数据-取费表'!k"&amp;$G$1),INDIRECT("'数据-取费表'!ah"&amp;$G$1))</f>
        <v>0</v>
      </c>
      <c r="G9" s="1402"/>
      <c r="H9" s="2133"/>
      <c r="I9" s="3998"/>
      <c r="J9" s="753"/>
      <c r="K9" s="754"/>
      <c r="L9" s="749" t="s">
        <v>1268</v>
      </c>
      <c r="M9" s="750">
        <f ca="1">F9</f>
        <v>0</v>
      </c>
    </row>
    <row r="10" spans="1:25" ht="18" customHeight="1">
      <c r="A10" s="2137"/>
      <c r="B10" s="3999"/>
      <c r="C10" s="1610"/>
      <c r="D10" s="1607"/>
      <c r="E10" s="59" t="s">
        <v>587</v>
      </c>
      <c r="F10" s="750">
        <f ca="1">INDIRECT("'数据-取费表'!ai"&amp;$G$1)</f>
        <v>0</v>
      </c>
      <c r="G10" s="1402"/>
      <c r="H10" s="2133"/>
      <c r="I10" s="3999"/>
      <c r="J10" s="753"/>
      <c r="K10" s="754"/>
      <c r="L10" s="749" t="s">
        <v>1269</v>
      </c>
      <c r="M10" s="750">
        <f ca="1">INDIRECT("'数据-取费表'!ai"&amp;$G$1)</f>
        <v>0</v>
      </c>
    </row>
    <row r="11" spans="1:25" ht="18" customHeight="1">
      <c r="A11" s="751"/>
      <c r="B11" s="4000"/>
      <c r="C11" s="1610"/>
      <c r="D11" s="1607"/>
      <c r="E11" s="59" t="s">
        <v>588</v>
      </c>
      <c r="F11" s="759">
        <f ca="1">INDIRECT("'数据-取费表'!w"&amp;$G$1)</f>
        <v>0</v>
      </c>
      <c r="G11" s="1402"/>
      <c r="H11" s="2149"/>
      <c r="I11" s="3999"/>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2222</v>
      </c>
      <c r="E12" s="2142" t="s">
        <v>1808</v>
      </c>
      <c r="F12" s="2226"/>
      <c r="G12" s="1402"/>
      <c r="H12" s="2176" t="s">
        <v>1354</v>
      </c>
      <c r="I12" s="2181" t="s">
        <v>1803</v>
      </c>
      <c r="J12" s="748">
        <f ca="1">ROUND(IF(M12="押一",J8/12*M13,IF(M12="押二",J8/12*2*M13,IF(M12="押三",J8/12*3*M13,J13*M13))),0)</f>
        <v>0</v>
      </c>
      <c r="K12" s="2145" t="s">
        <v>2222</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0.03</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9">
        <f ca="1">ROUND(IF(AND(项目基本情况!B11="自然人",项目基本情况!B10="北京市"),J8*M19/(1+'数据-取费表'!C42),J20+J21+J22),0)</f>
        <v>0</v>
      </c>
      <c r="K19" s="1731" t="s">
        <v>605</v>
      </c>
      <c r="L19" s="1729" t="s">
        <v>606</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3.5499999999999997E-2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2"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3"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9">
        <f ca="1">ROUND(IF(AND(项目基本情况!B11="自然人",项目基本情况!B10="北京市"),C8*F33/(1+'数据-取费表'!C42),C34+C35+C36),2)</f>
        <v>0</v>
      </c>
      <c r="D33" s="1731" t="s">
        <v>605</v>
      </c>
      <c r="E33" s="1729" t="s">
        <v>637</v>
      </c>
      <c r="F33" s="2758" t="str">
        <f>IF(项目基本情况!B11="企业","——",IF(M48="住宅",IF(F8*F9*F10/12/(1+'数据-取费表'!F30)&gt;100000,4%,2.5%),IF(F8*F9*F10/12/(1+'数据-取费表'!F30)&gt;100000,12%,7%)))</f>
        <v>——</v>
      </c>
      <c r="G33" s="1783"/>
      <c r="H33" s="2997"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3996"/>
      <c r="J36" s="1800"/>
      <c r="K36" s="1801"/>
      <c r="L36" s="1800"/>
      <c r="M36" s="1800"/>
    </row>
    <row r="37" spans="1:18" ht="18" customHeight="1">
      <c r="A37" s="779"/>
      <c r="B37" s="758"/>
      <c r="C37" s="67"/>
      <c r="D37" s="780"/>
      <c r="E37" s="749" t="s">
        <v>621</v>
      </c>
      <c r="F37" s="750">
        <f ca="1">INDIRECT("'数据-取费表'!r"&amp;$G$1)</f>
        <v>0</v>
      </c>
      <c r="G37" s="1783"/>
      <c r="H37" s="1786"/>
      <c r="I37" s="3996"/>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2"/>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2"/>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2"/>
      <c r="J40" s="1738"/>
      <c r="K40" s="1803"/>
      <c r="L40" s="1798"/>
      <c r="M40" s="1798"/>
    </row>
    <row r="41" spans="1:18" ht="18" customHeight="1" thickTop="1">
      <c r="A41" s="1613">
        <v>4</v>
      </c>
      <c r="B41" s="1611" t="s">
        <v>639</v>
      </c>
      <c r="C41" s="1210"/>
      <c r="D41" s="1211"/>
      <c r="E41" s="1211"/>
      <c r="F41" s="1212"/>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3" t="s">
        <v>659</v>
      </c>
      <c r="E43" s="2547" t="s">
        <v>2212</v>
      </c>
      <c r="F43" s="2548">
        <f ca="1">INDIRECT("'数据-取费表'!j"&amp;$G$1)</f>
        <v>0</v>
      </c>
      <c r="G43" s="1783"/>
      <c r="H43" s="1783"/>
      <c r="I43" s="1783"/>
      <c r="J43" s="1783"/>
      <c r="K43" s="1803"/>
      <c r="L43" s="1783"/>
      <c r="M43" s="1783"/>
    </row>
    <row r="44" spans="1:18" ht="18" customHeight="1">
      <c r="A44" s="768" t="s">
        <v>1403</v>
      </c>
      <c r="B44" s="799" t="s">
        <v>660</v>
      </c>
      <c r="C44" s="1214">
        <f ca="1">C42-C43</f>
        <v>0</v>
      </c>
      <c r="D44" s="448" t="s">
        <v>661</v>
      </c>
      <c r="E44" s="449"/>
      <c r="F44" s="450"/>
      <c r="G44" s="1783"/>
      <c r="H44" s="1783"/>
      <c r="I44" s="1783"/>
      <c r="J44" s="1783"/>
      <c r="K44" s="1803"/>
      <c r="L44" s="1783"/>
      <c r="M44" s="1783"/>
    </row>
    <row r="45" spans="1:18" ht="18" customHeight="1">
      <c r="A45" s="768" t="s">
        <v>1404</v>
      </c>
      <c r="B45" s="1213" t="s">
        <v>662</v>
      </c>
      <c r="C45" s="2506">
        <f ca="1">ROUND(-PV(F45,F46,C44,0),0)</f>
        <v>0</v>
      </c>
      <c r="D45" s="1215" t="s">
        <v>663</v>
      </c>
      <c r="E45" s="771" t="s">
        <v>664</v>
      </c>
      <c r="F45" s="794">
        <f ca="1">INDIRECT("'数据-取费表'!h"&amp;$G$1)</f>
        <v>0</v>
      </c>
      <c r="G45" s="1783"/>
      <c r="H45" s="1783"/>
      <c r="I45" s="1783"/>
      <c r="J45" s="1783"/>
      <c r="K45" s="1803"/>
      <c r="L45" s="1783"/>
      <c r="M45" s="1783"/>
    </row>
    <row r="46" spans="1:18" ht="18" customHeight="1" thickBot="1">
      <c r="A46" s="795"/>
      <c r="B46" s="1216"/>
      <c r="C46" s="1217"/>
      <c r="D46" s="1218"/>
      <c r="E46" s="2549" t="s">
        <v>2215</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3" t="e">
        <f ca="1">IF(M48="住宅",0,IF(L49&gt;J52,L61,J61))</f>
        <v>#DIV/0!</v>
      </c>
      <c r="O47" s="2083" t="s">
        <v>1764</v>
      </c>
      <c r="P47" s="1402"/>
      <c r="Q47" s="1410"/>
      <c r="R47" s="1402"/>
    </row>
    <row r="48" spans="1:18" s="1780" customFormat="1" ht="18" customHeight="1" thickBot="1">
      <c r="A48" s="1804"/>
      <c r="C48" s="1807"/>
      <c r="D48" s="1808"/>
      <c r="E48" s="1808"/>
      <c r="F48" s="1809"/>
      <c r="G48" s="1810"/>
      <c r="I48" s="2554" t="s">
        <v>1698</v>
      </c>
      <c r="J48" s="2070"/>
      <c r="K48" s="2560" t="s">
        <v>1703</v>
      </c>
      <c r="L48" s="2564">
        <f ca="1">INDIRECT("'数据-取费表'!d"&amp;$G$1)</f>
        <v>0</v>
      </c>
      <c r="M48" s="2546"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1" t="s">
        <v>1699</v>
      </c>
      <c r="J49" s="2071"/>
      <c r="K49" s="2561"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1" t="s">
        <v>1700</v>
      </c>
      <c r="J50" s="2072"/>
      <c r="K50" s="2562"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1" t="s">
        <v>1701</v>
      </c>
      <c r="J51" s="2558">
        <f>SUMPRODUCT((I64:I66=J48)*(J63:L63=J49)*(J64:L66))</f>
        <v>0</v>
      </c>
      <c r="K51" s="2562" t="s">
        <v>1707</v>
      </c>
      <c r="L51" s="2073"/>
      <c r="O51" s="2090" t="s">
        <v>1737</v>
      </c>
      <c r="P51" s="2088" t="s">
        <v>1761</v>
      </c>
      <c r="Q51" s="2089">
        <f ca="1">C31</f>
        <v>0</v>
      </c>
      <c r="R51" s="2088" t="s">
        <v>1734</v>
      </c>
    </row>
    <row r="52" spans="1:18" s="1780" customFormat="1" ht="18" customHeight="1" thickBot="1">
      <c r="A52" s="1816"/>
      <c r="F52" s="1805"/>
      <c r="I52" s="2555" t="s">
        <v>1702</v>
      </c>
      <c r="J52" s="2559">
        <f>IF(J50="",J51,J50+J51-YEAR('数据-取费表'!B3))</f>
        <v>0</v>
      </c>
      <c r="K52" s="2551" t="s">
        <v>1708</v>
      </c>
      <c r="L52" s="2565">
        <f ca="1">C45</f>
        <v>0</v>
      </c>
      <c r="O52" s="2090" t="s">
        <v>1738</v>
      </c>
      <c r="P52" s="2088" t="s">
        <v>1739</v>
      </c>
      <c r="Q52" s="2091" t="e">
        <f ca="1">J59</f>
        <v>#DIV/0!</v>
      </c>
      <c r="R52" s="2092"/>
    </row>
    <row r="53" spans="1:18" s="1780" customFormat="1" ht="18" customHeight="1" thickBot="1">
      <c r="A53" s="1816"/>
      <c r="F53" s="1805"/>
      <c r="I53" s="2556" t="s">
        <v>1775</v>
      </c>
      <c r="J53" s="2074"/>
      <c r="K53" s="2556" t="s">
        <v>1774</v>
      </c>
      <c r="L53" s="2074"/>
      <c r="O53" s="2090" t="s">
        <v>1740</v>
      </c>
      <c r="P53" s="2088" t="s">
        <v>1741</v>
      </c>
      <c r="Q53" s="2091">
        <f>J53</f>
        <v>0</v>
      </c>
      <c r="R53" s="2092"/>
    </row>
    <row r="54" spans="1:18" s="1780" customFormat="1" ht="29.25" thickBot="1">
      <c r="A54" s="1816"/>
      <c r="I54" s="2557" t="s">
        <v>2226</v>
      </c>
      <c r="J54" s="2608">
        <f ca="1">IF(M48="住宅",MAX(J52,L49-'数据-取费表'!B20),MIN(J52,L49-'数据-取费表'!B20))</f>
        <v>-2</v>
      </c>
      <c r="K54" s="4001"/>
      <c r="L54" s="4002"/>
      <c r="O54" s="2090" t="s">
        <v>1742</v>
      </c>
      <c r="P54" s="2088" t="s">
        <v>1743</v>
      </c>
      <c r="Q54" s="2089">
        <f ca="1">J54</f>
        <v>-2</v>
      </c>
      <c r="R54" s="2088" t="s">
        <v>1744</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1745</v>
      </c>
      <c r="P55" s="2088" t="s">
        <v>1762</v>
      </c>
      <c r="Q55" s="2089" t="e">
        <f ca="1">Q49+Q50</f>
        <v>#DIV/0!</v>
      </c>
      <c r="R55" s="2092" t="s">
        <v>1746</v>
      </c>
    </row>
    <row r="56" spans="1:18" s="1780" customFormat="1" ht="16.5" thickBot="1">
      <c r="A56" s="1816"/>
      <c r="B56" s="1817"/>
      <c r="C56" s="1817"/>
      <c r="I56" s="2568" t="s">
        <v>1709</v>
      </c>
      <c r="J56" s="2540" t="e">
        <f ca="1">ROUND(IF(J48="钢混",J58/J51,1-(1-2%)*(J51-J58)/J51),3)</f>
        <v>#DIV/0!</v>
      </c>
      <c r="K56" s="2569" t="s">
        <v>1710</v>
      </c>
      <c r="L56" s="2075"/>
      <c r="O56" s="2093" t="s">
        <v>1765</v>
      </c>
      <c r="P56" s="1402"/>
      <c r="Q56" s="1410"/>
      <c r="R56" s="1402"/>
    </row>
    <row r="57" spans="1:18" s="1780" customFormat="1" ht="43.5" thickBot="1">
      <c r="A57" s="1816"/>
      <c r="B57" s="1817"/>
      <c r="C57" s="1817"/>
      <c r="I57" s="2570" t="s">
        <v>1711</v>
      </c>
      <c r="J57" s="2580"/>
      <c r="K57" s="2551" t="s">
        <v>1716</v>
      </c>
      <c r="L57" s="1661">
        <f ca="1">IF(L49&lt;J52,"——",L49-J52)</f>
        <v>0</v>
      </c>
      <c r="O57" s="2084" t="s">
        <v>1729</v>
      </c>
      <c r="P57" s="2085" t="s">
        <v>1730</v>
      </c>
      <c r="Q57" s="2086" t="s">
        <v>1731</v>
      </c>
      <c r="R57" s="2085" t="s">
        <v>1732</v>
      </c>
    </row>
    <row r="58" spans="1:18" s="1780" customFormat="1" ht="29.25" thickBot="1">
      <c r="A58" s="1816"/>
      <c r="B58" s="1817"/>
      <c r="C58" s="1817"/>
      <c r="I58" s="2571" t="s">
        <v>1712</v>
      </c>
      <c r="J58" s="2572">
        <f ca="1">IF(OR(M48="住宅",J52&lt;L49,J57="是"),"——",J52-L49)</f>
        <v>0</v>
      </c>
      <c r="K58" s="2551"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1" t="s">
        <v>1713</v>
      </c>
      <c r="J59" s="2541" t="e">
        <f ca="1">IF(J56&lt;0.4,0.4,J56)</f>
        <v>#DIV/0!</v>
      </c>
      <c r="K59" s="2551"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1" t="s">
        <v>1714</v>
      </c>
      <c r="J60" s="2572" t="e">
        <f ca="1">IF(OR(M48="住宅",J52&lt;L49,J57="是"),"——",ROUND(C30*J59,0))</f>
        <v>#DIV/0!</v>
      </c>
      <c r="K60" s="2551"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3" t="s">
        <v>1715</v>
      </c>
      <c r="J61" s="2574" t="e">
        <f ca="1">IF(OR(M48="住宅",J52&lt;L49,J57="是"),"0",ROUND(J60/(1+J53)^J54,0))</f>
        <v>#DIV/0!</v>
      </c>
      <c r="K61" s="2575" t="s">
        <v>1720</v>
      </c>
      <c r="L61" s="2574"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6" t="s">
        <v>1721</v>
      </c>
      <c r="J63" s="2577" t="s">
        <v>1722</v>
      </c>
      <c r="K63" s="2577" t="s">
        <v>1723</v>
      </c>
      <c r="L63" s="2577" t="s">
        <v>1704</v>
      </c>
      <c r="M63" s="2578" t="s">
        <v>2195</v>
      </c>
      <c r="O63" s="2090" t="s">
        <v>1742</v>
      </c>
      <c r="P63" s="2088" t="s">
        <v>1750</v>
      </c>
      <c r="Q63" s="2089">
        <f ca="1">L60</f>
        <v>0</v>
      </c>
      <c r="R63" s="2092" t="s">
        <v>1751</v>
      </c>
    </row>
    <row r="64" spans="1:18" s="1780" customFormat="1" ht="15.75" thickBot="1">
      <c r="A64" s="1816"/>
      <c r="B64" s="1817"/>
      <c r="C64" s="1817"/>
      <c r="I64" s="2576" t="s">
        <v>1724</v>
      </c>
      <c r="J64" s="2577">
        <v>70</v>
      </c>
      <c r="K64" s="2577">
        <v>50</v>
      </c>
      <c r="L64" s="2577">
        <v>80</v>
      </c>
      <c r="M64" s="2579">
        <v>0.02</v>
      </c>
      <c r="O64" s="2087" t="s">
        <v>1745</v>
      </c>
      <c r="P64" s="2088" t="s">
        <v>1762</v>
      </c>
      <c r="Q64" s="2089" t="e">
        <f ca="1">Q58+Q59</f>
        <v>#DIV/0!</v>
      </c>
      <c r="R64" s="2092" t="s">
        <v>1746</v>
      </c>
    </row>
    <row r="65" spans="1:18" s="1780" customFormat="1" ht="16.5" thickBot="1">
      <c r="A65" s="1816"/>
      <c r="B65" s="1817"/>
      <c r="C65" s="1817"/>
      <c r="I65" s="2576" t="s">
        <v>1725</v>
      </c>
      <c r="J65" s="2577">
        <v>50</v>
      </c>
      <c r="K65" s="2577">
        <v>35</v>
      </c>
      <c r="L65" s="2577">
        <v>60</v>
      </c>
      <c r="M65" s="810">
        <v>0</v>
      </c>
      <c r="O65" s="2093" t="s">
        <v>1769</v>
      </c>
      <c r="P65" s="1402"/>
      <c r="Q65" s="1410"/>
      <c r="R65" s="1402"/>
    </row>
    <row r="66" spans="1:18" s="1780" customFormat="1" ht="15.75" thickBot="1">
      <c r="A66" s="1816"/>
      <c r="B66" s="1817"/>
      <c r="C66" s="1817"/>
      <c r="I66" s="2576" t="s">
        <v>1726</v>
      </c>
      <c r="J66" s="2577">
        <v>40</v>
      </c>
      <c r="K66" s="2577">
        <v>30</v>
      </c>
      <c r="L66" s="2577">
        <v>50</v>
      </c>
      <c r="M66" s="2579">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6" zoomScale="85" zoomScaleNormal="60" zoomScaleSheetLayoutView="85" workbookViewId="0">
      <selection activeCell="C122" sqref="C122:D122"/>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2228" t="s">
        <v>666</v>
      </c>
      <c r="C1" s="2229" t="s">
        <v>667</v>
      </c>
      <c r="D1" s="2230" t="s">
        <v>851</v>
      </c>
      <c r="E1" s="1847"/>
      <c r="F1" s="2284" t="s">
        <v>3405</v>
      </c>
      <c r="G1" s="1407" t="s">
        <v>668</v>
      </c>
      <c r="H1" s="475"/>
      <c r="I1" s="475"/>
      <c r="J1" s="475"/>
      <c r="K1" s="476"/>
      <c r="L1" s="2950"/>
      <c r="M1" s="2951"/>
      <c r="N1" s="2951"/>
      <c r="O1" s="2951"/>
      <c r="P1" s="1375"/>
      <c r="Q1" s="1375"/>
      <c r="R1" s="1375"/>
      <c r="S1" s="1375"/>
      <c r="T1" s="1375"/>
      <c r="U1" s="1375"/>
      <c r="V1" s="1375"/>
      <c r="W1" s="1375"/>
      <c r="X1" s="1375"/>
      <c r="Y1" s="1375"/>
      <c r="Z1" s="1375"/>
      <c r="AA1" s="1375"/>
      <c r="AB1" s="1375"/>
      <c r="AC1" s="1376"/>
    </row>
    <row r="2" spans="1:29" s="1219" customFormat="1" ht="28.5" customHeight="1">
      <c r="A2" s="409" t="s">
        <v>427</v>
      </c>
      <c r="B2" s="2227">
        <f>ROUND(B3*D3/10000,0)</f>
        <v>121731</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19" customFormat="1" ht="28.5" customHeight="1" thickBot="1">
      <c r="A3" s="478" t="s">
        <v>468</v>
      </c>
      <c r="B3" s="815">
        <f>C49</f>
        <v>23935</v>
      </c>
      <c r="C3" s="816" t="s">
        <v>669</v>
      </c>
      <c r="D3" s="815">
        <f>SUMIF('数据-汇总表'!$C19:$C33,D1,'数据-汇总表'!$E19:$E33)</f>
        <v>50858.83</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1" t="s">
        <v>470</v>
      </c>
      <c r="B4" s="482"/>
      <c r="C4" s="3904" t="s">
        <v>471</v>
      </c>
      <c r="D4" s="3905"/>
      <c r="E4" s="3940" t="s">
        <v>472</v>
      </c>
      <c r="F4" s="3941"/>
      <c r="G4" s="3904" t="s">
        <v>473</v>
      </c>
      <c r="H4" s="3905"/>
      <c r="I4" s="3904" t="s">
        <v>474</v>
      </c>
      <c r="J4" s="3905"/>
      <c r="K4" s="817" t="s">
        <v>475</v>
      </c>
      <c r="L4" s="1853"/>
      <c r="M4" s="1854"/>
      <c r="N4" s="1854"/>
      <c r="O4" s="1854"/>
      <c r="P4" s="3906" t="s">
        <v>476</v>
      </c>
      <c r="Q4" s="3907"/>
      <c r="R4" s="3912" t="s">
        <v>472</v>
      </c>
      <c r="S4" s="3913"/>
      <c r="T4" s="3912" t="s">
        <v>473</v>
      </c>
      <c r="U4" s="3913"/>
      <c r="V4" s="3899" t="s">
        <v>474</v>
      </c>
      <c r="W4" s="3899"/>
      <c r="X4" s="1377"/>
      <c r="Y4" s="3912" t="s">
        <v>476</v>
      </c>
      <c r="Z4" s="3913"/>
      <c r="AA4" s="3901" t="s">
        <v>472</v>
      </c>
      <c r="AB4" s="3901" t="s">
        <v>473</v>
      </c>
      <c r="AC4" s="3901" t="s">
        <v>474</v>
      </c>
    </row>
    <row r="5" spans="1:29" ht="15">
      <c r="A5" s="484"/>
      <c r="B5" s="485"/>
      <c r="C5" s="3920" t="str">
        <f>销售案例!L1</f>
        <v>中骏·云景台</v>
      </c>
      <c r="D5" s="3921"/>
      <c r="E5" s="3942" t="str">
        <f>销售案例!L6</f>
        <v>中海金樾和著</v>
      </c>
      <c r="F5" s="3943"/>
      <c r="G5" s="3920" t="str">
        <f>销售案例!L11</f>
        <v>新御峰</v>
      </c>
      <c r="H5" s="3921"/>
      <c r="I5" s="3920" t="str">
        <f>销售案例!L16</f>
        <v>旭辉城</v>
      </c>
      <c r="J5" s="3921"/>
      <c r="K5" s="818"/>
      <c r="L5" s="1853"/>
      <c r="M5" s="1854"/>
      <c r="N5" s="1854"/>
      <c r="O5" s="1854"/>
      <c r="P5" s="3908"/>
      <c r="Q5" s="3909"/>
      <c r="R5" s="3914"/>
      <c r="S5" s="3915"/>
      <c r="T5" s="3914"/>
      <c r="U5" s="3915"/>
      <c r="V5" s="3899"/>
      <c r="W5" s="3899"/>
      <c r="X5" s="1377"/>
      <c r="Y5" s="3914"/>
      <c r="Z5" s="3915"/>
      <c r="AA5" s="3902"/>
      <c r="AB5" s="3902"/>
      <c r="AC5" s="3902"/>
    </row>
    <row r="6" spans="1:29" ht="15.75" thickBot="1">
      <c r="A6" s="486"/>
      <c r="B6" s="487"/>
      <c r="C6" s="3918" t="s">
        <v>2186</v>
      </c>
      <c r="D6" s="3919"/>
      <c r="E6" s="3938" t="s">
        <v>2186</v>
      </c>
      <c r="F6" s="3939"/>
      <c r="G6" s="3918" t="s">
        <v>2186</v>
      </c>
      <c r="H6" s="3919"/>
      <c r="I6" s="3918" t="s">
        <v>2186</v>
      </c>
      <c r="J6" s="3919"/>
      <c r="K6" s="818" t="s">
        <v>477</v>
      </c>
      <c r="L6" s="1853"/>
      <c r="M6" s="1854"/>
      <c r="N6" s="1854"/>
      <c r="O6" s="1854"/>
      <c r="P6" s="3910"/>
      <c r="Q6" s="3911"/>
      <c r="R6" s="3914"/>
      <c r="S6" s="3915"/>
      <c r="T6" s="3916"/>
      <c r="U6" s="3917"/>
      <c r="V6" s="3899"/>
      <c r="W6" s="3899"/>
      <c r="X6" s="1377"/>
      <c r="Y6" s="3916"/>
      <c r="Z6" s="3917"/>
      <c r="AA6" s="3903"/>
      <c r="AB6" s="3903"/>
      <c r="AC6" s="3903"/>
    </row>
    <row r="7" spans="1:29" s="1115" customFormat="1" ht="15.75" thickBot="1">
      <c r="A7" s="2389"/>
      <c r="B7" s="2396" t="s">
        <v>478</v>
      </c>
      <c r="C7" s="488">
        <f>'数据-取费表'!B2</f>
        <v>45138</v>
      </c>
      <c r="D7" s="489">
        <v>100</v>
      </c>
      <c r="E7" s="490">
        <v>45108</v>
      </c>
      <c r="F7" s="491">
        <f>SUMIF(58:58,YEAR(E7)&amp;"-"&amp;MONTH(E7),59:59)</f>
        <v>100</v>
      </c>
      <c r="G7" s="492">
        <v>45108</v>
      </c>
      <c r="H7" s="489">
        <f>SUMIF(58:58,YEAR(G7)&amp;"-"&amp;MONTH(G7),59:59)</f>
        <v>100</v>
      </c>
      <c r="I7" s="492">
        <v>45078</v>
      </c>
      <c r="J7" s="489">
        <f>SUMIF(58:58,YEAR(I7)&amp;"-"&amp;MONTH(I7),59:59)</f>
        <v>100</v>
      </c>
      <c r="K7" s="819"/>
      <c r="L7" s="1855"/>
      <c r="M7" s="1856"/>
      <c r="N7" s="1856"/>
      <c r="O7" s="1856"/>
      <c r="P7" s="3929" t="s">
        <v>479</v>
      </c>
      <c r="Q7" s="3931"/>
      <c r="R7" s="1378" t="s">
        <v>10</v>
      </c>
      <c r="S7" s="1379">
        <f t="shared" ref="S7:S15" si="0">F7</f>
        <v>100</v>
      </c>
      <c r="T7" s="1378" t="s">
        <v>10</v>
      </c>
      <c r="U7" s="1379">
        <f t="shared" ref="U7:U15" si="1">H7</f>
        <v>100</v>
      </c>
      <c r="V7" s="1378" t="s">
        <v>10</v>
      </c>
      <c r="W7" s="1379">
        <f t="shared" ref="W7:W15" si="2">J7</f>
        <v>100</v>
      </c>
      <c r="X7" s="1380"/>
      <c r="Y7" s="3929" t="s">
        <v>479</v>
      </c>
      <c r="Z7" s="3930"/>
      <c r="AA7" s="1381">
        <f>D7/F7</f>
        <v>1</v>
      </c>
      <c r="AB7" s="1381">
        <f>D7/H7</f>
        <v>1</v>
      </c>
      <c r="AC7" s="1381">
        <f>D7/J7</f>
        <v>1</v>
      </c>
    </row>
    <row r="8" spans="1:29" s="1115" customFormat="1" ht="15.75" thickBot="1">
      <c r="A8" s="2390"/>
      <c r="B8" s="2397" t="s">
        <v>480</v>
      </c>
      <c r="C8" s="494" t="s">
        <v>524</v>
      </c>
      <c r="D8" s="489">
        <v>100</v>
      </c>
      <c r="E8" s="820" t="s">
        <v>3409</v>
      </c>
      <c r="F8" s="491">
        <f>SUMIF(61:61,E8,62:62)-SUMIF(61:61,C8,62:62)+100</f>
        <v>100</v>
      </c>
      <c r="G8" s="820" t="s">
        <v>3409</v>
      </c>
      <c r="H8" s="489">
        <f>SUMIF(61:61,G8,62:62)-SUMIF(61:61,C8,62:62)+100</f>
        <v>100</v>
      </c>
      <c r="I8" s="820" t="s">
        <v>3409</v>
      </c>
      <c r="J8" s="489">
        <f>SUMIF(61:61,I8,62:62)-SUMIF(61:61,C8,62:62)+100</f>
        <v>100</v>
      </c>
      <c r="K8" s="819"/>
      <c r="L8" s="1855"/>
      <c r="M8" s="1856"/>
      <c r="N8" s="1856"/>
      <c r="O8" s="1856"/>
      <c r="P8" s="3929" t="s">
        <v>482</v>
      </c>
      <c r="Q8" s="3930"/>
      <c r="R8" s="1378" t="s">
        <v>10</v>
      </c>
      <c r="S8" s="1379">
        <f t="shared" si="0"/>
        <v>100</v>
      </c>
      <c r="T8" s="1378" t="s">
        <v>10</v>
      </c>
      <c r="U8" s="1379">
        <f t="shared" si="1"/>
        <v>100</v>
      </c>
      <c r="V8" s="1378" t="s">
        <v>10</v>
      </c>
      <c r="W8" s="1379">
        <f t="shared" si="2"/>
        <v>100</v>
      </c>
      <c r="X8" s="1380"/>
      <c r="Y8" s="3929" t="s">
        <v>482</v>
      </c>
      <c r="Z8" s="3930"/>
      <c r="AA8" s="1381">
        <f t="shared" ref="AA8:AA46" si="3">D8/F8</f>
        <v>1</v>
      </c>
      <c r="AB8" s="1381">
        <f t="shared" ref="AB8:AB46" si="4">D8/H8</f>
        <v>1</v>
      </c>
      <c r="AC8" s="1381">
        <f t="shared" ref="AC8:AC46" si="5">D8/J8</f>
        <v>1</v>
      </c>
    </row>
    <row r="9" spans="1:29" s="1115" customFormat="1" ht="15">
      <c r="A9" s="2391"/>
      <c r="B9" s="2398" t="s">
        <v>2038</v>
      </c>
      <c r="C9" s="3674" t="s">
        <v>3473</v>
      </c>
      <c r="D9" s="244">
        <v>100</v>
      </c>
      <c r="E9" s="822" t="s">
        <v>851</v>
      </c>
      <c r="F9" s="823">
        <f>SUMIF(63:63,E9,64:64)-SUMIF(63:63,C9,64:64)+100</f>
        <v>100</v>
      </c>
      <c r="G9" s="822" t="s">
        <v>851</v>
      </c>
      <c r="H9" s="244">
        <f>SUMIF(63:63,G9,64:64)-SUMIF(63:63,C9,64:64)+100</f>
        <v>100</v>
      </c>
      <c r="I9" s="822" t="s">
        <v>851</v>
      </c>
      <c r="J9" s="244">
        <f>SUMIF(63:63,I9,64:64)-SUMIF(63:63,C9,64:64)+100</f>
        <v>100</v>
      </c>
      <c r="K9" s="819"/>
      <c r="L9" s="1855"/>
      <c r="M9" s="1856"/>
      <c r="N9" s="1856"/>
      <c r="O9" s="1857"/>
      <c r="P9" s="3898" t="s">
        <v>484</v>
      </c>
      <c r="Q9" s="1047" t="str">
        <f t="shared" ref="Q9:Q15" si="6">B9</f>
        <v>用途</v>
      </c>
      <c r="R9" s="1378" t="s">
        <v>5</v>
      </c>
      <c r="S9" s="1379">
        <f t="shared" si="0"/>
        <v>100</v>
      </c>
      <c r="T9" s="1378" t="s">
        <v>5</v>
      </c>
      <c r="U9" s="1379">
        <f t="shared" si="1"/>
        <v>100</v>
      </c>
      <c r="V9" s="1378" t="s">
        <v>5</v>
      </c>
      <c r="W9" s="1379">
        <f t="shared" si="2"/>
        <v>100</v>
      </c>
      <c r="X9" s="1380"/>
      <c r="Y9" s="3842" t="s">
        <v>485</v>
      </c>
      <c r="Z9" s="1046" t="str">
        <f t="shared" ref="Z9:Z15" si="7">Q9</f>
        <v>用途</v>
      </c>
      <c r="AA9" s="1381">
        <f t="shared" si="3"/>
        <v>1</v>
      </c>
      <c r="AB9" s="1381">
        <f t="shared" si="4"/>
        <v>1</v>
      </c>
      <c r="AC9" s="1381">
        <f t="shared" si="5"/>
        <v>1</v>
      </c>
    </row>
    <row r="10" spans="1:29" s="1196" customFormat="1" ht="27">
      <c r="A10" s="2392"/>
      <c r="B10" s="2397" t="s">
        <v>2039</v>
      </c>
      <c r="C10" s="3657" t="s">
        <v>3491</v>
      </c>
      <c r="D10" s="245">
        <v>100</v>
      </c>
      <c r="E10" s="3657" t="s">
        <v>3491</v>
      </c>
      <c r="F10" s="825">
        <f>SUMIF(65:65,E10,66:66)-SUMIF(65:65,C10,66:66)+100</f>
        <v>100</v>
      </c>
      <c r="G10" s="3657" t="s">
        <v>3491</v>
      </c>
      <c r="H10" s="245">
        <f>SUMIF(65:65,G10,66:66)-SUMIF(65:65,C10,66:66)+100</f>
        <v>100</v>
      </c>
      <c r="I10" s="3657" t="s">
        <v>3491</v>
      </c>
      <c r="J10" s="245">
        <f>SUMIF(65:65,I10,66:66)-SUMIF(65:65,C10,66:66)+100</f>
        <v>100</v>
      </c>
      <c r="K10" s="819"/>
      <c r="L10" s="1858"/>
      <c r="M10" s="1897"/>
      <c r="N10" s="1897"/>
      <c r="O10" s="1859"/>
      <c r="P10" s="3898"/>
      <c r="Q10" s="1047" t="str">
        <f t="shared" si="6"/>
        <v>土地使用年限（年）</v>
      </c>
      <c r="R10" s="1378" t="s">
        <v>5</v>
      </c>
      <c r="S10" s="1379">
        <f t="shared" si="0"/>
        <v>100</v>
      </c>
      <c r="T10" s="1378" t="s">
        <v>5</v>
      </c>
      <c r="U10" s="1379">
        <f t="shared" si="1"/>
        <v>100</v>
      </c>
      <c r="V10" s="1378" t="s">
        <v>5</v>
      </c>
      <c r="W10" s="1379">
        <f t="shared" si="2"/>
        <v>100</v>
      </c>
      <c r="X10" s="1380"/>
      <c r="Y10" s="3842"/>
      <c r="Z10" s="1046" t="str">
        <f t="shared" si="7"/>
        <v>土地使用年限（年）</v>
      </c>
      <c r="AA10" s="1381">
        <f t="shared" si="3"/>
        <v>1</v>
      </c>
      <c r="AB10" s="1381">
        <f t="shared" si="4"/>
        <v>1</v>
      </c>
      <c r="AC10" s="1381">
        <f t="shared" si="5"/>
        <v>1</v>
      </c>
    </row>
    <row r="11" spans="1:29" ht="15.75" thickBot="1">
      <c r="A11" s="2393"/>
      <c r="B11" s="2397" t="s">
        <v>2040</v>
      </c>
      <c r="C11" s="502">
        <f>'比较法-住宅、综合'!C13</f>
        <v>2.2000000000000002</v>
      </c>
      <c r="D11" s="245">
        <v>100</v>
      </c>
      <c r="E11" s="503">
        <v>1.76</v>
      </c>
      <c r="F11" s="825">
        <f>LOOKUP(E11,68:68,69:69)-LOOKUP(C11,68:68,69:69)+100</f>
        <v>103</v>
      </c>
      <c r="G11" s="502">
        <v>2.36</v>
      </c>
      <c r="H11" s="245">
        <f>LOOKUP(G11,68:68,69:69)-LOOKUP(C11,68:68,69:69)+100</f>
        <v>100</v>
      </c>
      <c r="I11" s="502">
        <v>2</v>
      </c>
      <c r="J11" s="245">
        <f>LOOKUP(I11,68:68,69:69)-LOOKUP(C11,68:68,69:69)+100</f>
        <v>100</v>
      </c>
      <c r="K11" s="826">
        <v>3</v>
      </c>
      <c r="L11" s="1860"/>
      <c r="M11" s="1854"/>
      <c r="N11" s="1854"/>
      <c r="O11" s="1861"/>
      <c r="P11" s="3898"/>
      <c r="Q11" s="1047" t="str">
        <f t="shared" si="6"/>
        <v>容积率</v>
      </c>
      <c r="R11" s="1378" t="s">
        <v>8</v>
      </c>
      <c r="S11" s="1379">
        <f t="shared" si="0"/>
        <v>103</v>
      </c>
      <c r="T11" s="1378" t="s">
        <v>8</v>
      </c>
      <c r="U11" s="1379">
        <f t="shared" si="1"/>
        <v>100</v>
      </c>
      <c r="V11" s="1378" t="s">
        <v>8</v>
      </c>
      <c r="W11" s="1379">
        <f t="shared" si="2"/>
        <v>100</v>
      </c>
      <c r="X11" s="1380"/>
      <c r="Y11" s="3842"/>
      <c r="Z11" s="1046" t="str">
        <f t="shared" si="7"/>
        <v>容积率</v>
      </c>
      <c r="AA11" s="1381">
        <f t="shared" si="3"/>
        <v>0.970873786407767</v>
      </c>
      <c r="AB11" s="1381">
        <f t="shared" si="4"/>
        <v>1</v>
      </c>
      <c r="AC11" s="1381">
        <f t="shared" si="5"/>
        <v>1</v>
      </c>
    </row>
    <row r="12" spans="1:29" s="1115" customFormat="1" ht="15" hidden="1">
      <c r="A12" s="2394"/>
      <c r="B12" s="2400">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898"/>
      <c r="Q12" s="1047">
        <f t="shared" si="6"/>
        <v>111</v>
      </c>
      <c r="R12" s="1378" t="s">
        <v>8</v>
      </c>
      <c r="S12" s="1379">
        <f t="shared" si="0"/>
        <v>100</v>
      </c>
      <c r="T12" s="1378" t="s">
        <v>8</v>
      </c>
      <c r="U12" s="1379">
        <f t="shared" si="1"/>
        <v>100</v>
      </c>
      <c r="V12" s="1378" t="s">
        <v>8</v>
      </c>
      <c r="W12" s="1379">
        <f t="shared" si="2"/>
        <v>100</v>
      </c>
      <c r="X12" s="1380"/>
      <c r="Y12" s="3842"/>
      <c r="Z12" s="1046">
        <f t="shared" si="7"/>
        <v>111</v>
      </c>
      <c r="AA12" s="1381">
        <f>D12/F12</f>
        <v>1</v>
      </c>
      <c r="AB12" s="1381">
        <f>D12/H12</f>
        <v>1</v>
      </c>
      <c r="AC12" s="1381">
        <f>D12/J12</f>
        <v>1</v>
      </c>
    </row>
    <row r="13" spans="1:29" ht="15" hidden="1">
      <c r="A13" s="2394"/>
      <c r="B13" s="2400">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898"/>
      <c r="Q13" s="1047">
        <f t="shared" si="6"/>
        <v>111</v>
      </c>
      <c r="R13" s="1378" t="s">
        <v>8</v>
      </c>
      <c r="S13" s="1379">
        <f t="shared" si="0"/>
        <v>100</v>
      </c>
      <c r="T13" s="1378" t="s">
        <v>8</v>
      </c>
      <c r="U13" s="1379">
        <f t="shared" si="1"/>
        <v>100</v>
      </c>
      <c r="V13" s="1378" t="s">
        <v>8</v>
      </c>
      <c r="W13" s="1379">
        <f t="shared" si="2"/>
        <v>100</v>
      </c>
      <c r="X13" s="1380"/>
      <c r="Y13" s="3842"/>
      <c r="Z13" s="1046">
        <f t="shared" si="7"/>
        <v>111</v>
      </c>
      <c r="AA13" s="1381">
        <f t="shared" si="3"/>
        <v>1</v>
      </c>
      <c r="AB13" s="1381">
        <f t="shared" si="4"/>
        <v>1</v>
      </c>
      <c r="AC13" s="1381">
        <f t="shared" si="5"/>
        <v>1</v>
      </c>
    </row>
    <row r="14" spans="1:29" ht="15.75" hidden="1" thickBot="1">
      <c r="A14" s="2395"/>
      <c r="B14" s="2401">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898"/>
      <c r="Q14" s="1047">
        <f t="shared" si="6"/>
        <v>111</v>
      </c>
      <c r="R14" s="1378" t="s">
        <v>8</v>
      </c>
      <c r="S14" s="1379">
        <f t="shared" si="0"/>
        <v>100</v>
      </c>
      <c r="T14" s="1378" t="s">
        <v>8</v>
      </c>
      <c r="U14" s="1379">
        <f t="shared" si="1"/>
        <v>100</v>
      </c>
      <c r="V14" s="1378" t="s">
        <v>8</v>
      </c>
      <c r="W14" s="1379">
        <f t="shared" si="2"/>
        <v>100</v>
      </c>
      <c r="X14" s="1380"/>
      <c r="Y14" s="3842"/>
      <c r="Z14" s="1046">
        <f t="shared" si="7"/>
        <v>111</v>
      </c>
      <c r="AA14" s="1381">
        <f t="shared" si="3"/>
        <v>1</v>
      </c>
      <c r="AB14" s="1381">
        <f t="shared" si="4"/>
        <v>1</v>
      </c>
      <c r="AC14" s="1381">
        <f t="shared" si="5"/>
        <v>1</v>
      </c>
    </row>
    <row r="15" spans="1:29" ht="15">
      <c r="A15" s="2387" t="s">
        <v>2036</v>
      </c>
      <c r="B15" s="159" t="s">
        <v>261</v>
      </c>
      <c r="C15" s="829">
        <f>估价对象房地状况!C3</f>
        <v>0</v>
      </c>
      <c r="D15" s="518">
        <v>100</v>
      </c>
      <c r="E15" s="519"/>
      <c r="F15" s="520">
        <f>SUMIF(76:76,E16,77:77)-SUMIF(76:76,C16,77:77)+100</f>
        <v>100</v>
      </c>
      <c r="G15" s="521"/>
      <c r="H15" s="518">
        <f>SUMIF(76:76,G16,77:77)-SUMIF(76:76,C16,77:77)+100</f>
        <v>100</v>
      </c>
      <c r="I15" s="519"/>
      <c r="J15" s="518">
        <f>SUMIF(76:76,I16,77:77)-SUMIF(76:76,C16,77:77)+100</f>
        <v>105</v>
      </c>
      <c r="K15" s="830">
        <v>5</v>
      </c>
      <c r="L15" s="1862"/>
      <c r="M15" s="1854"/>
      <c r="N15" s="1854"/>
      <c r="O15" s="1861"/>
      <c r="P15" s="3932" t="s">
        <v>489</v>
      </c>
      <c r="Q15" s="1382" t="str">
        <f t="shared" si="6"/>
        <v>居住社区成熟度</v>
      </c>
      <c r="R15" s="1383" t="s">
        <v>8</v>
      </c>
      <c r="S15" s="1384">
        <f t="shared" si="0"/>
        <v>100</v>
      </c>
      <c r="T15" s="1383" t="s">
        <v>8</v>
      </c>
      <c r="U15" s="1384">
        <f t="shared" si="1"/>
        <v>100</v>
      </c>
      <c r="V15" s="1383" t="s">
        <v>8</v>
      </c>
      <c r="W15" s="1384">
        <f t="shared" si="2"/>
        <v>105</v>
      </c>
      <c r="X15" s="1377"/>
      <c r="Y15" s="3932" t="s">
        <v>489</v>
      </c>
      <c r="Z15" s="1385" t="str">
        <f t="shared" si="7"/>
        <v>居住社区成熟度</v>
      </c>
      <c r="AA15" s="1386">
        <f t="shared" si="3"/>
        <v>1</v>
      </c>
      <c r="AB15" s="1386">
        <f t="shared" si="4"/>
        <v>1</v>
      </c>
      <c r="AC15" s="1386">
        <f t="shared" si="5"/>
        <v>0.95238095238095233</v>
      </c>
    </row>
    <row r="16" spans="1:29" ht="15">
      <c r="A16" s="501"/>
      <c r="B16" s="831"/>
      <c r="C16" s="545" t="str">
        <f>'比较法-住宅、综合'!C18</f>
        <v>一般</v>
      </c>
      <c r="D16" s="524"/>
      <c r="E16" s="525" t="s">
        <v>3411</v>
      </c>
      <c r="F16" s="526"/>
      <c r="G16" s="525" t="s">
        <v>3411</v>
      </c>
      <c r="H16" s="528"/>
      <c r="I16" s="525" t="s">
        <v>3412</v>
      </c>
      <c r="J16" s="524"/>
      <c r="K16" s="832"/>
      <c r="L16" s="1862"/>
      <c r="M16" s="1854"/>
      <c r="N16" s="1854"/>
      <c r="O16" s="1861"/>
      <c r="P16" s="3933"/>
      <c r="Q16" s="1382"/>
      <c r="R16" s="1383"/>
      <c r="S16" s="1384"/>
      <c r="T16" s="1383"/>
      <c r="U16" s="1384"/>
      <c r="V16" s="1383"/>
      <c r="W16" s="1384"/>
      <c r="X16" s="1377"/>
      <c r="Y16" s="3933"/>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105</v>
      </c>
      <c r="K17" s="830">
        <v>5</v>
      </c>
      <c r="L17" s="1862"/>
      <c r="M17" s="1854"/>
      <c r="N17" s="1854"/>
      <c r="O17" s="1861"/>
      <c r="P17" s="3933"/>
      <c r="Q17" s="1382" t="str">
        <f>B17</f>
        <v>交通便捷度</v>
      </c>
      <c r="R17" s="1383" t="s">
        <v>8</v>
      </c>
      <c r="S17" s="1384">
        <f>F17</f>
        <v>100</v>
      </c>
      <c r="T17" s="1383" t="s">
        <v>8</v>
      </c>
      <c r="U17" s="1384">
        <f>H17</f>
        <v>100</v>
      </c>
      <c r="V17" s="1383" t="s">
        <v>8</v>
      </c>
      <c r="W17" s="1384">
        <f>J17</f>
        <v>105</v>
      </c>
      <c r="X17" s="1377"/>
      <c r="Y17" s="3933"/>
      <c r="Z17" s="1385" t="str">
        <f>Q17</f>
        <v>交通便捷度</v>
      </c>
      <c r="AA17" s="1386">
        <f t="shared" si="3"/>
        <v>1</v>
      </c>
      <c r="AB17" s="1386">
        <f t="shared" si="4"/>
        <v>1</v>
      </c>
      <c r="AC17" s="1386">
        <f t="shared" si="5"/>
        <v>0.95238095238095233</v>
      </c>
    </row>
    <row r="18" spans="1:29" ht="15">
      <c r="A18" s="501"/>
      <c r="B18" s="564"/>
      <c r="C18" s="835" t="str">
        <f>'比较法-住宅、综合'!C24</f>
        <v>一般</v>
      </c>
      <c r="D18" s="528"/>
      <c r="E18" s="525" t="s">
        <v>3411</v>
      </c>
      <c r="F18" s="532"/>
      <c r="G18" s="525" t="s">
        <v>3411</v>
      </c>
      <c r="H18" s="524"/>
      <c r="I18" s="525" t="s">
        <v>3412</v>
      </c>
      <c r="J18" s="524"/>
      <c r="K18" s="832"/>
      <c r="L18" s="1862"/>
      <c r="M18" s="1854"/>
      <c r="N18" s="1854"/>
      <c r="O18" s="1861"/>
      <c r="P18" s="3933"/>
      <c r="Q18" s="1382"/>
      <c r="R18" s="1383"/>
      <c r="S18" s="1384"/>
      <c r="T18" s="1383"/>
      <c r="U18" s="1384"/>
      <c r="V18" s="1383"/>
      <c r="W18" s="1384"/>
      <c r="X18" s="1377"/>
      <c r="Y18" s="3933"/>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103</v>
      </c>
      <c r="K19" s="830">
        <v>3</v>
      </c>
      <c r="L19" s="1862"/>
      <c r="M19" s="1854"/>
      <c r="N19" s="1854"/>
      <c r="O19" s="1861"/>
      <c r="P19" s="3933"/>
      <c r="Q19" s="1382" t="str">
        <f>B19</f>
        <v>公共配套设施</v>
      </c>
      <c r="R19" s="1383" t="s">
        <v>8</v>
      </c>
      <c r="S19" s="1384">
        <f>F19</f>
        <v>100</v>
      </c>
      <c r="T19" s="1383" t="s">
        <v>8</v>
      </c>
      <c r="U19" s="1384">
        <f>H19</f>
        <v>100</v>
      </c>
      <c r="V19" s="1383" t="s">
        <v>8</v>
      </c>
      <c r="W19" s="1384">
        <f>J19</f>
        <v>103</v>
      </c>
      <c r="X19" s="1377"/>
      <c r="Y19" s="3933"/>
      <c r="Z19" s="1385" t="str">
        <f>Q19</f>
        <v>公共配套设施</v>
      </c>
      <c r="AA19" s="1386">
        <f t="shared" si="3"/>
        <v>1</v>
      </c>
      <c r="AB19" s="1386">
        <f t="shared" si="4"/>
        <v>1</v>
      </c>
      <c r="AC19" s="1386">
        <f t="shared" si="5"/>
        <v>0.970873786407767</v>
      </c>
    </row>
    <row r="20" spans="1:29" ht="15">
      <c r="A20" s="501"/>
      <c r="B20" s="564"/>
      <c r="C20" s="545" t="str">
        <f>'比较法-住宅、综合'!C30</f>
        <v>一般</v>
      </c>
      <c r="D20" s="524"/>
      <c r="E20" s="525" t="s">
        <v>3411</v>
      </c>
      <c r="F20" s="526"/>
      <c r="G20" s="525" t="s">
        <v>3411</v>
      </c>
      <c r="H20" s="524"/>
      <c r="I20" s="525" t="s">
        <v>3412</v>
      </c>
      <c r="J20" s="524"/>
      <c r="K20" s="832"/>
      <c r="L20" s="1862"/>
      <c r="M20" s="1854"/>
      <c r="N20" s="1854"/>
      <c r="O20" s="1861"/>
      <c r="P20" s="3933"/>
      <c r="Q20" s="1382"/>
      <c r="R20" s="1383"/>
      <c r="S20" s="1384"/>
      <c r="T20" s="1383"/>
      <c r="U20" s="1384"/>
      <c r="V20" s="1383"/>
      <c r="W20" s="1384"/>
      <c r="X20" s="1377"/>
      <c r="Y20" s="3933"/>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1</v>
      </c>
      <c r="L21" s="1862"/>
      <c r="M21" s="1854"/>
      <c r="N21" s="1854"/>
      <c r="O21" s="1861"/>
      <c r="P21" s="3933"/>
      <c r="Q21" s="2190" t="str">
        <f>B21</f>
        <v>基础设施水平</v>
      </c>
      <c r="R21" s="1383" t="s">
        <v>8</v>
      </c>
      <c r="S21" s="1384">
        <f>F21</f>
        <v>100</v>
      </c>
      <c r="T21" s="1383" t="s">
        <v>8</v>
      </c>
      <c r="U21" s="1384">
        <f>H21</f>
        <v>100</v>
      </c>
      <c r="V21" s="1383" t="s">
        <v>8</v>
      </c>
      <c r="W21" s="1384">
        <f>J21</f>
        <v>100</v>
      </c>
      <c r="X21" s="2192"/>
      <c r="Y21" s="3933"/>
      <c r="Z21" s="2191" t="str">
        <f>Q21</f>
        <v>基础设施水平</v>
      </c>
      <c r="AA21" s="1386">
        <f>D21/F21</f>
        <v>1</v>
      </c>
      <c r="AB21" s="1386">
        <f>D21/H21</f>
        <v>1</v>
      </c>
      <c r="AC21" s="1386">
        <f>D21/J21</f>
        <v>1</v>
      </c>
    </row>
    <row r="22" spans="1:29" ht="15">
      <c r="A22" s="501"/>
      <c r="B22" s="882"/>
      <c r="C22" s="835" t="str">
        <f>'比较法-住宅、综合'!C32</f>
        <v>七通</v>
      </c>
      <c r="D22" s="524"/>
      <c r="E22" s="545" t="s">
        <v>3413</v>
      </c>
      <c r="F22" s="526"/>
      <c r="G22" s="545" t="s">
        <v>3413</v>
      </c>
      <c r="H22" s="524"/>
      <c r="I22" s="545" t="s">
        <v>3413</v>
      </c>
      <c r="J22" s="524"/>
      <c r="K22" s="2204"/>
      <c r="L22" s="1862"/>
      <c r="M22" s="1854"/>
      <c r="N22" s="1854"/>
      <c r="O22" s="1861"/>
      <c r="P22" s="3933"/>
      <c r="Q22" s="2190"/>
      <c r="R22" s="1383"/>
      <c r="S22" s="1384"/>
      <c r="T22" s="1383"/>
      <c r="U22" s="1384"/>
      <c r="V22" s="1383"/>
      <c r="W22" s="1384"/>
      <c r="X22" s="2192"/>
      <c r="Y22" s="3933"/>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33"/>
      <c r="Q23" s="1382" t="str">
        <f>B23</f>
        <v>自然及人文环境</v>
      </c>
      <c r="R23" s="1383" t="s">
        <v>8</v>
      </c>
      <c r="S23" s="1384">
        <f>F23</f>
        <v>100</v>
      </c>
      <c r="T23" s="1383" t="s">
        <v>8</v>
      </c>
      <c r="U23" s="1384">
        <f>H23</f>
        <v>100</v>
      </c>
      <c r="V23" s="1383" t="s">
        <v>8</v>
      </c>
      <c r="W23" s="1384">
        <f>J23</f>
        <v>100</v>
      </c>
      <c r="X23" s="1377"/>
      <c r="Y23" s="3933"/>
      <c r="Z23" s="1385" t="str">
        <f>Q23</f>
        <v>自然及人文环境</v>
      </c>
      <c r="AA23" s="1386">
        <f t="shared" si="3"/>
        <v>1</v>
      </c>
      <c r="AB23" s="1386">
        <f t="shared" si="4"/>
        <v>1</v>
      </c>
      <c r="AC23" s="1386">
        <f t="shared" si="5"/>
        <v>1</v>
      </c>
    </row>
    <row r="24" spans="1:29" ht="15.75" thickBot="1">
      <c r="A24" s="501"/>
      <c r="B24" s="564"/>
      <c r="C24" s="545" t="str">
        <f>'比较法-住宅、综合'!C28</f>
        <v>一般</v>
      </c>
      <c r="D24" s="524"/>
      <c r="E24" s="525" t="s">
        <v>3411</v>
      </c>
      <c r="F24" s="526"/>
      <c r="G24" s="525" t="s">
        <v>3411</v>
      </c>
      <c r="H24" s="524"/>
      <c r="I24" s="525" t="s">
        <v>3411</v>
      </c>
      <c r="J24" s="524"/>
      <c r="K24" s="832"/>
      <c r="L24" s="1862"/>
      <c r="M24" s="1854"/>
      <c r="N24" s="1854"/>
      <c r="O24" s="1861"/>
      <c r="P24" s="3933"/>
      <c r="Q24" s="1382"/>
      <c r="R24" s="1383"/>
      <c r="S24" s="1384"/>
      <c r="T24" s="1383"/>
      <c r="U24" s="1384"/>
      <c r="V24" s="1383"/>
      <c r="W24" s="1384"/>
      <c r="X24" s="1377"/>
      <c r="Y24" s="3933"/>
      <c r="Z24" s="1385"/>
      <c r="AA24" s="1386">
        <v>1</v>
      </c>
      <c r="AB24" s="1386">
        <v>1</v>
      </c>
      <c r="AC24" s="1386">
        <v>1</v>
      </c>
    </row>
    <row r="25" spans="1:29" ht="15.75" hidden="1" thickBot="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33"/>
      <c r="Q25" s="1382" t="str">
        <f t="shared" ref="Q25:Q46" si="8">B25</f>
        <v>楼层-1</v>
      </c>
      <c r="R25" s="1383" t="s">
        <v>8</v>
      </c>
      <c r="S25" s="1384">
        <f>F25</f>
        <v>100</v>
      </c>
      <c r="T25" s="1383" t="s">
        <v>8</v>
      </c>
      <c r="U25" s="1384">
        <f>H25</f>
        <v>100</v>
      </c>
      <c r="V25" s="1383" t="s">
        <v>8</v>
      </c>
      <c r="W25" s="1384">
        <f>J25</f>
        <v>100</v>
      </c>
      <c r="X25" s="1377"/>
      <c r="Y25" s="3933"/>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33"/>
      <c r="Q26" s="1382" t="str">
        <f t="shared" si="8"/>
        <v>朝向</v>
      </c>
      <c r="R26" s="1383" t="s">
        <v>8</v>
      </c>
      <c r="S26" s="1384">
        <f>F26</f>
        <v>100</v>
      </c>
      <c r="T26" s="1383" t="s">
        <v>8</v>
      </c>
      <c r="U26" s="1384">
        <f>H26</f>
        <v>100</v>
      </c>
      <c r="V26" s="1383" t="s">
        <v>8</v>
      </c>
      <c r="W26" s="1384">
        <f>J26</f>
        <v>100</v>
      </c>
      <c r="X26" s="1377"/>
      <c r="Y26" s="3933"/>
      <c r="Z26" s="1385" t="str">
        <f>Q26</f>
        <v>朝向</v>
      </c>
      <c r="AA26" s="1386">
        <f t="shared" si="3"/>
        <v>1</v>
      </c>
      <c r="AB26" s="1386">
        <f t="shared" si="4"/>
        <v>1</v>
      </c>
      <c r="AC26" s="1386">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33"/>
      <c r="Q27" s="1047" t="str">
        <f t="shared" si="8"/>
        <v>道路级别</v>
      </c>
      <c r="R27" s="1378" t="s">
        <v>8</v>
      </c>
      <c r="S27" s="1379">
        <f>F27</f>
        <v>100</v>
      </c>
      <c r="T27" s="1378" t="s">
        <v>8</v>
      </c>
      <c r="U27" s="1379">
        <f>H27</f>
        <v>100</v>
      </c>
      <c r="V27" s="1378" t="s">
        <v>8</v>
      </c>
      <c r="W27" s="1379">
        <f>J27</f>
        <v>100</v>
      </c>
      <c r="X27" s="1380"/>
      <c r="Y27" s="3933"/>
      <c r="Z27" s="1046"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33"/>
      <c r="Q28" s="1382">
        <f t="shared" si="8"/>
        <v>111</v>
      </c>
      <c r="R28" s="1383" t="s">
        <v>8</v>
      </c>
      <c r="S28" s="1384">
        <f t="shared" ref="S28:S46" si="9">F28</f>
        <v>100</v>
      </c>
      <c r="T28" s="1383" t="s">
        <v>8</v>
      </c>
      <c r="U28" s="1384">
        <f t="shared" ref="U28:U46" si="10">H28</f>
        <v>100</v>
      </c>
      <c r="V28" s="1383" t="s">
        <v>8</v>
      </c>
      <c r="W28" s="1384">
        <f t="shared" ref="W28:W46" si="11">J28</f>
        <v>100</v>
      </c>
      <c r="X28" s="1377"/>
      <c r="Y28" s="3933"/>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33"/>
      <c r="Q29" s="1382">
        <f t="shared" si="8"/>
        <v>111</v>
      </c>
      <c r="R29" s="1383" t="s">
        <v>8</v>
      </c>
      <c r="S29" s="1384">
        <f t="shared" si="9"/>
        <v>100</v>
      </c>
      <c r="T29" s="1383" t="s">
        <v>8</v>
      </c>
      <c r="U29" s="1384">
        <f t="shared" si="10"/>
        <v>100</v>
      </c>
      <c r="V29" s="1383" t="s">
        <v>8</v>
      </c>
      <c r="W29" s="1384">
        <f t="shared" si="11"/>
        <v>100</v>
      </c>
      <c r="X29" s="1377"/>
      <c r="Y29" s="3933"/>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33"/>
      <c r="Q30" s="1382">
        <f t="shared" si="8"/>
        <v>111</v>
      </c>
      <c r="R30" s="1383" t="s">
        <v>8</v>
      </c>
      <c r="S30" s="1384">
        <f t="shared" si="9"/>
        <v>100</v>
      </c>
      <c r="T30" s="1383" t="s">
        <v>8</v>
      </c>
      <c r="U30" s="1384">
        <f t="shared" si="10"/>
        <v>100</v>
      </c>
      <c r="V30" s="1383" t="s">
        <v>8</v>
      </c>
      <c r="W30" s="1384">
        <f t="shared" si="11"/>
        <v>100</v>
      </c>
      <c r="X30" s="1377"/>
      <c r="Y30" s="3933"/>
      <c r="Z30" s="1385">
        <f t="shared" si="12"/>
        <v>111</v>
      </c>
      <c r="AA30" s="1386">
        <f t="shared" si="3"/>
        <v>1</v>
      </c>
      <c r="AB30" s="1386">
        <f t="shared" si="4"/>
        <v>1</v>
      </c>
      <c r="AC30" s="1386">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33"/>
      <c r="Q31" s="1382">
        <f t="shared" si="8"/>
        <v>111</v>
      </c>
      <c r="R31" s="1383" t="s">
        <v>8</v>
      </c>
      <c r="S31" s="1384">
        <f t="shared" si="9"/>
        <v>100</v>
      </c>
      <c r="T31" s="1383" t="s">
        <v>8</v>
      </c>
      <c r="U31" s="1384">
        <f t="shared" si="10"/>
        <v>100</v>
      </c>
      <c r="V31" s="1383" t="s">
        <v>8</v>
      </c>
      <c r="W31" s="1384">
        <f t="shared" si="11"/>
        <v>100</v>
      </c>
      <c r="X31" s="1377"/>
      <c r="Y31" s="3933"/>
      <c r="Z31" s="1385">
        <f t="shared" si="12"/>
        <v>111</v>
      </c>
      <c r="AA31" s="1386">
        <f t="shared" si="3"/>
        <v>1</v>
      </c>
      <c r="AB31" s="1386">
        <f t="shared" si="4"/>
        <v>1</v>
      </c>
      <c r="AC31" s="1386">
        <f t="shared" si="5"/>
        <v>1</v>
      </c>
    </row>
    <row r="32" spans="1:29" ht="15">
      <c r="A32" s="2384" t="s">
        <v>2037</v>
      </c>
      <c r="B32" s="165" t="s">
        <v>672</v>
      </c>
      <c r="C32" s="840" t="s">
        <v>3485</v>
      </c>
      <c r="D32" s="566">
        <v>100</v>
      </c>
      <c r="E32" s="841" t="s">
        <v>3485</v>
      </c>
      <c r="F32" s="544">
        <f>SUMIF(100:100,E32,101:101)-SUMIF(100:100,C32,101:101)+100</f>
        <v>100</v>
      </c>
      <c r="G32" s="840" t="s">
        <v>3485</v>
      </c>
      <c r="H32" s="566">
        <f>SUMIF(100:100,G32,101:101)-SUMIF(100:100,C32,101:101)+100</f>
        <v>100</v>
      </c>
      <c r="I32" s="841" t="s">
        <v>3485</v>
      </c>
      <c r="J32" s="509">
        <f>SUMIF(100:100,I32,101:101)-SUMIF(100:100,C32,101:101)+100</f>
        <v>100</v>
      </c>
      <c r="K32" s="826">
        <v>5</v>
      </c>
      <c r="L32" s="1862"/>
      <c r="M32" s="1854"/>
      <c r="N32" s="1854"/>
      <c r="O32" s="1861"/>
      <c r="P32" s="3934" t="s">
        <v>499</v>
      </c>
      <c r="Q32" s="1382" t="str">
        <f t="shared" si="8"/>
        <v>建筑类型</v>
      </c>
      <c r="R32" s="1383" t="s">
        <v>8</v>
      </c>
      <c r="S32" s="1384">
        <f t="shared" si="9"/>
        <v>100</v>
      </c>
      <c r="T32" s="1383" t="s">
        <v>8</v>
      </c>
      <c r="U32" s="1384">
        <f t="shared" si="10"/>
        <v>100</v>
      </c>
      <c r="V32" s="1383" t="s">
        <v>8</v>
      </c>
      <c r="W32" s="1384">
        <f t="shared" si="11"/>
        <v>100</v>
      </c>
      <c r="X32" s="1377"/>
      <c r="Y32" s="3935" t="s">
        <v>499</v>
      </c>
      <c r="Z32" s="1385" t="str">
        <f t="shared" si="12"/>
        <v>建筑类型</v>
      </c>
      <c r="AA32" s="1386">
        <f t="shared" si="3"/>
        <v>1</v>
      </c>
      <c r="AB32" s="1386">
        <f t="shared" si="4"/>
        <v>1</v>
      </c>
      <c r="AC32" s="1386">
        <f t="shared" si="5"/>
        <v>1</v>
      </c>
    </row>
    <row r="33" spans="1:29" s="1197" customFormat="1" ht="15">
      <c r="A33" s="572"/>
      <c r="B33" s="496" t="s">
        <v>673</v>
      </c>
      <c r="C33" s="842">
        <f>'数据-汇总表'!E3</f>
        <v>68710.41</v>
      </c>
      <c r="D33" s="245">
        <v>100</v>
      </c>
      <c r="E33" s="503">
        <v>133361</v>
      </c>
      <c r="F33" s="825">
        <f>LOOKUP(E33,103:103,104:104)-LOOKUP(C33,103:103,104:104)+100</f>
        <v>103</v>
      </c>
      <c r="G33" s="502">
        <v>133882</v>
      </c>
      <c r="H33" s="245">
        <f>LOOKUP(G33,103:103,104:104)-LOOKUP(C33,103:103,104:104)+100</f>
        <v>103</v>
      </c>
      <c r="I33" s="503">
        <v>101509</v>
      </c>
      <c r="J33" s="245">
        <f>LOOKUP(I33,103:103,104:104)-LOOKUP(C33,103:103,104:104)+100</f>
        <v>103</v>
      </c>
      <c r="K33" s="827"/>
      <c r="L33" s="1860"/>
      <c r="M33" s="1890"/>
      <c r="N33" s="1890"/>
      <c r="O33" s="1863"/>
      <c r="P33" s="3935"/>
      <c r="Q33" s="1411" t="str">
        <f t="shared" si="8"/>
        <v>项目建筑规模</v>
      </c>
      <c r="R33" s="1387" t="s">
        <v>8</v>
      </c>
      <c r="S33" s="1388">
        <f t="shared" si="9"/>
        <v>103</v>
      </c>
      <c r="T33" s="1387" t="s">
        <v>8</v>
      </c>
      <c r="U33" s="1388">
        <f t="shared" si="10"/>
        <v>103</v>
      </c>
      <c r="V33" s="1387" t="s">
        <v>8</v>
      </c>
      <c r="W33" s="1388">
        <f t="shared" si="11"/>
        <v>103</v>
      </c>
      <c r="X33" s="1389"/>
      <c r="Y33" s="3935"/>
      <c r="Z33" s="1390" t="str">
        <f t="shared" si="12"/>
        <v>项目建筑规模</v>
      </c>
      <c r="AA33" s="1386">
        <f t="shared" si="3"/>
        <v>0.970873786407767</v>
      </c>
      <c r="AB33" s="1386">
        <f t="shared" si="4"/>
        <v>0.970873786407767</v>
      </c>
      <c r="AC33" s="1386">
        <f t="shared" si="5"/>
        <v>0.970873786407767</v>
      </c>
    </row>
    <row r="34" spans="1:29" ht="15">
      <c r="A34" s="563"/>
      <c r="B34" s="496" t="s">
        <v>674</v>
      </c>
      <c r="C34" s="843" t="s">
        <v>3486</v>
      </c>
      <c r="D34" s="509">
        <v>100</v>
      </c>
      <c r="E34" s="843" t="s">
        <v>3486</v>
      </c>
      <c r="F34" s="544">
        <f>SUMIF(105:105,E34,106:106)-SUMIF(105:105,C34,106:106)+100</f>
        <v>100</v>
      </c>
      <c r="G34" s="843" t="s">
        <v>3486</v>
      </c>
      <c r="H34" s="509">
        <f>SUMIF(105:105,G34,106:106)-SUMIF(105:105,C34,106:106)+100</f>
        <v>100</v>
      </c>
      <c r="I34" s="843" t="s">
        <v>3486</v>
      </c>
      <c r="J34" s="509">
        <f>SUMIF(105:105,I34,106:106)-SUMIF(105:105,C34,106:106)+100</f>
        <v>100</v>
      </c>
      <c r="K34" s="826">
        <v>2</v>
      </c>
      <c r="L34" s="1862"/>
      <c r="M34" s="1854"/>
      <c r="N34" s="1854"/>
      <c r="O34" s="1861"/>
      <c r="P34" s="3935"/>
      <c r="Q34" s="1382" t="str">
        <f t="shared" si="8"/>
        <v>建筑结构</v>
      </c>
      <c r="R34" s="1383" t="s">
        <v>8</v>
      </c>
      <c r="S34" s="1384">
        <f t="shared" si="9"/>
        <v>100</v>
      </c>
      <c r="T34" s="1383" t="s">
        <v>8</v>
      </c>
      <c r="U34" s="1384">
        <f t="shared" si="10"/>
        <v>100</v>
      </c>
      <c r="V34" s="1383" t="s">
        <v>8</v>
      </c>
      <c r="W34" s="1384">
        <f t="shared" si="11"/>
        <v>100</v>
      </c>
      <c r="X34" s="1377"/>
      <c r="Y34" s="3935"/>
      <c r="Z34" s="1385" t="str">
        <f t="shared" si="12"/>
        <v>建筑结构</v>
      </c>
      <c r="AA34" s="1386">
        <f t="shared" si="3"/>
        <v>1</v>
      </c>
      <c r="AB34" s="1386">
        <f t="shared" si="4"/>
        <v>1</v>
      </c>
      <c r="AC34" s="1386">
        <f t="shared" si="5"/>
        <v>1</v>
      </c>
    </row>
    <row r="35" spans="1:29" ht="15">
      <c r="A35" s="563"/>
      <c r="B35" s="496" t="s">
        <v>675</v>
      </c>
      <c r="C35" s="568" t="s">
        <v>3412</v>
      </c>
      <c r="D35" s="509">
        <v>100</v>
      </c>
      <c r="E35" s="568" t="s">
        <v>3412</v>
      </c>
      <c r="F35" s="544">
        <f>SUMIF(107:107,E35,108:108)-SUMIF(107:107,C35,108:108)+100</f>
        <v>100</v>
      </c>
      <c r="G35" s="568" t="s">
        <v>3412</v>
      </c>
      <c r="H35" s="509">
        <f>SUMIF(107:107,G35,108:108)-SUMIF(107:107,C35,108:108)+100</f>
        <v>100</v>
      </c>
      <c r="I35" s="568" t="s">
        <v>3412</v>
      </c>
      <c r="J35" s="509">
        <f>SUMIF(107:107,I35,108:108)-SUMIF(107:107,C35,108:108)+100</f>
        <v>100</v>
      </c>
      <c r="K35" s="826">
        <v>2</v>
      </c>
      <c r="L35" s="1862"/>
      <c r="M35" s="1854"/>
      <c r="N35" s="1854"/>
      <c r="O35" s="1861"/>
      <c r="P35" s="3935"/>
      <c r="Q35" s="1382" t="str">
        <f t="shared" si="8"/>
        <v>建筑品质</v>
      </c>
      <c r="R35" s="1383" t="s">
        <v>8</v>
      </c>
      <c r="S35" s="1384">
        <f t="shared" si="9"/>
        <v>100</v>
      </c>
      <c r="T35" s="1383" t="s">
        <v>8</v>
      </c>
      <c r="U35" s="1384">
        <f t="shared" si="10"/>
        <v>100</v>
      </c>
      <c r="V35" s="1383" t="s">
        <v>8</v>
      </c>
      <c r="W35" s="1384">
        <f t="shared" si="11"/>
        <v>100</v>
      </c>
      <c r="X35" s="1377"/>
      <c r="Y35" s="3935"/>
      <c r="Z35" s="1385" t="str">
        <f t="shared" si="12"/>
        <v>建筑品质</v>
      </c>
      <c r="AA35" s="1386">
        <f t="shared" si="3"/>
        <v>1</v>
      </c>
      <c r="AB35" s="1386">
        <f t="shared" si="4"/>
        <v>1</v>
      </c>
      <c r="AC35" s="1386">
        <f t="shared" si="5"/>
        <v>1</v>
      </c>
    </row>
    <row r="36" spans="1:29" ht="15">
      <c r="A36" s="563"/>
      <c r="B36" s="496" t="s">
        <v>676</v>
      </c>
      <c r="C36" s="568" t="s">
        <v>3415</v>
      </c>
      <c r="D36" s="509">
        <v>100</v>
      </c>
      <c r="E36" s="568" t="s">
        <v>3415</v>
      </c>
      <c r="F36" s="544">
        <f>SUMIF(109:109,E36,110:110)-SUMIF(109:109,C36,110:110)+100</f>
        <v>100</v>
      </c>
      <c r="G36" s="568" t="s">
        <v>3415</v>
      </c>
      <c r="H36" s="509">
        <f>SUMIF(109:109,G36,110:110)-SUMIF(109:109,C36,110:110)+100</f>
        <v>100</v>
      </c>
      <c r="I36" s="568" t="s">
        <v>3415</v>
      </c>
      <c r="J36" s="509">
        <f>SUMIF(109:109,I36,110:110)-SUMIF(109:109,C36,110:110)+100</f>
        <v>100</v>
      </c>
      <c r="K36" s="826">
        <v>2</v>
      </c>
      <c r="L36" s="1862"/>
      <c r="M36" s="1854"/>
      <c r="N36" s="1854"/>
      <c r="O36" s="1861"/>
      <c r="P36" s="3935"/>
      <c r="Q36" s="1382" t="str">
        <f t="shared" si="8"/>
        <v>公共部分装修</v>
      </c>
      <c r="R36" s="1383" t="s">
        <v>8</v>
      </c>
      <c r="S36" s="1384">
        <f t="shared" si="9"/>
        <v>100</v>
      </c>
      <c r="T36" s="1383" t="s">
        <v>8</v>
      </c>
      <c r="U36" s="1384">
        <f t="shared" si="10"/>
        <v>100</v>
      </c>
      <c r="V36" s="1383" t="s">
        <v>8</v>
      </c>
      <c r="W36" s="1384">
        <f t="shared" si="11"/>
        <v>100</v>
      </c>
      <c r="X36" s="1377"/>
      <c r="Y36" s="3935"/>
      <c r="Z36" s="1385" t="str">
        <f t="shared" si="12"/>
        <v>公共部分装修</v>
      </c>
      <c r="AA36" s="1386">
        <f t="shared" si="3"/>
        <v>1</v>
      </c>
      <c r="AB36" s="1386">
        <f t="shared" si="4"/>
        <v>1</v>
      </c>
      <c r="AC36" s="1386">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5"/>
      <c r="M37" s="1856"/>
      <c r="N37" s="1856"/>
      <c r="O37" s="1857"/>
      <c r="P37" s="3935"/>
      <c r="Q37" s="1047" t="str">
        <f t="shared" si="8"/>
        <v>成新度</v>
      </c>
      <c r="R37" s="1378" t="s">
        <v>8</v>
      </c>
      <c r="S37" s="1379">
        <f t="shared" si="9"/>
        <v>100</v>
      </c>
      <c r="T37" s="1378" t="s">
        <v>8</v>
      </c>
      <c r="U37" s="1379">
        <f t="shared" si="10"/>
        <v>100</v>
      </c>
      <c r="V37" s="1378" t="s">
        <v>8</v>
      </c>
      <c r="W37" s="1379">
        <f t="shared" si="11"/>
        <v>100</v>
      </c>
      <c r="X37" s="1380"/>
      <c r="Y37" s="3935"/>
      <c r="Z37" s="1046" t="str">
        <f t="shared" si="12"/>
        <v>成新度</v>
      </c>
      <c r="AA37" s="1381">
        <f t="shared" si="3"/>
        <v>1</v>
      </c>
      <c r="AB37" s="1381">
        <f t="shared" si="4"/>
        <v>1</v>
      </c>
      <c r="AC37" s="1381">
        <f t="shared" si="5"/>
        <v>1</v>
      </c>
    </row>
    <row r="38" spans="1:29" ht="15">
      <c r="A38" s="563"/>
      <c r="B38" s="496" t="s">
        <v>678</v>
      </c>
      <c r="C38" s="568" t="s">
        <v>3420</v>
      </c>
      <c r="D38" s="509">
        <v>100</v>
      </c>
      <c r="E38" s="568" t="s">
        <v>3420</v>
      </c>
      <c r="F38" s="544">
        <f>SUMIF(114:114,E38,115:115)-SUMIF(114:114,C38,115:115)+100</f>
        <v>100</v>
      </c>
      <c r="G38" s="568" t="s">
        <v>3420</v>
      </c>
      <c r="H38" s="509">
        <f>SUMIF(114:114,G38,115:115)-SUMIF(114:114,C38,115:115)+100</f>
        <v>100</v>
      </c>
      <c r="I38" s="568" t="s">
        <v>3420</v>
      </c>
      <c r="J38" s="509">
        <f>SUMIF(114:114,I38,115:115)-SUMIF(114:114,C38,115:115)+100</f>
        <v>100</v>
      </c>
      <c r="K38" s="826">
        <v>2</v>
      </c>
      <c r="L38" s="1862"/>
      <c r="M38" s="1854"/>
      <c r="N38" s="1854"/>
      <c r="O38" s="1861"/>
      <c r="P38" s="3935" t="s">
        <v>499</v>
      </c>
      <c r="Q38" s="1382" t="str">
        <f t="shared" si="8"/>
        <v>物业管理</v>
      </c>
      <c r="R38" s="1383" t="s">
        <v>8</v>
      </c>
      <c r="S38" s="1384">
        <f t="shared" si="9"/>
        <v>100</v>
      </c>
      <c r="T38" s="1383" t="s">
        <v>8</v>
      </c>
      <c r="U38" s="1384">
        <f t="shared" si="10"/>
        <v>100</v>
      </c>
      <c r="V38" s="1383" t="s">
        <v>8</v>
      </c>
      <c r="W38" s="1384">
        <f t="shared" si="11"/>
        <v>100</v>
      </c>
      <c r="X38" s="1377"/>
      <c r="Y38" s="3935" t="s">
        <v>499</v>
      </c>
      <c r="Z38" s="1385" t="str">
        <f t="shared" si="12"/>
        <v>物业管理</v>
      </c>
      <c r="AA38" s="1386">
        <f t="shared" si="3"/>
        <v>1</v>
      </c>
      <c r="AB38" s="1386">
        <f t="shared" si="4"/>
        <v>1</v>
      </c>
      <c r="AC38" s="1386">
        <f t="shared" si="5"/>
        <v>1</v>
      </c>
    </row>
    <row r="39" spans="1:29" ht="15">
      <c r="A39" s="563"/>
      <c r="B39" s="1648" t="s">
        <v>1847</v>
      </c>
      <c r="C39" s="568" t="s">
        <v>3413</v>
      </c>
      <c r="D39" s="509">
        <v>100</v>
      </c>
      <c r="E39" s="568" t="s">
        <v>3413</v>
      </c>
      <c r="F39" s="544">
        <f>SUMIF(116:116,E39,117:117)-SUMIF(116:116,C39,117:117)+100</f>
        <v>100</v>
      </c>
      <c r="G39" s="568" t="s">
        <v>3413</v>
      </c>
      <c r="H39" s="509">
        <f>SUMIF(116:116,G39,117:117)-SUMIF(116:116,C39,117:117)+100</f>
        <v>100</v>
      </c>
      <c r="I39" s="568" t="s">
        <v>3413</v>
      </c>
      <c r="J39" s="509">
        <f>SUMIF(116:116,I39,117:117)-SUMIF(116:116,C39,117:117)+100</f>
        <v>100</v>
      </c>
      <c r="K39" s="826">
        <v>1</v>
      </c>
      <c r="L39" s="1862"/>
      <c r="M39" s="1854"/>
      <c r="N39" s="1854"/>
      <c r="O39" s="1861"/>
      <c r="P39" s="3935"/>
      <c r="Q39" s="1382" t="str">
        <f t="shared" si="8"/>
        <v>市政基础设施</v>
      </c>
      <c r="R39" s="1383" t="s">
        <v>8</v>
      </c>
      <c r="S39" s="1384">
        <f t="shared" si="9"/>
        <v>100</v>
      </c>
      <c r="T39" s="1383" t="s">
        <v>8</v>
      </c>
      <c r="U39" s="1384">
        <f t="shared" si="10"/>
        <v>100</v>
      </c>
      <c r="V39" s="1383" t="s">
        <v>8</v>
      </c>
      <c r="W39" s="1384">
        <f t="shared" si="11"/>
        <v>100</v>
      </c>
      <c r="X39" s="1377"/>
      <c r="Y39" s="3935"/>
      <c r="Z39" s="1385" t="str">
        <f t="shared" si="12"/>
        <v>市政基础设施</v>
      </c>
      <c r="AA39" s="1386">
        <f t="shared" si="3"/>
        <v>1</v>
      </c>
      <c r="AB39" s="1386">
        <f t="shared" si="4"/>
        <v>1</v>
      </c>
      <c r="AC39" s="1386">
        <f t="shared" si="5"/>
        <v>1</v>
      </c>
    </row>
    <row r="40" spans="1:29" ht="15">
      <c r="A40" s="563"/>
      <c r="B40" s="496" t="s">
        <v>679</v>
      </c>
      <c r="C40" s="568" t="s">
        <v>3483</v>
      </c>
      <c r="D40" s="509">
        <v>100</v>
      </c>
      <c r="E40" s="568" t="s">
        <v>3483</v>
      </c>
      <c r="F40" s="544">
        <f>SUMIF(118:118,E40,119:119)-SUMIF(118:118,C40,119:119)+100</f>
        <v>100</v>
      </c>
      <c r="G40" s="568" t="s">
        <v>3483</v>
      </c>
      <c r="H40" s="509">
        <f>SUMIF(118:118,G40,119:119)-SUMIF(118:118,C40,119:119)+100</f>
        <v>100</v>
      </c>
      <c r="I40" s="568" t="s">
        <v>3483</v>
      </c>
      <c r="J40" s="509">
        <f>SUMIF(118:118,I40,119:119)-SUMIF(118:118,C40,119:119)+100</f>
        <v>100</v>
      </c>
      <c r="K40" s="826">
        <v>2</v>
      </c>
      <c r="L40" s="1862"/>
      <c r="M40" s="1854"/>
      <c r="N40" s="1854"/>
      <c r="O40" s="1861"/>
      <c r="P40" s="3935"/>
      <c r="Q40" s="1382" t="str">
        <f t="shared" si="8"/>
        <v>房型</v>
      </c>
      <c r="R40" s="1383" t="s">
        <v>8</v>
      </c>
      <c r="S40" s="1384">
        <f t="shared" si="9"/>
        <v>100</v>
      </c>
      <c r="T40" s="1383" t="s">
        <v>8</v>
      </c>
      <c r="U40" s="1384">
        <f t="shared" si="10"/>
        <v>100</v>
      </c>
      <c r="V40" s="1383" t="s">
        <v>8</v>
      </c>
      <c r="W40" s="1384">
        <f t="shared" si="11"/>
        <v>100</v>
      </c>
      <c r="X40" s="1377"/>
      <c r="Y40" s="3935"/>
      <c r="Z40" s="1385" t="str">
        <f t="shared" si="12"/>
        <v>房型</v>
      </c>
      <c r="AA40" s="1386">
        <f t="shared" si="3"/>
        <v>1</v>
      </c>
      <c r="AB40" s="1386">
        <f t="shared" si="4"/>
        <v>1</v>
      </c>
      <c r="AC40" s="1386">
        <f t="shared" si="5"/>
        <v>1</v>
      </c>
    </row>
    <row r="41" spans="1:29" s="1197" customFormat="1" ht="28.5"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60"/>
      <c r="M41" s="1890"/>
      <c r="N41" s="1890"/>
      <c r="O41" s="1863"/>
      <c r="P41" s="3935"/>
      <c r="Q41" s="1411" t="str">
        <f t="shared" si="8"/>
        <v>单套/主力户型建筑面积</v>
      </c>
      <c r="R41" s="1387" t="s">
        <v>8</v>
      </c>
      <c r="S41" s="1388">
        <f t="shared" si="9"/>
        <v>100</v>
      </c>
      <c r="T41" s="1387" t="s">
        <v>8</v>
      </c>
      <c r="U41" s="1388">
        <f t="shared" si="10"/>
        <v>100</v>
      </c>
      <c r="V41" s="1387" t="s">
        <v>8</v>
      </c>
      <c r="W41" s="1388">
        <f t="shared" si="11"/>
        <v>100</v>
      </c>
      <c r="X41" s="1389"/>
      <c r="Y41" s="3935"/>
      <c r="Z41" s="1390" t="str">
        <f t="shared" si="12"/>
        <v>单套/主力户型建筑面积</v>
      </c>
      <c r="AA41" s="1386">
        <f t="shared" si="3"/>
        <v>1</v>
      </c>
      <c r="AB41" s="1386">
        <f t="shared" si="4"/>
        <v>1</v>
      </c>
      <c r="AC41" s="1386">
        <f t="shared" si="5"/>
        <v>1</v>
      </c>
    </row>
    <row r="42" spans="1:29" ht="15.75" thickBot="1">
      <c r="A42" s="563"/>
      <c r="B42" s="496" t="s">
        <v>681</v>
      </c>
      <c r="C42" s="568" t="s">
        <v>3415</v>
      </c>
      <c r="D42" s="509">
        <v>100</v>
      </c>
      <c r="E42" s="568" t="s">
        <v>3482</v>
      </c>
      <c r="F42" s="544">
        <f>SUMIF(122:122,E42,123:123)-SUMIF(122:122,C42,123:123)+100</f>
        <v>97</v>
      </c>
      <c r="G42" s="568" t="s">
        <v>3415</v>
      </c>
      <c r="H42" s="509">
        <f>SUMIF(122:122,G42,123:123)-SUMIF(122:122,C42,123:123)+100</f>
        <v>100</v>
      </c>
      <c r="I42" s="568" t="s">
        <v>3482</v>
      </c>
      <c r="J42" s="509">
        <f>SUMIF(122:122,I42,123:123)-SUMIF(122:122,C42,123:123)+100</f>
        <v>97</v>
      </c>
      <c r="K42" s="826">
        <v>3</v>
      </c>
      <c r="L42" s="1862"/>
      <c r="M42" s="1854"/>
      <c r="N42" s="1854"/>
      <c r="O42" s="1861"/>
      <c r="P42" s="3935"/>
      <c r="Q42" s="1382" t="str">
        <f t="shared" si="8"/>
        <v>内部装修</v>
      </c>
      <c r="R42" s="1383" t="s">
        <v>8</v>
      </c>
      <c r="S42" s="1384">
        <f t="shared" si="9"/>
        <v>97</v>
      </c>
      <c r="T42" s="1383" t="s">
        <v>8</v>
      </c>
      <c r="U42" s="1384">
        <f t="shared" si="10"/>
        <v>100</v>
      </c>
      <c r="V42" s="1383" t="s">
        <v>8</v>
      </c>
      <c r="W42" s="1384">
        <f t="shared" si="11"/>
        <v>97</v>
      </c>
      <c r="X42" s="1377"/>
      <c r="Y42" s="3935"/>
      <c r="Z42" s="1385" t="str">
        <f t="shared" si="12"/>
        <v>内部装修</v>
      </c>
      <c r="AA42" s="1386">
        <f t="shared" si="3"/>
        <v>1.0309278350515463</v>
      </c>
      <c r="AB42" s="1386">
        <f t="shared" si="4"/>
        <v>1</v>
      </c>
      <c r="AC42" s="1386">
        <f t="shared" si="5"/>
        <v>1.0309278350515463</v>
      </c>
    </row>
    <row r="43" spans="1:29" ht="27.75" hidden="1" thickBot="1">
      <c r="A43" s="563"/>
      <c r="B43" s="496" t="s">
        <v>682</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2"/>
      <c r="M43" s="1854"/>
      <c r="N43" s="1854"/>
      <c r="O43" s="1861"/>
      <c r="P43" s="3935"/>
      <c r="Q43" s="1382" t="str">
        <f t="shared" si="8"/>
        <v>内部装修维护情况</v>
      </c>
      <c r="R43" s="1383" t="s">
        <v>8</v>
      </c>
      <c r="S43" s="1384">
        <f t="shared" si="9"/>
        <v>100</v>
      </c>
      <c r="T43" s="1383" t="s">
        <v>8</v>
      </c>
      <c r="U43" s="1384">
        <f t="shared" si="10"/>
        <v>100</v>
      </c>
      <c r="V43" s="1383" t="s">
        <v>8</v>
      </c>
      <c r="W43" s="1384">
        <f t="shared" si="11"/>
        <v>100</v>
      </c>
      <c r="X43" s="1377"/>
      <c r="Y43" s="3935"/>
      <c r="Z43" s="1385" t="str">
        <f t="shared" si="12"/>
        <v>内部装修维护情况</v>
      </c>
      <c r="AA43" s="1386">
        <f t="shared" si="3"/>
        <v>1</v>
      </c>
      <c r="AB43" s="1386">
        <f t="shared" si="4"/>
        <v>1</v>
      </c>
      <c r="AC43" s="1386">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5"/>
      <c r="M44" s="1856"/>
      <c r="N44" s="1856"/>
      <c r="O44" s="1857"/>
      <c r="P44" s="3935"/>
      <c r="Q44" s="1047">
        <f t="shared" si="8"/>
        <v>111</v>
      </c>
      <c r="R44" s="1378" t="s">
        <v>8</v>
      </c>
      <c r="S44" s="1379">
        <f t="shared" si="9"/>
        <v>100</v>
      </c>
      <c r="T44" s="1378" t="s">
        <v>8</v>
      </c>
      <c r="U44" s="1379">
        <f t="shared" si="10"/>
        <v>100</v>
      </c>
      <c r="V44" s="1378" t="s">
        <v>8</v>
      </c>
      <c r="W44" s="1379">
        <f t="shared" si="11"/>
        <v>100</v>
      </c>
      <c r="X44" s="1380"/>
      <c r="Y44" s="3935"/>
      <c r="Z44" s="1046">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35"/>
      <c r="Q45" s="1382">
        <f t="shared" si="8"/>
        <v>111</v>
      </c>
      <c r="R45" s="1383" t="s">
        <v>8</v>
      </c>
      <c r="S45" s="1384">
        <f t="shared" si="9"/>
        <v>100</v>
      </c>
      <c r="T45" s="1383" t="s">
        <v>8</v>
      </c>
      <c r="U45" s="1384">
        <f t="shared" si="10"/>
        <v>100</v>
      </c>
      <c r="V45" s="1383" t="s">
        <v>8</v>
      </c>
      <c r="W45" s="1384">
        <f t="shared" si="11"/>
        <v>100</v>
      </c>
      <c r="X45" s="1377"/>
      <c r="Y45" s="3935"/>
      <c r="Z45" s="1385">
        <f t="shared" si="12"/>
        <v>111</v>
      </c>
      <c r="AA45" s="1386">
        <f t="shared" si="3"/>
        <v>1</v>
      </c>
      <c r="AB45" s="1386">
        <f t="shared" si="4"/>
        <v>1</v>
      </c>
      <c r="AC45" s="1386">
        <f t="shared" si="5"/>
        <v>1</v>
      </c>
    </row>
    <row r="46" spans="1:29" ht="15.75"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4005"/>
      <c r="Q46" s="1382">
        <f t="shared" si="8"/>
        <v>111</v>
      </c>
      <c r="R46" s="1383" t="s">
        <v>7</v>
      </c>
      <c r="S46" s="1384">
        <f t="shared" si="9"/>
        <v>100</v>
      </c>
      <c r="T46" s="1383" t="s">
        <v>7</v>
      </c>
      <c r="U46" s="1384">
        <f t="shared" si="10"/>
        <v>100</v>
      </c>
      <c r="V46" s="1383" t="s">
        <v>7</v>
      </c>
      <c r="W46" s="1384">
        <f t="shared" si="11"/>
        <v>100</v>
      </c>
      <c r="X46" s="1377"/>
      <c r="Y46" s="4005"/>
      <c r="Z46" s="1385">
        <f t="shared" si="12"/>
        <v>111</v>
      </c>
      <c r="AA46" s="1386">
        <f t="shared" si="3"/>
        <v>1</v>
      </c>
      <c r="AB46" s="1386">
        <f t="shared" si="4"/>
        <v>1</v>
      </c>
      <c r="AC46" s="1386">
        <f t="shared" si="5"/>
        <v>1</v>
      </c>
    </row>
    <row r="47" spans="1:29" ht="15">
      <c r="A47" s="576" t="s">
        <v>683</v>
      </c>
      <c r="B47" s="847"/>
      <c r="C47" s="2231" t="s">
        <v>6</v>
      </c>
      <c r="D47" s="2232"/>
      <c r="E47" s="2233">
        <f>销售案例!O7</f>
        <v>24777</v>
      </c>
      <c r="F47" s="2234"/>
      <c r="G47" s="2235">
        <f>销售案例!O12</f>
        <v>23800</v>
      </c>
      <c r="H47" s="2236"/>
      <c r="I47" s="2233">
        <f>销售案例!O17</f>
        <v>27935</v>
      </c>
      <c r="J47" s="2236"/>
      <c r="K47" s="1412"/>
      <c r="L47" s="1864"/>
      <c r="M47" s="1865"/>
      <c r="N47" s="1854"/>
      <c r="O47" s="1865"/>
      <c r="P47" s="3898" t="str">
        <f>A47</f>
        <v>成交单价（元/平方米）</v>
      </c>
      <c r="Q47" s="3898"/>
      <c r="R47" s="4004">
        <f>E47</f>
        <v>24777</v>
      </c>
      <c r="S47" s="4004"/>
      <c r="T47" s="4004">
        <f>G47</f>
        <v>23800</v>
      </c>
      <c r="U47" s="4004"/>
      <c r="V47" s="4004">
        <f>I47</f>
        <v>27935</v>
      </c>
      <c r="W47" s="4004"/>
      <c r="X47" s="1372"/>
      <c r="Y47" s="1391"/>
      <c r="Z47" s="1372"/>
      <c r="AA47" s="1372"/>
      <c r="AB47" s="1372"/>
      <c r="AC47" s="1372"/>
    </row>
    <row r="48" spans="1:29" ht="15.75" thickBot="1">
      <c r="A48" s="584" t="s">
        <v>2042</v>
      </c>
      <c r="B48" s="848"/>
      <c r="C48" s="2237">
        <f>R49</f>
        <v>23935</v>
      </c>
      <c r="D48" s="2754" t="s">
        <v>2251</v>
      </c>
      <c r="E48" s="2238">
        <f>R48</f>
        <v>24077</v>
      </c>
      <c r="F48" s="2755"/>
      <c r="G48" s="2237">
        <f>T48</f>
        <v>23107</v>
      </c>
      <c r="H48" s="2755"/>
      <c r="I48" s="2238">
        <f>V48</f>
        <v>24622</v>
      </c>
      <c r="J48" s="2755"/>
      <c r="K48" s="2763">
        <f>F48+H48+J48</f>
        <v>0</v>
      </c>
      <c r="L48" s="1864"/>
      <c r="M48" s="1865"/>
      <c r="N48" s="1865"/>
      <c r="O48" s="1865"/>
      <c r="P48" s="3898" t="str">
        <f>A48</f>
        <v>比较价格（元/平方米）</v>
      </c>
      <c r="Q48" s="3898"/>
      <c r="R48" s="4004">
        <f>IF(F1="售价",ROUND(PRODUCT(R47,AA7:AA46),0),ROUND(PRODUCT(R47,AA7:AA46),1))</f>
        <v>24077</v>
      </c>
      <c r="S48" s="4004"/>
      <c r="T48" s="4004">
        <f>IF(F1="售价",ROUND(PRODUCT(T47,AB7:AB46),0),ROUND(PRODUCT(T47,AB7:AB46),1))</f>
        <v>23107</v>
      </c>
      <c r="U48" s="4004"/>
      <c r="V48" s="4004">
        <f>IF(F1="售价",ROUND(PRODUCT(V47,AC7:AC46),0),ROUND(PRODUCT(V47,AC7:AC46),1))</f>
        <v>24622</v>
      </c>
      <c r="W48" s="4004"/>
      <c r="X48" s="1372"/>
      <c r="Y48" s="1372"/>
      <c r="Z48" s="1372"/>
      <c r="AA48" s="1372"/>
      <c r="AB48" s="1372"/>
      <c r="AC48" s="1372"/>
    </row>
    <row r="49" spans="1:29" ht="15.75" thickBot="1">
      <c r="A49" s="588" t="s">
        <v>2188</v>
      </c>
      <c r="B49" s="589"/>
      <c r="C49" s="2239">
        <f>R49</f>
        <v>23935</v>
      </c>
      <c r="D49" s="2239"/>
      <c r="E49" s="2239"/>
      <c r="F49" s="2239"/>
      <c r="G49" s="2239"/>
      <c r="H49" s="2239"/>
      <c r="I49" s="2239"/>
      <c r="J49" s="2239"/>
      <c r="K49" s="1413"/>
      <c r="L49" s="1864"/>
      <c r="M49" s="1865"/>
      <c r="N49" s="1865"/>
      <c r="O49" s="1865"/>
      <c r="P49" s="3936" t="str">
        <f>A49</f>
        <v>估价对象XX用房的比较价格（楼面单价，元/平方米）</v>
      </c>
      <c r="Q49" s="3937"/>
      <c r="R49" s="4003">
        <f>IF(F1="售价",ROUND(IF(D48="简单平均",AVERAGE(R48:V48),R48*F48+T48*H48+V48*J48),0),ROUND(IF(D48="简单平均",AVERAGE(R48:V48),R48*F48+T48*H48+V48*J48),1))</f>
        <v>23935</v>
      </c>
      <c r="S49" s="4003"/>
      <c r="T49" s="4003"/>
      <c r="U49" s="4003"/>
      <c r="V49" s="4003"/>
      <c r="W49" s="4003"/>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1" t="s">
        <v>506</v>
      </c>
      <c r="D52" s="592"/>
      <c r="E52" s="593">
        <f>IF(E47&lt;E48,E48/E47-1,E47/E48-1)</f>
        <v>2.907338954188643E-2</v>
      </c>
      <c r="F52" s="594" t="str">
        <f>IF(OR(E52&gt;=0.3,E52&lt;=-0.3),"超过30%","")</f>
        <v/>
      </c>
      <c r="G52" s="593">
        <f>IF(G47&lt;G48,G48/G47-1,G47/G48-1)</f>
        <v>2.9990911844895551E-2</v>
      </c>
      <c r="H52" s="594" t="str">
        <f>IF(OR(G52&gt;=0.3,G52&lt;=-0.3),"超过30%","")</f>
        <v/>
      </c>
      <c r="I52" s="593">
        <f>IF(I47&lt;I48,I48/I47-1,I47/I48-1)</f>
        <v>0.13455446348793765</v>
      </c>
      <c r="J52" s="594" t="str">
        <f>IF(OR(I52&gt;=0.3,I52&lt;=-0.3),"超过30%","")</f>
        <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507</v>
      </c>
      <c r="D53" s="595"/>
      <c r="E53" s="593">
        <f>IF(E48&lt;G48,G48/E48-1,E48/G48-1)</f>
        <v>4.1978621197039878E-2</v>
      </c>
      <c r="F53" s="594" t="str">
        <f>IF(OR(E53&gt;=0.2,E53&lt;=-0.2),"超过20%","")</f>
        <v/>
      </c>
      <c r="G53" s="593">
        <f>IF(G48&lt;I48,I48/G48-1,G48/I48-1)</f>
        <v>6.5564547539706641E-2</v>
      </c>
      <c r="H53" s="594" t="str">
        <f>IF(OR(G53&gt;=0.2,G53&lt;=-0.2),"超过20%","")</f>
        <v/>
      </c>
      <c r="I53" s="593">
        <f>IF(I48&lt;E48,E48/I48-1,I48/E48-1)</f>
        <v>2.2635710429040223E-2</v>
      </c>
      <c r="J53" s="594" t="str">
        <f>IF(OR(I53&gt;=0.2,I53&lt;=-0.2),"超过20%","")</f>
        <v/>
      </c>
      <c r="K53" s="2957"/>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5"/>
      <c r="B54" s="2955"/>
      <c r="C54" s="591" t="s">
        <v>508</v>
      </c>
      <c r="D54" s="595"/>
      <c r="E54" s="593">
        <f>IF(E47&lt;G47,G47/E47-1,E47/G47-1)</f>
        <v>4.1050420168067259E-2</v>
      </c>
      <c r="F54" s="594" t="str">
        <f>IF(OR(E54&gt;=0.3,E54&lt;=-0.3),"超过30%","")</f>
        <v/>
      </c>
      <c r="G54" s="593">
        <f>IF(G47&lt;I47,I47/G47-1,G47/I47-1)</f>
        <v>0.17373949579831938</v>
      </c>
      <c r="H54" s="594" t="str">
        <f>IF(OR(G54&gt;=0.3,G54&lt;=-0.3),"超过30%","")</f>
        <v/>
      </c>
      <c r="I54" s="593">
        <f>IF(I47&lt;E47,E47/I47-1,I47/E47-1)</f>
        <v>0.12745691568793638</v>
      </c>
      <c r="J54" s="594" t="str">
        <f>IF(OR(I54&gt;=0.3,I54&lt;=-0.3),"超过30%","")</f>
        <v/>
      </c>
      <c r="K54" s="2958"/>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2" t="s">
        <v>478</v>
      </c>
      <c r="B58" s="613"/>
      <c r="C58" s="2281" t="str">
        <f>YEAR(C7)&amp;"-"&amp;MONTH(C7)</f>
        <v>2023-7</v>
      </c>
      <c r="D58" s="2281">
        <f>EDATE(C58,-1)</f>
        <v>45078</v>
      </c>
      <c r="E58" s="2281">
        <f t="shared" ref="E58:O58" si="13">EDATE(D58,-1)</f>
        <v>45047</v>
      </c>
      <c r="F58" s="2281">
        <f t="shared" si="13"/>
        <v>45017</v>
      </c>
      <c r="G58" s="2281">
        <f t="shared" si="13"/>
        <v>44986</v>
      </c>
      <c r="H58" s="2281">
        <f t="shared" si="13"/>
        <v>44958</v>
      </c>
      <c r="I58" s="2281">
        <f t="shared" si="13"/>
        <v>44927</v>
      </c>
      <c r="J58" s="2281">
        <f t="shared" si="13"/>
        <v>44896</v>
      </c>
      <c r="K58" s="2281">
        <f t="shared" si="13"/>
        <v>44866</v>
      </c>
      <c r="L58" s="2281">
        <f t="shared" si="13"/>
        <v>44835</v>
      </c>
      <c r="M58" s="2281">
        <f t="shared" si="13"/>
        <v>44805</v>
      </c>
      <c r="N58" s="2281">
        <f t="shared" si="13"/>
        <v>44774</v>
      </c>
      <c r="O58" s="2281">
        <f t="shared" si="13"/>
        <v>44743</v>
      </c>
      <c r="P58" s="1879"/>
      <c r="Q58" s="1880"/>
      <c r="R58" s="1880"/>
      <c r="S58" s="1880"/>
      <c r="T58" s="1880"/>
      <c r="U58" s="1880"/>
      <c r="V58" s="1880"/>
      <c r="W58" s="1880"/>
      <c r="X58" s="1880"/>
      <c r="Y58" s="1880"/>
      <c r="Z58" s="1880"/>
      <c r="AA58" s="1880"/>
      <c r="AB58" s="1880"/>
      <c r="AC58" s="1880"/>
    </row>
    <row r="59" spans="1:29" s="1115" customFormat="1" ht="15">
      <c r="A59" s="614"/>
      <c r="B59" s="615"/>
      <c r="C59" s="616">
        <v>100</v>
      </c>
      <c r="D59" s="617">
        <v>100</v>
      </c>
      <c r="E59" s="617">
        <v>100</v>
      </c>
      <c r="F59" s="617">
        <v>99.5</v>
      </c>
      <c r="G59" s="617">
        <v>99.5</v>
      </c>
      <c r="H59" s="617">
        <v>99.5</v>
      </c>
      <c r="I59" s="617">
        <v>99</v>
      </c>
      <c r="J59" s="617">
        <v>99</v>
      </c>
      <c r="K59" s="617">
        <v>99</v>
      </c>
      <c r="L59" s="617"/>
      <c r="M59" s="617"/>
      <c r="N59" s="617"/>
      <c r="O59" s="617"/>
      <c r="P59" s="1877"/>
      <c r="Q59" s="1743"/>
      <c r="R59" s="1743"/>
      <c r="S59" s="1743"/>
      <c r="T59" s="1743"/>
      <c r="U59" s="1743"/>
      <c r="V59" s="1743"/>
      <c r="W59" s="1743"/>
      <c r="X59" s="1743"/>
      <c r="Y59" s="1743"/>
      <c r="Z59" s="1743"/>
      <c r="AA59" s="1743"/>
      <c r="AB59" s="1743"/>
      <c r="AC59" s="1743"/>
    </row>
    <row r="60" spans="1:29" s="1115"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5"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6"/>
      <c r="B62" s="615"/>
      <c r="C62" s="849">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c r="A63" s="631" t="s">
        <v>525</v>
      </c>
      <c r="B63" s="632" t="s">
        <v>483</v>
      </c>
      <c r="C63" s="671" t="str">
        <f>C9</f>
        <v>住宅</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3684" t="s">
        <v>3474</v>
      </c>
      <c r="D65" s="3684" t="s">
        <v>3475</v>
      </c>
      <c r="E65" s="3684" t="s">
        <v>3476</v>
      </c>
      <c r="F65" s="3684" t="s">
        <v>3477</v>
      </c>
      <c r="G65" s="3684" t="s">
        <v>3478</v>
      </c>
      <c r="H65" s="3684" t="s">
        <v>3479</v>
      </c>
      <c r="I65" s="3684" t="s">
        <v>3480</v>
      </c>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3685">
        <v>100</v>
      </c>
      <c r="D66" s="3685">
        <f t="shared" ref="D66:I66" si="14">C66-$K10</f>
        <v>100</v>
      </c>
      <c r="E66" s="3685">
        <f t="shared" si="14"/>
        <v>100</v>
      </c>
      <c r="F66" s="3685">
        <f t="shared" si="14"/>
        <v>100</v>
      </c>
      <c r="G66" s="3685">
        <f t="shared" si="14"/>
        <v>100</v>
      </c>
      <c r="H66" s="3685">
        <f t="shared" si="14"/>
        <v>100</v>
      </c>
      <c r="I66" s="3685">
        <f t="shared" si="14"/>
        <v>100</v>
      </c>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0（含）-1</v>
      </c>
      <c r="D67" s="649" t="str">
        <f t="shared" ref="D67:L67" si="15">D68&amp;"（含）"&amp;"-"&amp;E68</f>
        <v>1（含）-2</v>
      </c>
      <c r="E67" s="649" t="str">
        <f t="shared" si="15"/>
        <v>2（含）-3</v>
      </c>
      <c r="F67" s="649" t="str">
        <f t="shared" si="15"/>
        <v>3（含）-4</v>
      </c>
      <c r="G67" s="649" t="str">
        <f t="shared" si="15"/>
        <v>4（含）-5</v>
      </c>
      <c r="H67" s="649" t="str">
        <f t="shared" si="15"/>
        <v>5（含）-</v>
      </c>
      <c r="I67" s="649" t="str">
        <f t="shared" si="15"/>
        <v>（含）-</v>
      </c>
      <c r="J67" s="649" t="str">
        <f t="shared" si="15"/>
        <v>（含）-</v>
      </c>
      <c r="K67" s="649" t="str">
        <f t="shared" si="15"/>
        <v>（含）-</v>
      </c>
      <c r="L67" s="649" t="str">
        <f t="shared" si="15"/>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v>0</v>
      </c>
      <c r="D68" s="510">
        <v>1</v>
      </c>
      <c r="E68" s="510">
        <v>2</v>
      </c>
      <c r="F68" s="510">
        <v>3</v>
      </c>
      <c r="G68" s="510">
        <v>4</v>
      </c>
      <c r="H68" s="510">
        <v>5</v>
      </c>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6">C69-$K11</f>
        <v>97</v>
      </c>
      <c r="E69" s="646">
        <f t="shared" si="16"/>
        <v>94</v>
      </c>
      <c r="F69" s="646">
        <f t="shared" si="16"/>
        <v>91</v>
      </c>
      <c r="G69" s="646">
        <f t="shared" si="16"/>
        <v>88</v>
      </c>
      <c r="H69" s="646">
        <f t="shared" si="16"/>
        <v>85</v>
      </c>
      <c r="I69" s="646">
        <f t="shared" si="16"/>
        <v>82</v>
      </c>
      <c r="J69" s="646">
        <f t="shared" si="16"/>
        <v>79</v>
      </c>
      <c r="K69" s="646">
        <f t="shared" si="16"/>
        <v>76</v>
      </c>
      <c r="L69" s="646">
        <f t="shared" si="16"/>
        <v>73</v>
      </c>
      <c r="M69" s="647">
        <f t="shared" si="16"/>
        <v>70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95</v>
      </c>
      <c r="E79" s="646">
        <f>D79-$K17</f>
        <v>90</v>
      </c>
      <c r="F79" s="646">
        <f>E79-$K17</f>
        <v>85</v>
      </c>
      <c r="G79" s="646">
        <f>F79-$K17</f>
        <v>80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99</v>
      </c>
      <c r="E83" s="646">
        <f>D83-$K21</f>
        <v>98</v>
      </c>
      <c r="F83" s="646">
        <f>E83-$K21</f>
        <v>97</v>
      </c>
      <c r="G83" s="646">
        <f>F83-$K21</f>
        <v>96</v>
      </c>
      <c r="H83" s="895"/>
      <c r="I83" s="895"/>
      <c r="J83" s="895"/>
      <c r="K83" s="895"/>
      <c r="L83" s="895"/>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6"/>
      <c r="B86" s="1649" t="s">
        <v>1616</v>
      </c>
      <c r="C86" s="655"/>
      <c r="D86" s="655"/>
      <c r="E86" s="655"/>
      <c r="F86" s="655"/>
      <c r="G86" s="655"/>
      <c r="H86" s="655"/>
      <c r="I86" s="655"/>
      <c r="J86" s="655"/>
      <c r="K86" s="655"/>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6"/>
      <c r="B87" s="645"/>
      <c r="C87" s="679">
        <v>100</v>
      </c>
      <c r="D87" s="646">
        <f>$C$87-($C$86-D86)*$K$25</f>
        <v>100</v>
      </c>
      <c r="E87" s="646">
        <f t="shared" ref="E87:M87" si="17">$C$87-($C$86-E86)*$K$25</f>
        <v>100</v>
      </c>
      <c r="F87" s="646">
        <f t="shared" si="17"/>
        <v>100</v>
      </c>
      <c r="G87" s="646">
        <f t="shared" si="17"/>
        <v>100</v>
      </c>
      <c r="H87" s="646">
        <f t="shared" si="17"/>
        <v>100</v>
      </c>
      <c r="I87" s="646">
        <f t="shared" si="17"/>
        <v>100</v>
      </c>
      <c r="J87" s="646">
        <f t="shared" si="17"/>
        <v>100</v>
      </c>
      <c r="K87" s="646">
        <f t="shared" si="17"/>
        <v>100</v>
      </c>
      <c r="L87" s="646">
        <f t="shared" si="17"/>
        <v>100</v>
      </c>
      <c r="M87" s="646">
        <f t="shared" si="17"/>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6"/>
      <c r="B88" s="640" t="s">
        <v>686</v>
      </c>
      <c r="C88" s="655"/>
      <c r="D88" s="655"/>
      <c r="E88" s="655"/>
      <c r="F88" s="852"/>
      <c r="G88" s="655"/>
      <c r="H88" s="655"/>
      <c r="I88" s="655"/>
      <c r="J88" s="655"/>
      <c r="K88" s="655"/>
      <c r="L88" s="655"/>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6"/>
      <c r="B89" s="645"/>
      <c r="C89" s="679">
        <v>100</v>
      </c>
      <c r="D89" s="646">
        <f t="shared" ref="D89:M89" si="18">C89-$K26</f>
        <v>100</v>
      </c>
      <c r="E89" s="646">
        <f t="shared" si="18"/>
        <v>100</v>
      </c>
      <c r="F89" s="646">
        <f t="shared" si="18"/>
        <v>100</v>
      </c>
      <c r="G89" s="646">
        <f t="shared" si="18"/>
        <v>100</v>
      </c>
      <c r="H89" s="646">
        <f t="shared" si="18"/>
        <v>100</v>
      </c>
      <c r="I89" s="646">
        <f t="shared" si="18"/>
        <v>100</v>
      </c>
      <c r="J89" s="646">
        <f t="shared" si="18"/>
        <v>100</v>
      </c>
      <c r="K89" s="646">
        <f t="shared" si="18"/>
        <v>100</v>
      </c>
      <c r="L89" s="646">
        <f t="shared" si="18"/>
        <v>100</v>
      </c>
      <c r="M89" s="646">
        <f t="shared" si="18"/>
        <v>100</v>
      </c>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5.75"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3"/>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687</v>
      </c>
      <c r="C100" s="3677" t="s">
        <v>3495</v>
      </c>
      <c r="D100" s="3677" t="s">
        <v>3496</v>
      </c>
      <c r="E100" s="3677" t="s">
        <v>3485</v>
      </c>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9">C101-$K32</f>
        <v>95</v>
      </c>
      <c r="E101" s="646">
        <f t="shared" si="19"/>
        <v>90</v>
      </c>
      <c r="F101" s="646">
        <f t="shared" si="19"/>
        <v>85</v>
      </c>
      <c r="G101" s="646">
        <f t="shared" si="19"/>
        <v>80</v>
      </c>
      <c r="H101" s="646">
        <f t="shared" si="19"/>
        <v>75</v>
      </c>
      <c r="I101" s="646">
        <f t="shared" si="19"/>
        <v>70</v>
      </c>
      <c r="J101" s="646">
        <f t="shared" si="19"/>
        <v>65</v>
      </c>
      <c r="K101" s="646">
        <f t="shared" si="19"/>
        <v>60</v>
      </c>
      <c r="L101" s="646">
        <f t="shared" si="19"/>
        <v>55</v>
      </c>
      <c r="M101" s="646">
        <f t="shared" si="19"/>
        <v>50</v>
      </c>
      <c r="N101" s="1885"/>
      <c r="O101" s="1885"/>
      <c r="P101" s="1884"/>
      <c r="Q101" s="1877"/>
      <c r="R101" s="1865"/>
      <c r="S101" s="1865"/>
      <c r="T101" s="1865"/>
      <c r="U101" s="1865"/>
      <c r="V101" s="1865"/>
      <c r="W101" s="1865"/>
      <c r="X101" s="1865"/>
      <c r="Y101" s="1865"/>
      <c r="Z101" s="1865"/>
      <c r="AA101" s="1865"/>
      <c r="AB101" s="1865"/>
      <c r="AC101" s="1865"/>
    </row>
    <row r="102" spans="1:29" ht="29.25" thickTop="1">
      <c r="A102" s="636"/>
      <c r="B102" s="640" t="s">
        <v>688</v>
      </c>
      <c r="C102" s="675" t="str">
        <f>C103&amp;"(含)"&amp;"-"&amp;D103</f>
        <v>0(含)-50000</v>
      </c>
      <c r="D102" s="675" t="str">
        <f t="shared" ref="D102:L102" si="20">D103&amp;"(含)"&amp;"-"&amp;E103</f>
        <v>50000(含)-100000</v>
      </c>
      <c r="E102" s="675" t="str">
        <f t="shared" si="20"/>
        <v>100000(含)-150000</v>
      </c>
      <c r="F102" s="675" t="str">
        <f t="shared" si="20"/>
        <v>150000(含)-</v>
      </c>
      <c r="G102" s="675" t="str">
        <f t="shared" si="20"/>
        <v>(含)-</v>
      </c>
      <c r="H102" s="675" t="str">
        <f t="shared" si="20"/>
        <v>(含)-</v>
      </c>
      <c r="I102" s="675" t="str">
        <f t="shared" si="20"/>
        <v>(含)-</v>
      </c>
      <c r="J102" s="675" t="str">
        <f t="shared" si="20"/>
        <v>(含)-</v>
      </c>
      <c r="K102" s="675" t="str">
        <f t="shared" si="20"/>
        <v>(含)-</v>
      </c>
      <c r="L102" s="675" t="str">
        <f t="shared" si="20"/>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5"/>
      <c r="B103" s="696"/>
      <c r="C103" s="697">
        <v>0</v>
      </c>
      <c r="D103" s="697">
        <v>50000</v>
      </c>
      <c r="E103" s="697">
        <v>100000</v>
      </c>
      <c r="F103" s="697">
        <v>150000</v>
      </c>
      <c r="G103" s="697"/>
      <c r="H103" s="697"/>
      <c r="I103" s="697"/>
      <c r="J103" s="697"/>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4"/>
      <c r="B104" s="645"/>
      <c r="C104" s="659">
        <v>100</v>
      </c>
      <c r="D104" s="638">
        <f>C104+3</f>
        <v>103</v>
      </c>
      <c r="E104" s="638">
        <f t="shared" ref="E104:F104" si="21">D104+3</f>
        <v>106</v>
      </c>
      <c r="F104" s="638">
        <f t="shared" si="21"/>
        <v>109</v>
      </c>
      <c r="G104" s="638"/>
      <c r="H104" s="638"/>
      <c r="I104" s="638"/>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75" t="s">
        <v>3487</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C106-$K34</f>
        <v>98</v>
      </c>
      <c r="E106" s="646">
        <f t="shared" si="22"/>
        <v>96</v>
      </c>
      <c r="F106" s="646">
        <f t="shared" si="22"/>
        <v>94</v>
      </c>
      <c r="G106" s="646">
        <f t="shared" si="22"/>
        <v>92</v>
      </c>
      <c r="H106" s="646">
        <f t="shared" si="22"/>
        <v>90</v>
      </c>
      <c r="I106" s="646">
        <f t="shared" si="22"/>
        <v>88</v>
      </c>
      <c r="J106" s="646">
        <f t="shared" si="22"/>
        <v>86</v>
      </c>
      <c r="K106" s="646">
        <f t="shared" si="22"/>
        <v>84</v>
      </c>
      <c r="L106" s="646">
        <f t="shared" si="22"/>
        <v>82</v>
      </c>
      <c r="M106" s="646">
        <f t="shared" si="22"/>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76" t="s">
        <v>3488</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C108-$K35</f>
        <v>98</v>
      </c>
      <c r="E108" s="646">
        <f t="shared" si="23"/>
        <v>96</v>
      </c>
      <c r="F108" s="646">
        <f t="shared" si="23"/>
        <v>94</v>
      </c>
      <c r="G108" s="646">
        <f t="shared" si="23"/>
        <v>92</v>
      </c>
      <c r="H108" s="646">
        <f t="shared" si="23"/>
        <v>90</v>
      </c>
      <c r="I108" s="646">
        <f t="shared" si="23"/>
        <v>88</v>
      </c>
      <c r="J108" s="646">
        <f t="shared" si="23"/>
        <v>86</v>
      </c>
      <c r="K108" s="646">
        <f t="shared" si="23"/>
        <v>84</v>
      </c>
      <c r="L108" s="646">
        <f t="shared" si="23"/>
        <v>82</v>
      </c>
      <c r="M108" s="646">
        <f t="shared" si="23"/>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75" t="s">
        <v>3489</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98</v>
      </c>
      <c r="E110" s="646">
        <f t="shared" si="24"/>
        <v>96</v>
      </c>
      <c r="F110" s="646">
        <f t="shared" si="24"/>
        <v>94</v>
      </c>
      <c r="G110" s="646">
        <f t="shared" si="24"/>
        <v>92</v>
      </c>
      <c r="H110" s="646">
        <f t="shared" si="24"/>
        <v>90</v>
      </c>
      <c r="I110" s="646">
        <f t="shared" si="24"/>
        <v>88</v>
      </c>
      <c r="J110" s="646">
        <f t="shared" si="24"/>
        <v>86</v>
      </c>
      <c r="K110" s="646">
        <f t="shared" si="24"/>
        <v>84</v>
      </c>
      <c r="L110" s="646">
        <f t="shared" si="24"/>
        <v>82</v>
      </c>
      <c r="M110" s="646">
        <f t="shared" si="24"/>
        <v>80</v>
      </c>
      <c r="N110" s="1885"/>
      <c r="O110" s="1885"/>
      <c r="P110" s="1884"/>
      <c r="Q110" s="1877"/>
      <c r="R110" s="1865"/>
      <c r="S110" s="1865"/>
      <c r="T110" s="1865"/>
      <c r="U110" s="1865"/>
      <c r="V110" s="1865"/>
      <c r="W110" s="1865"/>
      <c r="X110" s="1865"/>
      <c r="Y110" s="1865"/>
      <c r="Z110" s="1865"/>
      <c r="AA110" s="1865"/>
      <c r="AB110" s="1865"/>
      <c r="AC110" s="1865"/>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7" customFormat="1">
      <c r="A112" s="695"/>
      <c r="B112" s="648"/>
      <c r="C112" s="854">
        <v>0.5</v>
      </c>
      <c r="D112" s="854">
        <v>0.6</v>
      </c>
      <c r="E112" s="854">
        <v>0.7</v>
      </c>
      <c r="F112" s="854">
        <v>0.8</v>
      </c>
      <c r="G112" s="854">
        <v>0.9</v>
      </c>
      <c r="H112" s="854">
        <v>1.0001</v>
      </c>
      <c r="I112" s="854"/>
      <c r="J112" s="855"/>
      <c r="K112" s="855"/>
      <c r="L112" s="856"/>
      <c r="M112" s="857"/>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75" t="s">
        <v>3490</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5">C115-$K38</f>
        <v>98</v>
      </c>
      <c r="E115" s="646">
        <f t="shared" si="25"/>
        <v>96</v>
      </c>
      <c r="F115" s="646">
        <f t="shared" si="25"/>
        <v>94</v>
      </c>
      <c r="G115" s="646">
        <f t="shared" si="25"/>
        <v>92</v>
      </c>
      <c r="H115" s="646">
        <f t="shared" si="25"/>
        <v>90</v>
      </c>
      <c r="I115" s="646">
        <f t="shared" si="25"/>
        <v>88</v>
      </c>
      <c r="J115" s="646">
        <f t="shared" si="25"/>
        <v>86</v>
      </c>
      <c r="K115" s="646">
        <f t="shared" si="25"/>
        <v>84</v>
      </c>
      <c r="L115" s="646">
        <f t="shared" si="25"/>
        <v>82</v>
      </c>
      <c r="M115" s="646">
        <f t="shared" si="25"/>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86" t="s">
        <v>1842</v>
      </c>
      <c r="D116" s="3686" t="s">
        <v>1843</v>
      </c>
      <c r="E116" s="3686" t="s">
        <v>1844</v>
      </c>
      <c r="F116" s="3686" t="s">
        <v>1845</v>
      </c>
      <c r="G116" s="3686" t="s">
        <v>1846</v>
      </c>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76" t="s">
        <v>3484</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46">
        <v>100</v>
      </c>
      <c r="D119" s="646">
        <f t="shared" ref="D119:M119" si="26">C119-$K40</f>
        <v>98</v>
      </c>
      <c r="E119" s="646">
        <f t="shared" si="26"/>
        <v>96</v>
      </c>
      <c r="F119" s="646">
        <f t="shared" si="26"/>
        <v>94</v>
      </c>
      <c r="G119" s="646">
        <f t="shared" si="26"/>
        <v>92</v>
      </c>
      <c r="H119" s="646">
        <f t="shared" si="26"/>
        <v>90</v>
      </c>
      <c r="I119" s="646">
        <f t="shared" si="26"/>
        <v>88</v>
      </c>
      <c r="J119" s="646">
        <f t="shared" si="26"/>
        <v>86</v>
      </c>
      <c r="K119" s="646">
        <f t="shared" si="26"/>
        <v>84</v>
      </c>
      <c r="L119" s="646">
        <f t="shared" si="26"/>
        <v>82</v>
      </c>
      <c r="M119" s="646">
        <f t="shared" si="26"/>
        <v>80</v>
      </c>
      <c r="N119" s="1885"/>
      <c r="O119" s="1885"/>
      <c r="P119" s="1884"/>
      <c r="Q119" s="1877"/>
      <c r="R119" s="1865"/>
      <c r="S119" s="1865"/>
      <c r="T119" s="1865"/>
      <c r="U119" s="1865"/>
      <c r="V119" s="1865"/>
      <c r="W119" s="1865"/>
      <c r="X119" s="1865"/>
      <c r="Y119" s="1865"/>
      <c r="Z119" s="1865"/>
      <c r="AA119" s="1865"/>
      <c r="AB119" s="1865"/>
      <c r="AC119" s="1865"/>
    </row>
    <row r="120" spans="1:29" s="1197" customFormat="1" ht="28.5" thickTop="1">
      <c r="A120" s="695"/>
      <c r="B120" s="640" t="s">
        <v>680</v>
      </c>
      <c r="C120" s="655"/>
      <c r="D120" s="655"/>
      <c r="E120" s="655"/>
      <c r="F120" s="655"/>
      <c r="G120" s="655"/>
      <c r="H120" s="655"/>
      <c r="I120" s="655"/>
      <c r="J120" s="655"/>
      <c r="K120" s="655"/>
      <c r="L120" s="850"/>
      <c r="M120" s="851"/>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75" t="s">
        <v>3415</v>
      </c>
      <c r="D122" s="3676" t="s">
        <v>3482</v>
      </c>
      <c r="E122" s="3675"/>
      <c r="F122" s="3676"/>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7">C123-$K42</f>
        <v>97</v>
      </c>
      <c r="E123" s="646">
        <f t="shared" si="27"/>
        <v>94</v>
      </c>
      <c r="F123" s="646">
        <f t="shared" si="27"/>
        <v>91</v>
      </c>
      <c r="G123" s="646">
        <f t="shared" si="27"/>
        <v>88</v>
      </c>
      <c r="H123" s="646">
        <f t="shared" si="27"/>
        <v>85</v>
      </c>
      <c r="I123" s="646">
        <f t="shared" si="27"/>
        <v>82</v>
      </c>
      <c r="J123" s="646">
        <f t="shared" si="27"/>
        <v>79</v>
      </c>
      <c r="K123" s="646">
        <f t="shared" si="27"/>
        <v>76</v>
      </c>
      <c r="L123" s="646">
        <f t="shared" si="27"/>
        <v>73</v>
      </c>
      <c r="M123" s="646">
        <f t="shared" si="27"/>
        <v>70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Normal="60" zoomScaleSheetLayoutView="100" workbookViewId="0">
      <selection activeCell="D45" sqref="D45"/>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6" t="s">
        <v>1254</v>
      </c>
      <c r="B1" s="705"/>
      <c r="C1" s="738" t="s">
        <v>3557</v>
      </c>
      <c r="D1" s="2550" t="s">
        <v>3562</v>
      </c>
      <c r="E1" s="2076" t="s">
        <v>1728</v>
      </c>
      <c r="F1" s="2077">
        <f ca="1">J53</f>
        <v>44.44</v>
      </c>
      <c r="G1" s="2998">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3597</v>
      </c>
      <c r="C2" s="3003"/>
      <c r="D2" s="3004"/>
      <c r="E2" s="3005"/>
      <c r="F2" s="3005"/>
      <c r="G2" s="2999"/>
      <c r="H2" s="1778"/>
      <c r="I2" s="1778"/>
      <c r="J2" s="1778"/>
      <c r="K2" s="1779"/>
      <c r="L2" s="1778"/>
      <c r="M2" s="1778"/>
    </row>
    <row r="3" spans="1:33" ht="18" customHeight="1" thickBot="1">
      <c r="A3" s="797" t="s">
        <v>1256</v>
      </c>
      <c r="B3" s="798">
        <f ca="1">IF(ISERROR(B2*10000/F43),0,ROUND(B2*10000/F43,0))</f>
        <v>5187</v>
      </c>
      <c r="C3" s="3003"/>
      <c r="D3" s="3004"/>
      <c r="E3" s="3005"/>
      <c r="F3" s="3005"/>
      <c r="G3" s="2999"/>
      <c r="H3" s="741" t="s">
        <v>642</v>
      </c>
      <c r="I3" s="1220"/>
      <c r="J3" s="1220"/>
      <c r="K3" s="1401"/>
      <c r="L3" s="1220"/>
      <c r="M3" s="1220"/>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228</v>
      </c>
      <c r="D5" s="2140" t="s">
        <v>1805</v>
      </c>
      <c r="E5" s="2134"/>
      <c r="F5" s="2135"/>
      <c r="G5" s="1783"/>
      <c r="H5" s="746">
        <v>1</v>
      </c>
      <c r="I5" s="747" t="s">
        <v>1802</v>
      </c>
      <c r="J5" s="53">
        <f ca="1">J6+J10+J12</f>
        <v>0</v>
      </c>
      <c r="K5" s="2140" t="s">
        <v>1805</v>
      </c>
      <c r="L5" s="2134"/>
      <c r="M5" s="2135"/>
    </row>
    <row r="6" spans="1:33" ht="18" customHeight="1">
      <c r="A6" s="1614" t="s">
        <v>1353</v>
      </c>
      <c r="B6" s="3997" t="s">
        <v>1807</v>
      </c>
      <c r="C6" s="748">
        <f ca="1">ROUND(F6*F8*F7*(1-F9)/10000,0)</f>
        <v>228</v>
      </c>
      <c r="D6" s="2141" t="s">
        <v>1806</v>
      </c>
      <c r="E6" s="749" t="s">
        <v>1267</v>
      </c>
      <c r="F6" s="750">
        <f ca="1">INDIRECT("'数据-取费表'!u"&amp;$G$1)</f>
        <v>1</v>
      </c>
      <c r="G6" s="1783"/>
      <c r="H6" s="2148" t="s">
        <v>1812</v>
      </c>
      <c r="I6" s="3997" t="s">
        <v>1807</v>
      </c>
      <c r="J6" s="748">
        <f ca="1">ROUND(M6*M8*M7*(1-M9)/10000,0)</f>
        <v>0</v>
      </c>
      <c r="K6" s="331" t="s">
        <v>1266</v>
      </c>
      <c r="L6" s="749" t="s">
        <v>1267</v>
      </c>
      <c r="M6" s="750">
        <f ca="1">INDIRECT("'数据-取费表'!z"&amp;$G$1)</f>
        <v>0</v>
      </c>
    </row>
    <row r="7" spans="1:33" ht="18" customHeight="1">
      <c r="A7" s="2144"/>
      <c r="B7" s="3998"/>
      <c r="C7" s="753"/>
      <c r="D7" s="754"/>
      <c r="E7" s="749" t="s">
        <v>1268</v>
      </c>
      <c r="F7" s="750">
        <f ca="1">IF(INDIRECT("'数据-取费表'!ah"&amp;$G$1)="",INDIRECT("'数据-取费表'!k"&amp;$G$1),INDIRECT("'数据-取费表'!ah"&amp;$G$1))</f>
        <v>6934.37</v>
      </c>
      <c r="G7" s="1783"/>
      <c r="H7" s="2133"/>
      <c r="I7" s="3998"/>
      <c r="J7" s="753"/>
      <c r="K7" s="754"/>
      <c r="L7" s="749" t="s">
        <v>1268</v>
      </c>
      <c r="M7" s="750">
        <f ca="1">F7</f>
        <v>6934.37</v>
      </c>
    </row>
    <row r="8" spans="1:33" ht="18" customHeight="1">
      <c r="A8" s="2137"/>
      <c r="B8" s="3999"/>
      <c r="C8" s="753"/>
      <c r="D8" s="754"/>
      <c r="E8" s="749" t="s">
        <v>1269</v>
      </c>
      <c r="F8" s="750">
        <f ca="1">INDIRECT("'数据-取费表'!ai"&amp;$G$1)</f>
        <v>365</v>
      </c>
      <c r="G8" s="1783"/>
      <c r="H8" s="2133"/>
      <c r="I8" s="3999"/>
      <c r="J8" s="753"/>
      <c r="K8" s="754"/>
      <c r="L8" s="749" t="s">
        <v>1269</v>
      </c>
      <c r="M8" s="750">
        <f ca="1">INDIRECT("'数据-取费表'!ai"&amp;$G$1)</f>
        <v>365</v>
      </c>
    </row>
    <row r="9" spans="1:33" ht="18" customHeight="1">
      <c r="A9" s="751"/>
      <c r="B9" s="4000"/>
      <c r="C9" s="753"/>
      <c r="D9" s="754"/>
      <c r="E9" s="749" t="s">
        <v>1270</v>
      </c>
      <c r="F9" s="759">
        <f ca="1">INDIRECT("'数据-取费表'!w"&amp;$G$1)</f>
        <v>0.1</v>
      </c>
      <c r="G9" s="1783"/>
      <c r="H9" s="2149"/>
      <c r="I9" s="3999"/>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2222</v>
      </c>
      <c r="E10" s="2142" t="s">
        <v>1808</v>
      </c>
      <c r="F10" s="2226" t="s">
        <v>3563</v>
      </c>
      <c r="G10" s="1783"/>
      <c r="H10" s="2176" t="s">
        <v>1813</v>
      </c>
      <c r="I10" s="2181" t="s">
        <v>1803</v>
      </c>
      <c r="J10" s="748">
        <f ca="1">ROUND(IF(M10="押一",J6/12*M11,IF(M10="押二",J6/12*2*M11,IF(M10="押三",J6/12*3*M11,J11*M11))),0)</f>
        <v>0</v>
      </c>
      <c r="K10" s="2145" t="s">
        <v>2222</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3302</v>
      </c>
      <c r="D13" s="1618" t="s">
        <v>1654</v>
      </c>
      <c r="E13" s="1618" t="s">
        <v>1273</v>
      </c>
      <c r="F13" s="2151">
        <f ca="1">INDIRECT("'数据-取费表'!y"&amp;$G$1)</f>
        <v>1</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2505</v>
      </c>
      <c r="D14" s="1731" t="s">
        <v>1274</v>
      </c>
      <c r="E14" s="1732"/>
      <c r="F14" s="770"/>
      <c r="G14" s="1783"/>
      <c r="H14" s="1451" t="s">
        <v>1359</v>
      </c>
      <c r="I14" s="1947" t="s">
        <v>2103</v>
      </c>
      <c r="J14" s="51">
        <f ca="1">C29</f>
        <v>3302</v>
      </c>
      <c r="K14" s="24"/>
      <c r="L14" s="766"/>
      <c r="M14" s="767"/>
    </row>
    <row r="15" spans="1:33" s="1785" customFormat="1" ht="18" customHeight="1" thickBot="1">
      <c r="A15" s="1450" t="s">
        <v>1410</v>
      </c>
      <c r="B15" s="749" t="s">
        <v>595</v>
      </c>
      <c r="C15" s="51">
        <f ca="1">ROUND(C14*F15,0)</f>
        <v>75</v>
      </c>
      <c r="D15" s="771" t="s">
        <v>1275</v>
      </c>
      <c r="E15" s="771" t="s">
        <v>1276</v>
      </c>
      <c r="F15" s="772">
        <f>'数据-取费表'!B33</f>
        <v>0.03</v>
      </c>
      <c r="G15" s="3000"/>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33</v>
      </c>
      <c r="K16" s="1605" t="s">
        <v>1279</v>
      </c>
      <c r="L16" s="2130"/>
      <c r="M16" s="2135"/>
    </row>
    <row r="17" spans="1:33" s="1785" customFormat="1" ht="18" customHeight="1">
      <c r="A17" s="1450" t="s">
        <v>1412</v>
      </c>
      <c r="B17" s="749" t="s">
        <v>601</v>
      </c>
      <c r="C17" s="51">
        <f ca="1">ROUND(F17*(F43+INDIRECT("'数据-取费表'!S"&amp;$G$1))/10000,0)</f>
        <v>143</v>
      </c>
      <c r="D17" s="749" t="s">
        <v>1280</v>
      </c>
      <c r="E17" s="749" t="s">
        <v>1281</v>
      </c>
      <c r="F17" s="54">
        <f>'数据-取费表'!B35</f>
        <v>200</v>
      </c>
      <c r="G17" s="3000"/>
      <c r="H17" s="1451" t="s">
        <v>1359</v>
      </c>
      <c r="I17" s="749" t="s">
        <v>604</v>
      </c>
      <c r="J17" s="2759">
        <f ca="1">ROUND(IF(AND(项目基本情况!B11="自然人",项目基本情况!B10="北京市"),J6*M17/(1+'数据-取费表'!C42),J18+J19+J20),2)</f>
        <v>0.37</v>
      </c>
      <c r="K17" s="2129" t="s">
        <v>1282</v>
      </c>
      <c r="L17" s="2128" t="s">
        <v>1283</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38</v>
      </c>
      <c r="D18" s="749" t="s">
        <v>1275</v>
      </c>
      <c r="E18" s="749" t="s">
        <v>1276</v>
      </c>
      <c r="F18" s="774">
        <f>'数据-取费表'!B36</f>
        <v>1.4999999999999999E-2</v>
      </c>
      <c r="G18" s="3000"/>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2761</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55</v>
      </c>
      <c r="D20" s="776" t="s">
        <v>1288</v>
      </c>
      <c r="E20" s="749" t="s">
        <v>1276</v>
      </c>
      <c r="F20" s="774">
        <f>'数据-取费表'!B37</f>
        <v>0.02</v>
      </c>
      <c r="G20" s="3000"/>
      <c r="H20" s="1453" t="s">
        <v>1405</v>
      </c>
      <c r="I20" s="331" t="s">
        <v>1289</v>
      </c>
      <c r="J20" s="52">
        <f ca="1">ROUND(M20*M21/10000,2)</f>
        <v>0.37</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3000"/>
      <c r="H21" s="2150"/>
      <c r="I21" s="758"/>
      <c r="J21" s="67"/>
      <c r="K21" s="780"/>
      <c r="L21" s="749" t="s">
        <v>1295</v>
      </c>
      <c r="M21" s="750">
        <f ca="1">INDIRECT("'数据-取费表'!r"&amp;$G$1)</f>
        <v>2433.5300000000002</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33.020000000000003</v>
      </c>
      <c r="K22" s="2128" t="s">
        <v>1298</v>
      </c>
      <c r="L22" s="749" t="s">
        <v>1276</v>
      </c>
      <c r="M22" s="781">
        <f ca="1">INDIRECT("'数据-取费表'!Ak"&amp;$G$1)</f>
        <v>0.01</v>
      </c>
    </row>
    <row r="23" spans="1:33" s="1785" customFormat="1" ht="18" customHeight="1">
      <c r="A23" s="1450" t="s">
        <v>1360</v>
      </c>
      <c r="B23" s="749" t="s">
        <v>1818</v>
      </c>
      <c r="C23" s="51">
        <f ca="1">ROUND(IF('数据-取费表'!B22&lt;=1,(C19+C20)*F24*F23/2,(C19+C20)*(POWER((1+F24),F23/2)-1)),0)</f>
        <v>100</v>
      </c>
      <c r="D23" s="2184" t="str">
        <f>IF(F23&lt;=1,"(建造成本+管理费用)×利率×(建设周期÷2)","(建造成本+管理费用)×((1+利率)^(建设周期÷2)-1)")</f>
        <v>(建造成本+管理费用)×((1+利率)^(建设周期÷2)-1)</v>
      </c>
      <c r="E23" s="749" t="s">
        <v>1299</v>
      </c>
      <c r="F23" s="607">
        <f>'数据-取费表'!B20</f>
        <v>2</v>
      </c>
      <c r="G23" s="3000"/>
      <c r="H23" s="1451" t="s">
        <v>1415</v>
      </c>
      <c r="I23" s="749" t="s">
        <v>626</v>
      </c>
      <c r="J23" s="51">
        <f ca="1">ROUND(J13*M23,2)</f>
        <v>0</v>
      </c>
      <c r="K23" s="2128" t="s">
        <v>1300</v>
      </c>
      <c r="L23" s="749" t="s">
        <v>1276</v>
      </c>
      <c r="M23" s="782">
        <f ca="1">INDIRECT("'数据-取费表'!Al"&amp;$G$1)</f>
        <v>1.5E-3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3.5499999999999997E-2</v>
      </c>
      <c r="G24" s="3000"/>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1" t="s">
        <v>2099</v>
      </c>
      <c r="J25" s="757">
        <f ca="1">J5-J16</f>
        <v>-33</v>
      </c>
      <c r="K25" s="2163" t="s">
        <v>1306</v>
      </c>
      <c r="L25" s="2164"/>
      <c r="M25" s="2165"/>
    </row>
    <row r="26" spans="1:33" ht="18" customHeight="1">
      <c r="A26" s="1450" t="s">
        <v>1360</v>
      </c>
      <c r="B26" s="749" t="s">
        <v>1785</v>
      </c>
      <c r="C26" s="51">
        <f ca="1">ROUND((C19+C20)*F26,0)</f>
        <v>141</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0.05</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3000"/>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3302</v>
      </c>
      <c r="D29" s="2160"/>
      <c r="E29" s="2161"/>
      <c r="F29" s="2162"/>
      <c r="G29" s="3000"/>
      <c r="H29" s="787" t="s">
        <v>1316</v>
      </c>
      <c r="I29" s="788" t="s">
        <v>1317</v>
      </c>
      <c r="J29" s="789">
        <f ca="1">ROUND(J26/(1+F40)^F41,0)</f>
        <v>0</v>
      </c>
      <c r="K29" s="790" t="s">
        <v>1318</v>
      </c>
      <c r="L29" s="791"/>
      <c r="M29" s="792">
        <f ca="1">INDIRECT("'数据-取费表'!k"&amp;$G$1)</f>
        <v>6934.37</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79</v>
      </c>
      <c r="D30" s="1605" t="s">
        <v>1320</v>
      </c>
      <c r="E30" s="2130"/>
      <c r="F30" s="2135"/>
      <c r="G30" s="1783"/>
      <c r="H30" s="1786"/>
      <c r="I30" s="1787"/>
      <c r="J30" s="1788"/>
      <c r="K30" s="1789"/>
      <c r="L30" s="1790"/>
      <c r="M30" s="1791"/>
    </row>
    <row r="31" spans="1:33" ht="18" customHeight="1">
      <c r="A31" s="1451" t="s">
        <v>1359</v>
      </c>
      <c r="B31" s="749" t="s">
        <v>604</v>
      </c>
      <c r="C31" s="2759">
        <f ca="1">ROUND(IF(AND(项目基本情况!B11="自然人",项目基本情况!B10="北京市"),C6*F31/(1+'数据-取费表'!C42),C32+C33+C34),2)</f>
        <v>38.369999999999997</v>
      </c>
      <c r="D31" s="1731" t="s">
        <v>1321</v>
      </c>
      <c r="E31" s="1729" t="s">
        <v>1322</v>
      </c>
      <c r="F31" s="2758" t="str">
        <f>IF(项目基本情况!B11="企业","——",IF(M47="住宅",IF(F6*F7*F8/12/(1+'数据-取费表'!F30)&gt;100000,4%,2.5%),IF(F6*F7*F8/12/(1+'数据-取费表'!F30)&gt;100000,12%,7%)))</f>
        <v>——</v>
      </c>
      <c r="G31" s="1783"/>
      <c r="H31" s="2997" t="s">
        <v>2274</v>
      </c>
      <c r="I31" s="1787"/>
      <c r="J31" s="1788"/>
      <c r="K31" s="1789"/>
      <c r="L31" s="1790"/>
      <c r="M31" s="1791"/>
    </row>
    <row r="32" spans="1:33" ht="18" customHeight="1">
      <c r="A32" s="1450" t="s">
        <v>1360</v>
      </c>
      <c r="B32" s="749" t="s">
        <v>1323</v>
      </c>
      <c r="C32" s="51">
        <f ca="1">ROUND(C6*F32/(1+'数据-取费表'!C42),2)</f>
        <v>11.94</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26.06</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0.37</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2433.5300000000002</v>
      </c>
      <c r="G35" s="1783"/>
      <c r="H35" s="1786"/>
      <c r="I35" s="801" t="s">
        <v>1343</v>
      </c>
      <c r="J35" s="802">
        <f ca="1">ROUND(C13*J36,0)</f>
        <v>231</v>
      </c>
      <c r="K35" s="1799"/>
      <c r="L35" s="1798"/>
      <c r="M35" s="1798"/>
    </row>
    <row r="36" spans="1:18" ht="18" customHeight="1">
      <c r="A36" s="1451" t="s">
        <v>1414</v>
      </c>
      <c r="B36" s="749" t="s">
        <v>1331</v>
      </c>
      <c r="C36" s="51">
        <f ca="1">ROUND(C29*F36,2)</f>
        <v>33.020000000000003</v>
      </c>
      <c r="D36" s="1729" t="s">
        <v>1332</v>
      </c>
      <c r="E36" s="749" t="s">
        <v>1325</v>
      </c>
      <c r="F36" s="781">
        <f ca="1">INDIRECT("'数据-取费表'!Ak"&amp;$G$1)</f>
        <v>0.01</v>
      </c>
      <c r="G36" s="1783"/>
      <c r="H36" s="1798"/>
      <c r="I36" s="803" t="s">
        <v>1344</v>
      </c>
      <c r="J36" s="804">
        <f ca="1">INDIRECT("'数据-取费表'!j"&amp;$G$1)</f>
        <v>7.0000000000000007E-2</v>
      </c>
      <c r="K36" s="1802"/>
      <c r="L36" s="1798"/>
      <c r="M36" s="1798"/>
    </row>
    <row r="37" spans="1:18" ht="18" customHeight="1">
      <c r="A37" s="1451" t="s">
        <v>1415</v>
      </c>
      <c r="B37" s="749" t="s">
        <v>626</v>
      </c>
      <c r="C37" s="51">
        <f ca="1">ROUND(C13*F37,2)</f>
        <v>4.95</v>
      </c>
      <c r="D37" s="1729" t="s">
        <v>1333</v>
      </c>
      <c r="E37" s="749" t="s">
        <v>1325</v>
      </c>
      <c r="F37" s="782">
        <f ca="1">INDIRECT("'数据-取费表'!Al"&amp;$G$1)</f>
        <v>1.5E-3</v>
      </c>
      <c r="G37" s="1783"/>
      <c r="H37" s="1798"/>
      <c r="I37" s="805" t="s">
        <v>1345</v>
      </c>
      <c r="J37" s="806"/>
      <c r="K37" s="1802"/>
      <c r="L37" s="1798"/>
      <c r="M37" s="1798"/>
    </row>
    <row r="38" spans="1:18" ht="18" customHeight="1" thickBot="1">
      <c r="A38" s="2166" t="s">
        <v>1416</v>
      </c>
      <c r="B38" s="2161" t="s">
        <v>613</v>
      </c>
      <c r="C38" s="2159">
        <f ca="1">ROUND(C5*F38,2)</f>
        <v>2.2799999999999998</v>
      </c>
      <c r="D38" s="2160" t="s">
        <v>1334</v>
      </c>
      <c r="E38" s="2161" t="s">
        <v>1325</v>
      </c>
      <c r="F38" s="2157">
        <f ca="1">INDIRECT("'数据-取费表'!Am"&amp;$G$1)</f>
        <v>0.01</v>
      </c>
      <c r="G38" s="1783"/>
      <c r="H38" s="1798"/>
      <c r="I38" s="807" t="s">
        <v>1346</v>
      </c>
      <c r="J38" s="808"/>
      <c r="K38" s="1803"/>
      <c r="L38" s="1798"/>
      <c r="M38" s="1798"/>
    </row>
    <row r="39" spans="1:18" ht="24.6" customHeight="1" thickTop="1">
      <c r="A39" s="1613" t="s">
        <v>1419</v>
      </c>
      <c r="B39" s="2481" t="s">
        <v>2099</v>
      </c>
      <c r="C39" s="757">
        <f ca="1">C5-C30</f>
        <v>149</v>
      </c>
      <c r="D39" s="2163" t="s">
        <v>1335</v>
      </c>
      <c r="E39" s="2164"/>
      <c r="F39" s="2165"/>
      <c r="G39" s="1783"/>
      <c r="H39" s="1798"/>
      <c r="I39" s="801" t="s">
        <v>1347</v>
      </c>
      <c r="J39" s="809">
        <f ca="1">ROUND(J35/C39,3)</f>
        <v>1.55</v>
      </c>
      <c r="K39" s="1803"/>
      <c r="L39" s="1798"/>
      <c r="M39" s="1798"/>
    </row>
    <row r="40" spans="1:18" ht="18" customHeight="1">
      <c r="A40" s="746" t="s">
        <v>1420</v>
      </c>
      <c r="B40" s="1948" t="s">
        <v>1658</v>
      </c>
      <c r="C40" s="748">
        <f ca="1">ROUND(C39*(1-((1+F42)/(1+F40))^F41)/(F40-F42),0)</f>
        <v>3597</v>
      </c>
      <c r="D40" s="778" t="s">
        <v>1336</v>
      </c>
      <c r="E40" s="749" t="s">
        <v>1773</v>
      </c>
      <c r="F40" s="759">
        <f ca="1">INDIRECT("'数据-取费表'!I"&amp;$G$1)</f>
        <v>0.05</v>
      </c>
      <c r="G40" s="1783"/>
      <c r="H40" s="1783"/>
      <c r="I40" s="801" t="s">
        <v>1348</v>
      </c>
      <c r="J40" s="809">
        <f ca="1">1-J39</f>
        <v>-0.55000000000000004</v>
      </c>
      <c r="K40" s="1803"/>
      <c r="L40" s="1783"/>
      <c r="M40" s="1783"/>
    </row>
    <row r="41" spans="1:18" ht="18" customHeight="1">
      <c r="A41" s="751"/>
      <c r="B41" s="752"/>
      <c r="C41" s="753"/>
      <c r="D41" s="785" t="s">
        <v>1337</v>
      </c>
      <c r="E41" s="749" t="s">
        <v>2214</v>
      </c>
      <c r="F41" s="786">
        <f ca="1">IF(INDIRECT("'数据-取费表'!af"&amp;$G$1)=0,INDIRECT("'数据-取费表'!ae"&amp;$G$1),INDIRECT("'数据-取费表'!af"&amp;$G$1))</f>
        <v>44.44</v>
      </c>
      <c r="G41" s="1783"/>
      <c r="H41" s="1738"/>
      <c r="I41" s="807" t="s">
        <v>1349</v>
      </c>
      <c r="J41" s="810"/>
      <c r="K41" s="1802"/>
      <c r="L41" s="1738"/>
      <c r="M41" s="1738"/>
    </row>
    <row r="42" spans="1:18" ht="18" customHeight="1">
      <c r="A42" s="755"/>
      <c r="B42" s="756"/>
      <c r="C42" s="757"/>
      <c r="D42" s="780"/>
      <c r="E42" s="749" t="s">
        <v>1338</v>
      </c>
      <c r="F42" s="759">
        <f ca="1">INDIRECT("'数据-取费表'!v"&amp;$G$1)</f>
        <v>0.02</v>
      </c>
      <c r="G42" s="1783"/>
      <c r="H42" s="1738"/>
      <c r="I42" s="811" t="s">
        <v>1350</v>
      </c>
      <c r="J42" s="809">
        <f ca="1">ROUND(C13/C40,3)</f>
        <v>0.91800000000000004</v>
      </c>
      <c r="K42" s="1802"/>
      <c r="L42" s="1738"/>
      <c r="M42" s="1738"/>
    </row>
    <row r="43" spans="1:18" ht="18" customHeight="1" thickBot="1">
      <c r="A43" s="787" t="s">
        <v>1316</v>
      </c>
      <c r="B43" s="788" t="s">
        <v>1339</v>
      </c>
      <c r="C43" s="789">
        <f ca="1">ROUND(C40*10000/F43,0)</f>
        <v>5187</v>
      </c>
      <c r="D43" s="790" t="s">
        <v>1340</v>
      </c>
      <c r="E43" s="791" t="s">
        <v>1341</v>
      </c>
      <c r="F43" s="792">
        <f ca="1">INDIRECT("'数据-取费表'!k"&amp;$G$1)</f>
        <v>6934.37</v>
      </c>
      <c r="G43" s="1783"/>
      <c r="H43" s="1738"/>
      <c r="I43" s="811" t="s">
        <v>1351</v>
      </c>
      <c r="J43" s="812">
        <f ca="1">1-J42</f>
        <v>8.1999999999999962E-2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-4270</v>
      </c>
      <c r="D46" s="3001"/>
      <c r="E46" s="3001"/>
      <c r="F46" s="3001"/>
      <c r="I46" s="2067" t="s">
        <v>1697</v>
      </c>
      <c r="J46" s="2068"/>
      <c r="K46" s="2069"/>
      <c r="L46" s="2563">
        <f>IF(OR(M47="住宅",D1="土地（套用方法）"),0,IF(L48&gt;J51,L60,J60))</f>
        <v>0</v>
      </c>
      <c r="M46" s="3002"/>
      <c r="O46" s="2083" t="s">
        <v>1764</v>
      </c>
      <c r="P46" s="1402"/>
      <c r="Q46" s="1410"/>
      <c r="R46" s="1402"/>
    </row>
    <row r="47" spans="1:18" s="1780" customFormat="1" ht="18" customHeight="1" thickBot="1">
      <c r="A47" s="3652">
        <v>1</v>
      </c>
      <c r="B47" s="3653" t="s">
        <v>583</v>
      </c>
      <c r="C47" s="3654">
        <f ca="1">C48+C52+C54</f>
        <v>0</v>
      </c>
      <c r="D47" s="3655"/>
      <c r="E47" s="3655"/>
      <c r="F47" s="3656"/>
      <c r="I47" s="2554" t="s">
        <v>1698</v>
      </c>
      <c r="J47" s="2070" t="s">
        <v>3486</v>
      </c>
      <c r="K47" s="2560" t="s">
        <v>1703</v>
      </c>
      <c r="L47" s="2564">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1" t="s">
        <v>1699</v>
      </c>
      <c r="J48" s="2071" t="s">
        <v>1704</v>
      </c>
      <c r="K48" s="2561" t="s">
        <v>1705</v>
      </c>
      <c r="L48" s="1661">
        <f ca="1">INDIRECT("'数据-取费表'!f"&amp;$G$1)</f>
        <v>46.44</v>
      </c>
      <c r="M48" s="3002"/>
      <c r="O48" s="2087" t="s">
        <v>1733</v>
      </c>
      <c r="P48" s="2088" t="s">
        <v>1759</v>
      </c>
      <c r="Q48" s="2089">
        <f ca="1">C40+J29</f>
        <v>3597</v>
      </c>
      <c r="R48" s="2088" t="s">
        <v>1734</v>
      </c>
    </row>
    <row r="49" spans="1:18" s="1780" customFormat="1" ht="18" customHeight="1" thickBot="1">
      <c r="A49" s="751"/>
      <c r="B49" s="752"/>
      <c r="C49" s="753"/>
      <c r="D49" s="754"/>
      <c r="E49" s="749" t="s">
        <v>1268</v>
      </c>
      <c r="F49" s="750">
        <f ca="1">F7</f>
        <v>6934.37</v>
      </c>
      <c r="G49" s="1810"/>
      <c r="H49" s="1813"/>
      <c r="I49" s="2551" t="s">
        <v>1700</v>
      </c>
      <c r="J49" s="2072">
        <v>2025</v>
      </c>
      <c r="K49" s="2562" t="s">
        <v>1706</v>
      </c>
      <c r="L49" s="2073"/>
      <c r="M49" s="3002"/>
      <c r="O49" s="2087" t="s">
        <v>1735</v>
      </c>
      <c r="P49" s="2088" t="s">
        <v>1760</v>
      </c>
      <c r="Q49" s="2089" t="str">
        <f ca="1">J60</f>
        <v>0</v>
      </c>
      <c r="R49" s="2088" t="s">
        <v>1736</v>
      </c>
    </row>
    <row r="50" spans="1:18" s="1780" customFormat="1" ht="18" customHeight="1" thickBot="1">
      <c r="A50" s="751"/>
      <c r="B50" s="752"/>
      <c r="C50" s="753"/>
      <c r="D50" s="754"/>
      <c r="E50" s="749" t="s">
        <v>1269</v>
      </c>
      <c r="F50" s="750">
        <f ca="1">F8</f>
        <v>365</v>
      </c>
      <c r="G50" s="1815"/>
      <c r="H50" s="1813"/>
      <c r="I50" s="2551" t="s">
        <v>1701</v>
      </c>
      <c r="J50" s="2558">
        <f>SUMPRODUCT((I63:I65=J47)*(J62:L62=J48)*(J63:L65))</f>
        <v>60</v>
      </c>
      <c r="K50" s="2562" t="s">
        <v>1707</v>
      </c>
      <c r="L50" s="2073"/>
      <c r="M50" s="3002"/>
      <c r="O50" s="2090" t="s">
        <v>1737</v>
      </c>
      <c r="P50" s="2088" t="s">
        <v>1761</v>
      </c>
      <c r="Q50" s="2089">
        <f ca="1">C29</f>
        <v>3302</v>
      </c>
      <c r="R50" s="2088" t="s">
        <v>1734</v>
      </c>
    </row>
    <row r="51" spans="1:18" s="1780" customFormat="1" ht="18" customHeight="1" thickBot="1">
      <c r="A51" s="751"/>
      <c r="B51" s="752"/>
      <c r="C51" s="753"/>
      <c r="D51" s="754"/>
      <c r="E51" s="749" t="s">
        <v>588</v>
      </c>
      <c r="F51" s="2062"/>
      <c r="H51" s="1813"/>
      <c r="I51" s="2555" t="s">
        <v>1702</v>
      </c>
      <c r="J51" s="2559">
        <f>IF(J49="",J50,J49+J50-YEAR('数据-取费表'!B2))</f>
        <v>62</v>
      </c>
      <c r="K51" s="2551" t="s">
        <v>1708</v>
      </c>
      <c r="L51" s="2565">
        <f ca="1">ROUND(-PV(INDIRECT("'数据-取费表'!h"&amp;$G$1),J51,(C39-C13*J36),0),0)</f>
        <v>-1706</v>
      </c>
      <c r="M51" s="3002"/>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2223</v>
      </c>
      <c r="E52" s="2142" t="s">
        <v>1808</v>
      </c>
      <c r="F52" s="2226"/>
      <c r="I52" s="2556" t="s">
        <v>1775</v>
      </c>
      <c r="J52" s="2074">
        <v>7.4999999999999997E-2</v>
      </c>
      <c r="K52" s="2556" t="s">
        <v>1774</v>
      </c>
      <c r="L52" s="2074"/>
      <c r="M52" s="3002"/>
      <c r="O52" s="2090" t="s">
        <v>1740</v>
      </c>
      <c r="P52" s="2088" t="s">
        <v>1741</v>
      </c>
      <c r="Q52" s="2091">
        <f>J52</f>
        <v>7.4999999999999997E-2</v>
      </c>
      <c r="R52" s="2092"/>
    </row>
    <row r="53" spans="1:18" s="1780" customFormat="1" ht="39.75" customHeight="1" thickBot="1">
      <c r="A53" s="751"/>
      <c r="B53" s="2139" t="s">
        <v>1856</v>
      </c>
      <c r="C53" s="2143"/>
      <c r="D53" s="2145"/>
      <c r="E53" s="2142"/>
      <c r="F53" s="765"/>
      <c r="I53" s="2557" t="s">
        <v>2226</v>
      </c>
      <c r="J53" s="2608">
        <f ca="1">IF(M47="住宅",IF(D1="——",MAX(J51,L48),MAX(J51,L48-'数据-取费表'!B20)),IF(D1="——",MIN(J51,L48),MIN(J51,L48-'数据-取费表'!B20)))</f>
        <v>44.44</v>
      </c>
      <c r="K53" s="4006" t="s">
        <v>2216</v>
      </c>
      <c r="L53" s="4007"/>
      <c r="M53" s="3002"/>
      <c r="O53" s="2090" t="s">
        <v>1742</v>
      </c>
      <c r="P53" s="2088" t="s">
        <v>1743</v>
      </c>
      <c r="Q53" s="2089">
        <f ca="1">J53</f>
        <v>44.44</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2"/>
      <c r="O54" s="2087" t="s">
        <v>1745</v>
      </c>
      <c r="P54" s="2088" t="s">
        <v>1762</v>
      </c>
      <c r="Q54" s="2089">
        <f ca="1">Q48+Q49</f>
        <v>3597</v>
      </c>
      <c r="R54" s="2092" t="s">
        <v>1746</v>
      </c>
    </row>
    <row r="55" spans="1:18" s="1780" customFormat="1" ht="18" customHeight="1" thickTop="1" thickBot="1">
      <c r="A55" s="762">
        <v>2</v>
      </c>
      <c r="B55" s="763" t="s">
        <v>592</v>
      </c>
      <c r="C55" s="764">
        <f ca="1">C13</f>
        <v>3302</v>
      </c>
      <c r="D55" s="760"/>
      <c r="E55" s="760"/>
      <c r="F55" s="765"/>
      <c r="I55" s="2568" t="s">
        <v>1709</v>
      </c>
      <c r="J55" s="2540" t="e">
        <f ca="1">ROUND(IF(J47="钢混",J57/J50,1-(1-2%)*(J50-J57)/J50),3)</f>
        <v>#VALUE!</v>
      </c>
      <c r="K55" s="2569" t="s">
        <v>1710</v>
      </c>
      <c r="L55" s="2075"/>
      <c r="M55" s="3002"/>
      <c r="O55" s="2093" t="s">
        <v>1765</v>
      </c>
      <c r="P55" s="1402"/>
      <c r="Q55" s="1410"/>
      <c r="R55" s="1402"/>
    </row>
    <row r="56" spans="1:18" s="1780" customFormat="1" ht="42.75" customHeight="1" thickBot="1">
      <c r="A56" s="1452"/>
      <c r="B56" s="1947" t="s">
        <v>1659</v>
      </c>
      <c r="C56" s="51">
        <f ca="1">C29</f>
        <v>3302</v>
      </c>
      <c r="D56" s="2242"/>
      <c r="E56" s="749"/>
      <c r="F56" s="774"/>
      <c r="I56" s="2570" t="s">
        <v>1711</v>
      </c>
      <c r="J56" s="2580" t="s">
        <v>3256</v>
      </c>
      <c r="K56" s="2551" t="s">
        <v>1716</v>
      </c>
      <c r="L56" s="1661" t="str">
        <f ca="1">IF(L48&lt;J51,"——",L48-J51)</f>
        <v>——</v>
      </c>
      <c r="M56" s="3002"/>
      <c r="O56" s="2084" t="s">
        <v>1729</v>
      </c>
      <c r="P56" s="2085" t="s">
        <v>1730</v>
      </c>
      <c r="Q56" s="2086" t="s">
        <v>1731</v>
      </c>
      <c r="R56" s="2085" t="s">
        <v>1732</v>
      </c>
    </row>
    <row r="57" spans="1:18" s="1780" customFormat="1" ht="28.5" customHeight="1" thickBot="1">
      <c r="A57" s="762" t="s">
        <v>1277</v>
      </c>
      <c r="B57" s="763" t="s">
        <v>599</v>
      </c>
      <c r="C57" s="764">
        <f ca="1">ROUND(C58+C63+C64+C65,0)</f>
        <v>38</v>
      </c>
      <c r="D57" s="24" t="s">
        <v>1279</v>
      </c>
      <c r="E57" s="2243"/>
      <c r="F57" s="54"/>
      <c r="I57" s="2571" t="s">
        <v>1712</v>
      </c>
      <c r="J57" s="2572" t="str">
        <f ca="1">IF(OR(M47="住宅",J51&lt;L48,J56="是"),"——",J51-L48)</f>
        <v>——</v>
      </c>
      <c r="K57" s="2551" t="s">
        <v>1717</v>
      </c>
      <c r="L57" s="1661" t="str">
        <f ca="1">IF(L48&lt;J51,"——",IF(L55="比较法",L49,IF(L55="基准地价",L50,L51)))</f>
        <v>——</v>
      </c>
      <c r="M57" s="3002"/>
      <c r="O57" s="2087" t="s">
        <v>1733</v>
      </c>
      <c r="P57" s="2088" t="s">
        <v>1763</v>
      </c>
      <c r="Q57" s="2089">
        <f ca="1">C40+J29</f>
        <v>3597</v>
      </c>
      <c r="R57" s="2088" t="s">
        <v>1734</v>
      </c>
    </row>
    <row r="58" spans="1:18" s="1780" customFormat="1" ht="28.5" customHeight="1" thickBot="1">
      <c r="A58" s="1451" t="s">
        <v>1353</v>
      </c>
      <c r="B58" s="749" t="s">
        <v>604</v>
      </c>
      <c r="C58" s="2759">
        <f ca="1">ROUND(IF(AND(项目基本情况!B11="自然人",项目基本情况!B10="北京市"),C48*F58/(1+'数据-取费表'!C42),C59+C60+C61),2)</f>
        <v>0.37</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#VALUE!</v>
      </c>
      <c r="K58" s="2551" t="s">
        <v>1718</v>
      </c>
      <c r="L58" s="1661" t="e">
        <f ca="1">ROUND(POWER(1+L52,L47-L48)*(POWER(1+L52,L48)-1)/(POWER(1+L52,L47)-1),4)</f>
        <v>#DIV/0!</v>
      </c>
      <c r="M58" s="3002"/>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1" t="s">
        <v>1714</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2"/>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3" t="s">
        <v>1715</v>
      </c>
      <c r="J60" s="2574" t="str">
        <f ca="1">IF(OR(M47="住宅",J51&lt;L48,J56="是"),"0",ROUND(J59/(1+J52)^J53,0))</f>
        <v>0</v>
      </c>
      <c r="K60" s="2575" t="s">
        <v>1720</v>
      </c>
      <c r="L60" s="2574">
        <f ca="1">IF(OR(M47="住宅",L48&lt;J51),0,ROUND(L57*(L58/L59-1),0))</f>
        <v>0</v>
      </c>
      <c r="M60" s="3002"/>
      <c r="O60" s="2090" t="s">
        <v>1738</v>
      </c>
      <c r="P60" s="2088" t="s">
        <v>1747</v>
      </c>
      <c r="Q60" s="2091">
        <f>L52</f>
        <v>0</v>
      </c>
      <c r="R60" s="2092"/>
    </row>
    <row r="61" spans="1:18" s="1780" customFormat="1" ht="18" customHeight="1" thickBot="1">
      <c r="A61" s="1453" t="s">
        <v>1362</v>
      </c>
      <c r="B61" s="331" t="s">
        <v>615</v>
      </c>
      <c r="C61" s="52">
        <f ca="1">ROUND(F61*F62/10000,2)</f>
        <v>0.37</v>
      </c>
      <c r="D61" s="778" t="s">
        <v>616</v>
      </c>
      <c r="E61" s="749" t="s">
        <v>617</v>
      </c>
      <c r="F61" s="607">
        <f t="shared" si="0"/>
        <v>1.5</v>
      </c>
      <c r="K61" s="1806"/>
      <c r="O61" s="2090" t="s">
        <v>1740</v>
      </c>
      <c r="P61" s="2088" t="s">
        <v>1748</v>
      </c>
      <c r="Q61" s="2089" t="e">
        <f ca="1">L58</f>
        <v>#DIV/0!</v>
      </c>
      <c r="R61" s="2092" t="s">
        <v>1749</v>
      </c>
    </row>
    <row r="62" spans="1:18" s="1780" customFormat="1" ht="15.75" thickBot="1">
      <c r="A62" s="779"/>
      <c r="B62" s="758"/>
      <c r="C62" s="67"/>
      <c r="D62" s="780"/>
      <c r="E62" s="749" t="s">
        <v>621</v>
      </c>
      <c r="F62" s="750">
        <f t="shared" ca="1" si="0"/>
        <v>2433.5300000000002</v>
      </c>
      <c r="I62" s="2576" t="s">
        <v>1721</v>
      </c>
      <c r="J62" s="2577" t="s">
        <v>1722</v>
      </c>
      <c r="K62" s="2577" t="s">
        <v>1723</v>
      </c>
      <c r="L62" s="2577" t="s">
        <v>1704</v>
      </c>
      <c r="M62" s="2578" t="s">
        <v>2195</v>
      </c>
      <c r="O62" s="2090" t="s">
        <v>1742</v>
      </c>
      <c r="P62" s="2088" t="str">
        <f>K59</f>
        <v>建设期及建筑物耐用年限下的土地年期修正系数Kn</v>
      </c>
      <c r="Q62" s="2089" t="e">
        <f ca="1">L59</f>
        <v>#DIV/0!</v>
      </c>
      <c r="R62" s="2092" t="s">
        <v>1751</v>
      </c>
    </row>
    <row r="63" spans="1:18" s="1780" customFormat="1" ht="15.75" thickBot="1">
      <c r="A63" s="1451" t="s">
        <v>1414</v>
      </c>
      <c r="B63" s="749" t="s">
        <v>623</v>
      </c>
      <c r="C63" s="51">
        <f ca="1">ROUND(C56*F63,2)</f>
        <v>33.020000000000003</v>
      </c>
      <c r="D63" s="2242" t="s">
        <v>1332</v>
      </c>
      <c r="E63" s="749" t="s">
        <v>1276</v>
      </c>
      <c r="F63" s="781">
        <f t="shared" ca="1" si="0"/>
        <v>0.01</v>
      </c>
      <c r="I63" s="2576" t="s">
        <v>1724</v>
      </c>
      <c r="J63" s="2577">
        <v>70</v>
      </c>
      <c r="K63" s="2577">
        <v>50</v>
      </c>
      <c r="L63" s="2577">
        <v>80</v>
      </c>
      <c r="M63" s="2579">
        <v>0.02</v>
      </c>
      <c r="O63" s="2087" t="s">
        <v>1745</v>
      </c>
      <c r="P63" s="2088" t="s">
        <v>1762</v>
      </c>
      <c r="Q63" s="2089">
        <f ca="1">Q57+Q58</f>
        <v>3597</v>
      </c>
      <c r="R63" s="2092" t="s">
        <v>1746</v>
      </c>
    </row>
    <row r="64" spans="1:18" s="1780" customFormat="1" ht="16.5" thickBot="1">
      <c r="A64" s="1451" t="s">
        <v>1415</v>
      </c>
      <c r="B64" s="749" t="s">
        <v>626</v>
      </c>
      <c r="C64" s="51">
        <f ca="1">ROUND(C55*F64,2)</f>
        <v>4.95</v>
      </c>
      <c r="D64" s="2242" t="s">
        <v>627</v>
      </c>
      <c r="E64" s="749" t="s">
        <v>1276</v>
      </c>
      <c r="F64" s="782">
        <f t="shared" ca="1" si="0"/>
        <v>1.5E-3</v>
      </c>
      <c r="I64" s="2576" t="s">
        <v>1725</v>
      </c>
      <c r="J64" s="2577">
        <v>50</v>
      </c>
      <c r="K64" s="2577">
        <v>35</v>
      </c>
      <c r="L64" s="2577">
        <v>60</v>
      </c>
      <c r="M64" s="810">
        <v>0</v>
      </c>
      <c r="O64" s="2093" t="s">
        <v>1769</v>
      </c>
      <c r="P64" s="1402"/>
      <c r="Q64" s="1410"/>
      <c r="R64" s="1402"/>
    </row>
    <row r="65" spans="1:18" s="1780" customFormat="1" ht="15.75" thickBot="1">
      <c r="A65" s="1451" t="s">
        <v>1416</v>
      </c>
      <c r="B65" s="749" t="s">
        <v>613</v>
      </c>
      <c r="C65" s="51">
        <f ca="1">ROUND(C47*F65,2)</f>
        <v>0</v>
      </c>
      <c r="D65" s="2242" t="s">
        <v>630</v>
      </c>
      <c r="E65" s="749" t="s">
        <v>1276</v>
      </c>
      <c r="F65" s="759">
        <f t="shared" ca="1" si="0"/>
        <v>0.01</v>
      </c>
      <c r="I65" s="2576" t="s">
        <v>1726</v>
      </c>
      <c r="J65" s="2577">
        <v>40</v>
      </c>
      <c r="K65" s="2577">
        <v>30</v>
      </c>
      <c r="L65" s="2577">
        <v>50</v>
      </c>
      <c r="M65" s="2579">
        <v>0.02</v>
      </c>
      <c r="O65" s="2084" t="s">
        <v>1729</v>
      </c>
      <c r="P65" s="2085" t="s">
        <v>1730</v>
      </c>
      <c r="Q65" s="2086" t="s">
        <v>1731</v>
      </c>
      <c r="R65" s="2085" t="s">
        <v>1732</v>
      </c>
    </row>
    <row r="66" spans="1:18" s="1780" customFormat="1" ht="24.75" thickBot="1">
      <c r="A66" s="762" t="s">
        <v>1305</v>
      </c>
      <c r="B66" s="2482" t="s">
        <v>2099</v>
      </c>
      <c r="C66" s="764">
        <f ca="1">C47-C57</f>
        <v>-38</v>
      </c>
      <c r="D66" s="2241" t="s">
        <v>647</v>
      </c>
      <c r="E66" s="2240"/>
      <c r="F66" s="784"/>
      <c r="K66" s="1806"/>
      <c r="O66" s="2087" t="s">
        <v>1733</v>
      </c>
      <c r="P66" s="2088" t="s">
        <v>1763</v>
      </c>
      <c r="Q66" s="2089">
        <f ca="1">C40+J29</f>
        <v>3597</v>
      </c>
      <c r="R66" s="2088" t="s">
        <v>1734</v>
      </c>
    </row>
    <row r="67" spans="1:18" s="1780" customFormat="1" ht="20.25" thickBot="1">
      <c r="A67" s="746" t="s">
        <v>1309</v>
      </c>
      <c r="B67" s="1948" t="s">
        <v>1658</v>
      </c>
      <c r="C67" s="748">
        <f ca="1">ROUND(C66*(1-((1+F69)/(1+F67))^F68)/(F67-F69),0)</f>
        <v>-673</v>
      </c>
      <c r="D67" s="778" t="s">
        <v>651</v>
      </c>
      <c r="E67" s="749" t="s">
        <v>652</v>
      </c>
      <c r="F67" s="759">
        <f ca="1">F40</f>
        <v>0.05</v>
      </c>
      <c r="K67" s="1806"/>
      <c r="O67" s="2087" t="s">
        <v>1735</v>
      </c>
      <c r="P67" s="2088" t="s">
        <v>1766</v>
      </c>
      <c r="Q67" s="2089">
        <f ca="1">L60</f>
        <v>0</v>
      </c>
      <c r="R67" s="2092" t="s">
        <v>1768</v>
      </c>
    </row>
    <row r="68" spans="1:18" ht="21.75" thickBot="1">
      <c r="A68" s="751"/>
      <c r="B68" s="752"/>
      <c r="C68" s="753"/>
      <c r="D68" s="785" t="s">
        <v>1337</v>
      </c>
      <c r="E68" s="749" t="s">
        <v>1313</v>
      </c>
      <c r="F68" s="786">
        <f ca="1">F41</f>
        <v>44.44</v>
      </c>
      <c r="O68" s="2090" t="s">
        <v>1737</v>
      </c>
      <c r="P68" s="2088" t="s">
        <v>1767</v>
      </c>
      <c r="Q68" s="2094">
        <f ca="1">L51</f>
        <v>-1706</v>
      </c>
      <c r="R68" s="2095" t="s">
        <v>1770</v>
      </c>
    </row>
    <row r="69" spans="1:18" ht="20.25" thickBot="1">
      <c r="A69" s="755"/>
      <c r="B69" s="756"/>
      <c r="C69" s="757"/>
      <c r="D69" s="780"/>
      <c r="E69" s="749" t="s">
        <v>657</v>
      </c>
      <c r="F69" s="2062"/>
      <c r="O69" s="2090" t="s">
        <v>1738</v>
      </c>
      <c r="P69" s="2096" t="s">
        <v>1752</v>
      </c>
      <c r="Q69" s="2089">
        <f ca="1">ROUND(Q70-Q71*Q72,0)</f>
        <v>-82</v>
      </c>
      <c r="R69" s="2092"/>
    </row>
    <row r="70" spans="1:18" ht="15.75" thickBot="1">
      <c r="A70" s="787" t="s">
        <v>1316</v>
      </c>
      <c r="B70" s="788" t="s">
        <v>1339</v>
      </c>
      <c r="C70" s="789">
        <f ca="1">ROUND(C67*10000/F70,0)</f>
        <v>-971</v>
      </c>
      <c r="D70" s="790" t="s">
        <v>1340</v>
      </c>
      <c r="E70" s="791" t="s">
        <v>1341</v>
      </c>
      <c r="F70" s="792">
        <f ca="1">F43</f>
        <v>6934.37</v>
      </c>
      <c r="O70" s="2090" t="s">
        <v>1753</v>
      </c>
      <c r="P70" s="2096" t="s">
        <v>1754</v>
      </c>
      <c r="Q70" s="2089">
        <f ca="1">C39</f>
        <v>149</v>
      </c>
      <c r="R70" s="2088" t="s">
        <v>1734</v>
      </c>
    </row>
    <row r="71" spans="1:18" ht="15.75" thickBot="1">
      <c r="O71" s="2090" t="s">
        <v>1755</v>
      </c>
      <c r="P71" s="2096" t="s">
        <v>1756</v>
      </c>
      <c r="Q71" s="2089">
        <f ca="1">C13</f>
        <v>3302</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建设期及建筑物耐用年限下的土地年期修正系数Kn</v>
      </c>
      <c r="Q75" s="2089" t="e">
        <f ca="1">L59</f>
        <v>#DIV/0!</v>
      </c>
      <c r="R75" s="2092" t="s">
        <v>1751</v>
      </c>
    </row>
    <row r="76" spans="1:18" ht="15.75" thickBot="1">
      <c r="O76" s="2087" t="s">
        <v>1745</v>
      </c>
      <c r="P76" s="2088" t="s">
        <v>1762</v>
      </c>
      <c r="Q76" s="2089">
        <f ca="1">Q66+Q67</f>
        <v>3597</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2433</v>
      </c>
      <c r="B1" s="3056"/>
      <c r="C1" s="3069"/>
      <c r="D1" s="3069"/>
      <c r="E1" s="3057"/>
      <c r="F1" s="3058"/>
      <c r="G1" s="3059"/>
      <c r="J1" s="3062" t="s">
        <v>2290</v>
      </c>
      <c r="K1" s="3063"/>
      <c r="L1" s="3063"/>
      <c r="M1" s="3063"/>
      <c r="N1" s="3063"/>
      <c r="O1" s="3063"/>
      <c r="P1" s="3063"/>
      <c r="Q1" s="3063"/>
      <c r="R1" s="3064"/>
      <c r="S1" s="3065"/>
      <c r="T1" s="3065"/>
      <c r="U1" s="3065"/>
    </row>
    <row r="2" spans="1:22" s="3078" customFormat="1" ht="13.15" customHeight="1">
      <c r="A2" s="3067" t="s">
        <v>2291</v>
      </c>
      <c r="B2" s="3068" t="e">
        <f>C40</f>
        <v>#DIV/0!</v>
      </c>
      <c r="C2" s="3069" t="s">
        <v>2292</v>
      </c>
      <c r="D2" s="3069"/>
      <c r="E2" s="3070"/>
      <c r="F2" s="3071"/>
      <c r="G2" s="3072"/>
      <c r="H2" s="3073"/>
      <c r="I2" s="3074"/>
      <c r="J2" s="4008" t="s">
        <v>2293</v>
      </c>
      <c r="K2" s="4009"/>
      <c r="L2" s="3075" t="s">
        <v>2294</v>
      </c>
      <c r="M2" s="3075" t="s">
        <v>2295</v>
      </c>
      <c r="N2" s="3075" t="s">
        <v>2296</v>
      </c>
      <c r="O2" s="3075" t="s">
        <v>2297</v>
      </c>
      <c r="P2" s="3075" t="s">
        <v>2298</v>
      </c>
      <c r="Q2" s="3076" t="s">
        <v>2299</v>
      </c>
      <c r="R2" s="3077" t="s">
        <v>2300</v>
      </c>
      <c r="S2" s="3065"/>
      <c r="T2" s="3065"/>
      <c r="U2" s="3065"/>
      <c r="V2" s="3074"/>
    </row>
    <row r="3" spans="1:22" s="3078" customFormat="1" ht="13.15" customHeight="1">
      <c r="A3" s="3079" t="s">
        <v>2301</v>
      </c>
      <c r="B3" s="3080" t="e">
        <f>ROUND(B2*10000/B4,0)</f>
        <v>#DIV/0!</v>
      </c>
      <c r="C3" s="3069" t="s">
        <v>2302</v>
      </c>
      <c r="D3" s="3069"/>
      <c r="E3" s="3070"/>
      <c r="F3" s="3071"/>
      <c r="G3" s="3072"/>
      <c r="H3" s="3073"/>
      <c r="I3" s="3074"/>
      <c r="J3" s="4010" t="s">
        <v>2303</v>
      </c>
      <c r="K3" s="4011"/>
      <c r="L3" s="3081"/>
      <c r="M3" s="3081"/>
      <c r="N3" s="3081"/>
      <c r="O3" s="3081"/>
      <c r="P3" s="3081"/>
      <c r="Q3" s="3082"/>
      <c r="R3" s="3083">
        <f>SUM(L3:Q3)</f>
        <v>0</v>
      </c>
      <c r="S3" s="3065"/>
      <c r="T3" s="3065"/>
      <c r="U3" s="3065"/>
      <c r="V3" s="3074"/>
    </row>
    <row r="4" spans="1:22" s="3078" customFormat="1" ht="13.15" customHeight="1">
      <c r="A4" s="3084" t="s">
        <v>2304</v>
      </c>
      <c r="B4" s="3085"/>
      <c r="C4" s="3069"/>
      <c r="D4" s="3069"/>
      <c r="E4" s="3070"/>
      <c r="F4" s="3071"/>
      <c r="G4" s="3072"/>
      <c r="H4" s="3073"/>
      <c r="I4" s="3074"/>
      <c r="J4" s="4010" t="s">
        <v>2305</v>
      </c>
      <c r="K4" s="4011"/>
      <c r="L4" s="3086"/>
      <c r="M4" s="3086"/>
      <c r="N4" s="3086"/>
      <c r="O4" s="3086"/>
      <c r="P4" s="3086"/>
      <c r="Q4" s="3087"/>
      <c r="R4" s="3088">
        <f>SUM(L4:Q4)</f>
        <v>0</v>
      </c>
      <c r="S4" s="3065"/>
      <c r="T4" s="3065"/>
      <c r="U4" s="3065"/>
      <c r="V4" s="3074"/>
    </row>
    <row r="5" spans="1:22" s="3078" customFormat="1" ht="13.15" customHeight="1" thickBot="1">
      <c r="A5" s="3089" t="s">
        <v>2306</v>
      </c>
      <c r="B5" s="3090"/>
      <c r="C5" s="3069"/>
      <c r="D5" s="3091"/>
      <c r="E5" s="3071"/>
      <c r="F5" s="3071"/>
      <c r="G5" s="3072"/>
      <c r="H5" s="3073"/>
      <c r="I5" s="3074"/>
      <c r="J5" s="3092" t="s">
        <v>2307</v>
      </c>
      <c r="K5" s="3093"/>
      <c r="L5" s="3093"/>
      <c r="M5" s="3094"/>
      <c r="N5" s="3094"/>
      <c r="O5" s="3094"/>
      <c r="P5" s="3094"/>
      <c r="Q5" s="3094"/>
      <c r="R5" s="3077">
        <f>SUM(R14,R19,R24,R25,R27,R28)</f>
        <v>0</v>
      </c>
      <c r="S5" s="3065"/>
      <c r="T5" s="3065" t="s">
        <v>2308</v>
      </c>
      <c r="U5" s="3065" t="e">
        <f>ROUND(R5*10000/365/R3,1)</f>
        <v>#DIV/0!</v>
      </c>
      <c r="V5" s="3074"/>
    </row>
    <row r="6" spans="1:22" s="3078" customFormat="1" ht="13.15" customHeight="1" thickBot="1">
      <c r="A6" s="4012" t="s">
        <v>2309</v>
      </c>
      <c r="B6" s="4013"/>
      <c r="C6" s="4014"/>
      <c r="D6" s="3095"/>
      <c r="E6" s="3096"/>
      <c r="F6" s="3097"/>
      <c r="G6" s="3098"/>
      <c r="H6" s="3073"/>
      <c r="I6" s="3074"/>
      <c r="J6" s="4015">
        <v>1</v>
      </c>
      <c r="K6" s="4016" t="s">
        <v>2310</v>
      </c>
      <c r="L6" s="3099" t="s">
        <v>2311</v>
      </c>
      <c r="M6" s="3100" t="s">
        <v>2312</v>
      </c>
      <c r="N6" s="3100" t="s">
        <v>2313</v>
      </c>
      <c r="O6" s="3100" t="s">
        <v>2314</v>
      </c>
      <c r="P6" s="3100" t="s">
        <v>2315</v>
      </c>
      <c r="Q6" s="3100" t="s">
        <v>2316</v>
      </c>
      <c r="R6" s="3083" t="s">
        <v>2317</v>
      </c>
      <c r="S6" s="3065"/>
      <c r="T6" s="3065" t="s">
        <v>2318</v>
      </c>
      <c r="U6" s="3065"/>
      <c r="V6" s="3074"/>
    </row>
    <row r="7" spans="1:22" s="3078" customFormat="1" ht="13.15" customHeight="1">
      <c r="A7" s="3101" t="s">
        <v>2319</v>
      </c>
      <c r="B7" s="3102"/>
      <c r="C7" s="3103"/>
      <c r="D7" s="3104">
        <f>SUM(D9,D10,D11,D17,0)</f>
        <v>0</v>
      </c>
      <c r="E7" s="3105" t="e">
        <f>E9+E10+E11+E17</f>
        <v>#DIV/0!</v>
      </c>
      <c r="F7" s="3106"/>
      <c r="G7" s="3107"/>
      <c r="H7" s="3073"/>
      <c r="I7" s="3074"/>
      <c r="J7" s="4015"/>
      <c r="K7" s="4017"/>
      <c r="L7" s="3108" t="s">
        <v>2320</v>
      </c>
      <c r="M7" s="3109"/>
      <c r="N7" s="3085"/>
      <c r="O7" s="3110"/>
      <c r="P7" s="3110"/>
      <c r="Q7" s="3111">
        <v>365</v>
      </c>
      <c r="R7" s="3112">
        <f>ROUND(M7*N7*O7*P7*Q7/10000,0)</f>
        <v>0</v>
      </c>
      <c r="S7" s="3065"/>
      <c r="T7" s="3065" t="s">
        <v>2321</v>
      </c>
      <c r="U7" s="3065"/>
      <c r="V7" s="3074"/>
    </row>
    <row r="8" spans="1:22" s="3078" customFormat="1" ht="13.15" customHeight="1">
      <c r="A8" s="3113" t="s">
        <v>2322</v>
      </c>
      <c r="B8" s="4019" t="s">
        <v>2323</v>
      </c>
      <c r="C8" s="4020"/>
      <c r="D8" s="3114" t="s">
        <v>2324</v>
      </c>
      <c r="E8" s="3115" t="s">
        <v>2325</v>
      </c>
      <c r="F8" s="3116" t="s">
        <v>2326</v>
      </c>
      <c r="G8" s="3117"/>
      <c r="H8" s="3073"/>
      <c r="I8" s="3074"/>
      <c r="J8" s="4015"/>
      <c r="K8" s="4017"/>
      <c r="L8" s="3108" t="s">
        <v>2327</v>
      </c>
      <c r="M8" s="3109"/>
      <c r="N8" s="3085"/>
      <c r="O8" s="3110"/>
      <c r="P8" s="3110"/>
      <c r="Q8" s="3111">
        <v>365</v>
      </c>
      <c r="R8" s="3112">
        <f t="shared" ref="R8:R13" si="0">ROUND(M8*N8*O8*P8*Q8/10000,0)</f>
        <v>0</v>
      </c>
      <c r="S8" s="3065"/>
      <c r="T8" s="3065" t="s">
        <v>2328</v>
      </c>
      <c r="U8" s="3065"/>
      <c r="V8" s="3074"/>
    </row>
    <row r="9" spans="1:22" s="3078" customFormat="1" ht="13.15" customHeight="1">
      <c r="A9" s="3113">
        <v>1</v>
      </c>
      <c r="B9" s="4019" t="s">
        <v>2329</v>
      </c>
      <c r="C9" s="4020"/>
      <c r="D9" s="3114">
        <f>ROUND(D6*E9,0)</f>
        <v>0</v>
      </c>
      <c r="E9" s="3118"/>
      <c r="F9" s="3119" t="s">
        <v>2330</v>
      </c>
      <c r="G9" s="3098"/>
      <c r="H9" s="3073"/>
      <c r="I9" s="3074"/>
      <c r="J9" s="4015"/>
      <c r="K9" s="4017"/>
      <c r="L9" s="3108" t="s">
        <v>2331</v>
      </c>
      <c r="M9" s="3109"/>
      <c r="N9" s="3085"/>
      <c r="O9" s="3110"/>
      <c r="P9" s="3110"/>
      <c r="Q9" s="3111">
        <v>365</v>
      </c>
      <c r="R9" s="3112">
        <f t="shared" si="0"/>
        <v>0</v>
      </c>
      <c r="S9" s="3065"/>
      <c r="T9" s="3065"/>
      <c r="U9" s="3065"/>
      <c r="V9" s="3074"/>
    </row>
    <row r="10" spans="1:22" s="3078" customFormat="1" ht="13.15" customHeight="1">
      <c r="A10" s="3113">
        <v>2</v>
      </c>
      <c r="B10" s="4019" t="s">
        <v>2332</v>
      </c>
      <c r="C10" s="4020"/>
      <c r="D10" s="3114">
        <f>ROUND(D6*E10,0)</f>
        <v>0</v>
      </c>
      <c r="E10" s="3118"/>
      <c r="F10" s="3119" t="s">
        <v>2333</v>
      </c>
      <c r="G10" s="3098"/>
      <c r="H10" s="3073"/>
      <c r="I10" s="3074"/>
      <c r="J10" s="4015"/>
      <c r="K10" s="4017"/>
      <c r="L10" s="3108" t="s">
        <v>2334</v>
      </c>
      <c r="M10" s="3109"/>
      <c r="N10" s="3085"/>
      <c r="O10" s="3110"/>
      <c r="P10" s="3110"/>
      <c r="Q10" s="3111">
        <v>365</v>
      </c>
      <c r="R10" s="3112">
        <f t="shared" si="0"/>
        <v>0</v>
      </c>
      <c r="S10" s="3065"/>
      <c r="T10" s="3065"/>
      <c r="U10" s="3065"/>
      <c r="V10" s="3074"/>
    </row>
    <row r="11" spans="1:22" s="3078" customFormat="1" ht="13.15" customHeight="1">
      <c r="A11" s="3113">
        <v>3</v>
      </c>
      <c r="B11" s="4019" t="s">
        <v>2335</v>
      </c>
      <c r="C11" s="4020"/>
      <c r="D11" s="3114">
        <f>D12+D14+D15+D16</f>
        <v>0</v>
      </c>
      <c r="E11" s="3120" t="e">
        <f>D11/D6</f>
        <v>#DIV/0!</v>
      </c>
      <c r="F11" s="3116"/>
      <c r="G11" s="3117"/>
      <c r="H11" s="3073"/>
      <c r="I11" s="3074"/>
      <c r="J11" s="4015"/>
      <c r="K11" s="4017"/>
      <c r="L11" s="3108" t="s">
        <v>2336</v>
      </c>
      <c r="M11" s="3109"/>
      <c r="N11" s="3085"/>
      <c r="O11" s="3110"/>
      <c r="P11" s="3110"/>
      <c r="Q11" s="3111">
        <v>365</v>
      </c>
      <c r="R11" s="3112">
        <f t="shared" si="0"/>
        <v>0</v>
      </c>
      <c r="S11" s="3065"/>
      <c r="T11" s="3065"/>
      <c r="U11" s="3065"/>
      <c r="V11" s="3074"/>
    </row>
    <row r="12" spans="1:22" s="3078" customFormat="1" ht="13.15" customHeight="1">
      <c r="A12" s="3121" t="s">
        <v>2337</v>
      </c>
      <c r="B12" s="4021" t="s">
        <v>2338</v>
      </c>
      <c r="C12" s="4022"/>
      <c r="D12" s="3122">
        <f>ROUND(D13*1.2%*(1-30%),0)</f>
        <v>0</v>
      </c>
      <c r="E12" s="3123">
        <v>1.2E-2</v>
      </c>
      <c r="F12" s="3116" t="s">
        <v>2339</v>
      </c>
      <c r="G12" s="3117"/>
      <c r="H12" s="3073"/>
      <c r="I12" s="3074"/>
      <c r="J12" s="4015"/>
      <c r="K12" s="4017"/>
      <c r="L12" s="3108" t="s">
        <v>2340</v>
      </c>
      <c r="M12" s="3109"/>
      <c r="N12" s="3085"/>
      <c r="O12" s="3110"/>
      <c r="P12" s="3110"/>
      <c r="Q12" s="3111">
        <v>365</v>
      </c>
      <c r="R12" s="3112">
        <f t="shared" si="0"/>
        <v>0</v>
      </c>
      <c r="S12" s="3065"/>
      <c r="T12" s="3065"/>
      <c r="U12" s="3065"/>
      <c r="V12" s="3074"/>
    </row>
    <row r="13" spans="1:22" s="3078" customFormat="1" ht="13.15" customHeight="1">
      <c r="A13" s="3121"/>
      <c r="B13" s="3124"/>
      <c r="C13" s="3125" t="s">
        <v>2341</v>
      </c>
      <c r="D13" s="3126"/>
      <c r="E13" s="3127"/>
      <c r="F13" s="3116"/>
      <c r="G13" s="3117"/>
      <c r="H13" s="3073"/>
      <c r="I13" s="3074"/>
      <c r="J13" s="4015"/>
      <c r="K13" s="4017"/>
      <c r="L13" s="3108" t="s">
        <v>2342</v>
      </c>
      <c r="M13" s="3109"/>
      <c r="N13" s="3085"/>
      <c r="O13" s="3110"/>
      <c r="P13" s="3110"/>
      <c r="Q13" s="3111">
        <v>365</v>
      </c>
      <c r="R13" s="3112">
        <f t="shared" si="0"/>
        <v>0</v>
      </c>
      <c r="S13" s="3065"/>
      <c r="T13" s="3065"/>
      <c r="U13" s="3065"/>
      <c r="V13" s="3074"/>
    </row>
    <row r="14" spans="1:22" s="3078" customFormat="1" ht="13.15" customHeight="1">
      <c r="A14" s="3121" t="s">
        <v>2343</v>
      </c>
      <c r="B14" s="4021" t="s">
        <v>2344</v>
      </c>
      <c r="C14" s="4022"/>
      <c r="D14" s="3122">
        <f>ROUND(E14*B5/10000,0)</f>
        <v>0</v>
      </c>
      <c r="E14" s="3111"/>
      <c r="F14" s="3116" t="s">
        <v>2345</v>
      </c>
      <c r="G14" s="3117"/>
      <c r="H14" s="3073"/>
      <c r="I14" s="3074"/>
      <c r="J14" s="4015"/>
      <c r="K14" s="4018"/>
      <c r="L14" s="3128" t="s">
        <v>2346</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2347</v>
      </c>
      <c r="B15" s="4021" t="s">
        <v>2348</v>
      </c>
      <c r="C15" s="4022"/>
      <c r="D15" s="3122">
        <f>ROUND(D6*E15,0)</f>
        <v>0</v>
      </c>
      <c r="E15" s="3123">
        <v>5.5E-2</v>
      </c>
      <c r="F15" s="3116" t="s">
        <v>2349</v>
      </c>
      <c r="G15" s="3098"/>
      <c r="H15" s="3073"/>
      <c r="I15" s="3074"/>
      <c r="J15" s="4015">
        <v>2</v>
      </c>
      <c r="K15" s="4016" t="s">
        <v>2350</v>
      </c>
      <c r="L15" s="3108" t="s">
        <v>2351</v>
      </c>
      <c r="M15" s="3109" t="s">
        <v>2352</v>
      </c>
      <c r="N15" s="3109" t="s">
        <v>2353</v>
      </c>
      <c r="O15" s="3110" t="s">
        <v>2354</v>
      </c>
      <c r="P15" s="3110" t="s">
        <v>2355</v>
      </c>
      <c r="Q15" s="3085" t="s">
        <v>2356</v>
      </c>
      <c r="R15" s="3132" t="s">
        <v>2357</v>
      </c>
      <c r="S15" s="3065"/>
      <c r="T15" s="3065"/>
      <c r="U15" s="3065"/>
      <c r="V15" s="3074"/>
    </row>
    <row r="16" spans="1:22" s="3078" customFormat="1" ht="13.15" customHeight="1">
      <c r="A16" s="3121" t="s">
        <v>2358</v>
      </c>
      <c r="B16" s="4021" t="s">
        <v>2359</v>
      </c>
      <c r="C16" s="4022"/>
      <c r="D16" s="3133">
        <f>D6*E16</f>
        <v>0</v>
      </c>
      <c r="E16" s="3134"/>
      <c r="F16" s="3119" t="s">
        <v>2360</v>
      </c>
      <c r="G16" s="3098"/>
      <c r="H16" s="3073"/>
      <c r="I16" s="3074"/>
      <c r="J16" s="4015"/>
      <c r="K16" s="4017"/>
      <c r="L16" s="3108" t="s">
        <v>2361</v>
      </c>
      <c r="M16" s="3109"/>
      <c r="N16" s="3109"/>
      <c r="O16" s="3110"/>
      <c r="P16" s="3111">
        <v>365</v>
      </c>
      <c r="Q16" s="3085"/>
      <c r="R16" s="3132">
        <f>ROUND(M16*N16*O16*P16/10000,0)</f>
        <v>0</v>
      </c>
      <c r="S16" s="3065"/>
      <c r="T16" s="3065"/>
      <c r="U16" s="3065"/>
      <c r="V16" s="3074"/>
    </row>
    <row r="17" spans="1:22" s="3078" customFormat="1" ht="13.15" customHeight="1" thickBot="1">
      <c r="A17" s="3135">
        <v>4</v>
      </c>
      <c r="B17" s="4023" t="s">
        <v>2362</v>
      </c>
      <c r="C17" s="4024"/>
      <c r="D17" s="3136">
        <f>ROUND(D6*E17,0)</f>
        <v>0</v>
      </c>
      <c r="E17" s="3137"/>
      <c r="F17" s="3138" t="s">
        <v>2363</v>
      </c>
      <c r="G17" s="3098"/>
      <c r="H17" s="3073"/>
      <c r="I17" s="3074"/>
      <c r="J17" s="4015"/>
      <c r="K17" s="4017"/>
      <c r="L17" s="3108" t="s">
        <v>2364</v>
      </c>
      <c r="M17" s="3109"/>
      <c r="N17" s="3109"/>
      <c r="O17" s="3110"/>
      <c r="P17" s="3111">
        <v>365</v>
      </c>
      <c r="Q17" s="3085"/>
      <c r="R17" s="3132">
        <f>ROUND(M17*N17*O17*P17/10000,0)</f>
        <v>0</v>
      </c>
      <c r="S17" s="3065"/>
      <c r="T17" s="3065"/>
      <c r="U17" s="3065"/>
      <c r="V17" s="3074"/>
    </row>
    <row r="18" spans="1:22" s="3078" customFormat="1" ht="13.15" customHeight="1" thickBot="1">
      <c r="A18" s="3101" t="s">
        <v>2365</v>
      </c>
      <c r="B18" s="3102"/>
      <c r="C18" s="3102"/>
      <c r="D18" s="3139">
        <f>ROUND(D6*E18,0)</f>
        <v>0</v>
      </c>
      <c r="E18" s="3140"/>
      <c r="F18" s="3141" t="s">
        <v>2366</v>
      </c>
      <c r="G18" s="3098"/>
      <c r="H18" s="3073"/>
      <c r="I18" s="3074"/>
      <c r="J18" s="4015"/>
      <c r="K18" s="4017"/>
      <c r="L18" s="3108" t="s">
        <v>2367</v>
      </c>
      <c r="M18" s="3109"/>
      <c r="N18" s="3109"/>
      <c r="O18" s="3110"/>
      <c r="P18" s="3111">
        <v>365</v>
      </c>
      <c r="Q18" s="3085"/>
      <c r="R18" s="3132">
        <f>ROUND(M18*N18*O18*P18/10000,0)</f>
        <v>0</v>
      </c>
      <c r="S18" s="3065"/>
      <c r="T18" s="3065"/>
      <c r="U18" s="3065"/>
      <c r="V18" s="3074"/>
    </row>
    <row r="19" spans="1:22" s="3078" customFormat="1" ht="13.15" customHeight="1" thickBot="1">
      <c r="A19" s="3142" t="s">
        <v>2368</v>
      </c>
      <c r="B19" s="3096"/>
      <c r="C19" s="3096"/>
      <c r="D19" s="3096"/>
      <c r="E19" s="3096"/>
      <c r="F19" s="3097"/>
      <c r="G19" s="3117"/>
      <c r="H19" s="3073"/>
      <c r="I19" s="3074"/>
      <c r="J19" s="4015"/>
      <c r="K19" s="4018"/>
      <c r="L19" s="3128" t="s">
        <v>2346</v>
      </c>
      <c r="M19" s="3129"/>
      <c r="N19" s="3129">
        <f>SUM(N16:N18)</f>
        <v>0</v>
      </c>
      <c r="O19" s="3130"/>
      <c r="P19" s="3143" t="s">
        <v>2434</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4015">
        <v>3</v>
      </c>
      <c r="K20" s="4016" t="s">
        <v>2369</v>
      </c>
      <c r="L20" s="3108" t="s">
        <v>2370</v>
      </c>
      <c r="M20" s="3109" t="s">
        <v>2371</v>
      </c>
      <c r="N20" s="3146" t="s">
        <v>2372</v>
      </c>
      <c r="O20" s="3110" t="s">
        <v>2373</v>
      </c>
      <c r="P20" s="3111" t="s">
        <v>2374</v>
      </c>
      <c r="Q20" s="3085" t="s">
        <v>2375</v>
      </c>
      <c r="R20" s="3132" t="s">
        <v>2317</v>
      </c>
      <c r="S20" s="3147"/>
      <c r="T20" s="3147"/>
      <c r="U20" s="3147"/>
      <c r="V20" s="3074"/>
    </row>
    <row r="21" spans="1:22" s="3078" customFormat="1" ht="13.15" customHeight="1">
      <c r="A21" s="3101"/>
      <c r="B21" s="3102"/>
      <c r="C21" s="3148" t="s">
        <v>2376</v>
      </c>
      <c r="D21" s="3149" t="s">
        <v>2377</v>
      </c>
      <c r="E21" s="3150" t="s">
        <v>2378</v>
      </c>
      <c r="F21" s="3145"/>
      <c r="G21" s="3117"/>
      <c r="H21" s="3073"/>
      <c r="I21" s="3074"/>
      <c r="J21" s="4015"/>
      <c r="K21" s="4017"/>
      <c r="L21" s="3108" t="s">
        <v>2379</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2380</v>
      </c>
      <c r="D22" s="3153" t="s">
        <v>2381</v>
      </c>
      <c r="E22" s="3154" t="s">
        <v>2382</v>
      </c>
      <c r="F22" s="3145"/>
      <c r="G22" s="3155"/>
      <c r="H22" s="3073"/>
      <c r="I22" s="3074"/>
      <c r="J22" s="4015"/>
      <c r="K22" s="4017"/>
      <c r="L22" s="3108" t="s">
        <v>2383</v>
      </c>
      <c r="M22" s="3109"/>
      <c r="N22" s="3109"/>
      <c r="O22" s="3110"/>
      <c r="P22" s="3111">
        <v>365</v>
      </c>
      <c r="Q22" s="3085"/>
      <c r="R22" s="3151">
        <f>ROUND(M22*N22*O22*P22/10000,0)</f>
        <v>0</v>
      </c>
      <c r="S22" s="3147"/>
      <c r="T22" s="3147"/>
      <c r="U22" s="3147"/>
      <c r="V22" s="3074"/>
    </row>
    <row r="23" spans="1:22" s="3078" customFormat="1" ht="13.15" customHeight="1">
      <c r="A23" s="3156">
        <v>1</v>
      </c>
      <c r="B23" s="3157" t="s">
        <v>2384</v>
      </c>
      <c r="C23" s="3158">
        <f>D6</f>
        <v>0</v>
      </c>
      <c r="D23" s="3159">
        <f>C23*(1+D24)</f>
        <v>0</v>
      </c>
      <c r="E23" s="3160">
        <f>D23*(1+E24)</f>
        <v>0</v>
      </c>
      <c r="F23" s="3161"/>
      <c r="G23" s="3162"/>
      <c r="H23" s="3073"/>
      <c r="I23" s="3074"/>
      <c r="J23" s="4015"/>
      <c r="K23" s="4017"/>
      <c r="L23" s="3108" t="s">
        <v>2385</v>
      </c>
      <c r="M23" s="3109"/>
      <c r="N23" s="3109"/>
      <c r="O23" s="3110"/>
      <c r="P23" s="3111">
        <v>365</v>
      </c>
      <c r="Q23" s="3085"/>
      <c r="R23" s="3151">
        <f>ROUND(M23*N23*O23*P23/10000,0)</f>
        <v>0</v>
      </c>
      <c r="S23" s="3065"/>
      <c r="T23" s="3065"/>
      <c r="U23" s="3065"/>
      <c r="V23" s="3074"/>
    </row>
    <row r="24" spans="1:22" s="3078" customFormat="1" ht="13.15" customHeight="1">
      <c r="A24" s="3163"/>
      <c r="B24" s="3164" t="s">
        <v>2386</v>
      </c>
      <c r="C24" s="3165"/>
      <c r="D24" s="3166"/>
      <c r="E24" s="3167"/>
      <c r="F24" s="3168"/>
      <c r="G24" s="3162"/>
      <c r="H24" s="3073"/>
      <c r="I24" s="3074"/>
      <c r="J24" s="4015"/>
      <c r="K24" s="4018"/>
      <c r="L24" s="3128" t="s">
        <v>2346</v>
      </c>
      <c r="M24" s="3129">
        <f>SUM(M21:M23)</f>
        <v>0</v>
      </c>
      <c r="N24" s="3129"/>
      <c r="O24" s="3130"/>
      <c r="P24" s="3143" t="s">
        <v>2434</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2387</v>
      </c>
      <c r="L25" s="3171"/>
      <c r="M25" s="3171"/>
      <c r="N25" s="3171"/>
      <c r="O25" s="3171"/>
      <c r="P25" s="3172"/>
      <c r="Q25" s="3173"/>
      <c r="R25" s="3144">
        <f>ROUND(R14*Q25,0)</f>
        <v>0</v>
      </c>
      <c r="S25" s="3065"/>
      <c r="T25" s="3065"/>
      <c r="U25" s="3065"/>
      <c r="V25" s="3174"/>
    </row>
    <row r="26" spans="1:22" s="3175" customFormat="1" ht="13.15" customHeight="1">
      <c r="A26" s="3156">
        <v>2</v>
      </c>
      <c r="B26" s="3157" t="s">
        <v>2388</v>
      </c>
      <c r="C26" s="3158">
        <f>D7</f>
        <v>0</v>
      </c>
      <c r="D26" s="3159">
        <f>D23*D27</f>
        <v>0</v>
      </c>
      <c r="E26" s="3160">
        <f>E23*E27</f>
        <v>0</v>
      </c>
      <c r="F26" s="3161"/>
      <c r="G26" s="3162"/>
      <c r="H26" s="3073"/>
      <c r="I26" s="3074"/>
      <c r="J26" s="4025">
        <v>5</v>
      </c>
      <c r="K26" s="3176" t="s">
        <v>2389</v>
      </c>
      <c r="L26" s="3177"/>
      <c r="M26" s="3178"/>
      <c r="N26" s="3179" t="s">
        <v>2390</v>
      </c>
      <c r="O26" s="3179" t="s">
        <v>2391</v>
      </c>
      <c r="P26" s="3180" t="s">
        <v>2392</v>
      </c>
      <c r="Q26" s="3180" t="s">
        <v>2393</v>
      </c>
      <c r="R26" s="3083" t="s">
        <v>2394</v>
      </c>
      <c r="S26" s="3181"/>
      <c r="T26" s="3181"/>
      <c r="U26" s="3181"/>
      <c r="V26" s="3174"/>
    </row>
    <row r="27" spans="1:22" s="3078" customFormat="1" ht="13.15" customHeight="1">
      <c r="A27" s="3163"/>
      <c r="B27" s="3164" t="s">
        <v>2395</v>
      </c>
      <c r="C27" s="3182" t="e">
        <f>E7</f>
        <v>#DIV/0!</v>
      </c>
      <c r="D27" s="3166"/>
      <c r="E27" s="3167"/>
      <c r="F27" s="3168"/>
      <c r="G27" s="3162"/>
      <c r="H27" s="3183"/>
      <c r="I27" s="3174"/>
      <c r="J27" s="4026"/>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2396</v>
      </c>
      <c r="F28" s="3168"/>
      <c r="G28" s="3155"/>
      <c r="H28" s="3183"/>
      <c r="I28" s="3174"/>
      <c r="J28" s="3189">
        <v>6</v>
      </c>
      <c r="K28" s="3190" t="s">
        <v>2397</v>
      </c>
      <c r="L28" s="3191" t="s">
        <v>2398</v>
      </c>
      <c r="M28" s="3192"/>
      <c r="N28" s="3191" t="s">
        <v>2399</v>
      </c>
      <c r="O28" s="3193"/>
      <c r="P28" s="3191" t="s">
        <v>2400</v>
      </c>
      <c r="Q28" s="3194">
        <v>1.4999999999999999E-2</v>
      </c>
      <c r="R28" s="3195"/>
      <c r="S28" s="3147"/>
      <c r="T28" s="3147"/>
      <c r="U28" s="3147"/>
      <c r="V28" s="3174"/>
    </row>
    <row r="29" spans="1:22" s="3175" customFormat="1" ht="13.15" customHeight="1">
      <c r="A29" s="3156">
        <v>3</v>
      </c>
      <c r="B29" s="3157" t="s">
        <v>2401</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2402</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2403</v>
      </c>
      <c r="K31" s="3063"/>
      <c r="L31" s="3063"/>
      <c r="M31" s="3063"/>
      <c r="N31" s="3063"/>
      <c r="O31" s="3063"/>
      <c r="P31" s="3063"/>
      <c r="Q31" s="3063"/>
      <c r="R31" s="3064"/>
      <c r="S31" s="3147"/>
      <c r="T31" s="3065"/>
      <c r="U31" s="3065"/>
      <c r="V31" s="3174"/>
    </row>
    <row r="32" spans="1:22" s="3175" customFormat="1" ht="13.15" customHeight="1">
      <c r="A32" s="3156">
        <v>4</v>
      </c>
      <c r="B32" s="3157" t="s">
        <v>2404</v>
      </c>
      <c r="C32" s="3158">
        <f>C23-C26-C29</f>
        <v>0</v>
      </c>
      <c r="D32" s="3159">
        <f>D23-D26-D29</f>
        <v>0</v>
      </c>
      <c r="E32" s="3160">
        <f>E23-E26-E29</f>
        <v>0</v>
      </c>
      <c r="F32" s="3161"/>
      <c r="G32" s="3155"/>
      <c r="H32" s="3073"/>
      <c r="I32" s="3074"/>
      <c r="J32" s="4008" t="s">
        <v>2405</v>
      </c>
      <c r="K32" s="4009"/>
      <c r="L32" s="3075" t="s">
        <v>2406</v>
      </c>
      <c r="M32" s="3075" t="s">
        <v>2295</v>
      </c>
      <c r="N32" s="3075" t="s">
        <v>2296</v>
      </c>
      <c r="O32" s="3075" t="s">
        <v>2297</v>
      </c>
      <c r="P32" s="3075" t="s">
        <v>2298</v>
      </c>
      <c r="Q32" s="3076" t="s">
        <v>2407</v>
      </c>
      <c r="R32" s="3198" t="s">
        <v>2408</v>
      </c>
      <c r="S32" s="3147"/>
      <c r="T32" s="3065"/>
      <c r="U32" s="3065"/>
      <c r="V32" s="3174"/>
    </row>
    <row r="33" spans="1:23" s="3078" customFormat="1" ht="13.15" customHeight="1">
      <c r="A33" s="3156"/>
      <c r="B33" s="3157"/>
      <c r="C33" s="3158"/>
      <c r="D33" s="3199"/>
      <c r="E33" s="3200"/>
      <c r="F33" s="3161"/>
      <c r="G33" s="3155"/>
      <c r="H33" s="3183"/>
      <c r="I33" s="3174"/>
      <c r="J33" s="4010" t="s">
        <v>2409</v>
      </c>
      <c r="K33" s="4011"/>
      <c r="L33" s="3081"/>
      <c r="M33" s="3081"/>
      <c r="N33" s="3081"/>
      <c r="O33" s="3081"/>
      <c r="P33" s="3081"/>
      <c r="Q33" s="3082"/>
      <c r="R33" s="3201">
        <f>SUM(L33:Q33)</f>
        <v>0</v>
      </c>
      <c r="S33" s="3147"/>
      <c r="T33" s="3065"/>
      <c r="U33" s="3065"/>
      <c r="V33" s="3074"/>
    </row>
    <row r="34" spans="1:23" s="3078" customFormat="1" ht="13.15" customHeight="1">
      <c r="A34" s="3156">
        <v>5</v>
      </c>
      <c r="B34" s="3157" t="s">
        <v>2410</v>
      </c>
      <c r="C34" s="3202"/>
      <c r="D34" s="3203"/>
      <c r="E34" s="3204"/>
      <c r="F34" s="3161"/>
      <c r="G34" s="3155"/>
      <c r="H34" s="3183"/>
      <c r="I34" s="3174"/>
      <c r="J34" s="4010" t="s">
        <v>2411</v>
      </c>
      <c r="K34" s="4011"/>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2412</v>
      </c>
      <c r="C35" s="3206"/>
      <c r="D35" s="3207"/>
      <c r="E35" s="3208"/>
      <c r="F35" s="3161"/>
      <c r="G35" s="3209"/>
      <c r="H35" s="3073"/>
      <c r="I35" s="3174"/>
      <c r="J35" s="3092" t="s">
        <v>2413</v>
      </c>
      <c r="K35" s="3093"/>
      <c r="L35" s="3093"/>
      <c r="M35" s="3094"/>
      <c r="N35" s="3094"/>
      <c r="O35" s="3094"/>
      <c r="P35" s="3094"/>
      <c r="Q35" s="3094"/>
      <c r="R35" s="3210">
        <f>R40+R41+R43</f>
        <v>0</v>
      </c>
      <c r="S35" s="3147"/>
      <c r="T35" s="3065" t="s">
        <v>2414</v>
      </c>
      <c r="U35" s="3065"/>
      <c r="V35" s="3074"/>
    </row>
    <row r="36" spans="1:23" s="3078" customFormat="1" ht="13.15" customHeight="1" thickBot="1">
      <c r="A36" s="3156">
        <v>7</v>
      </c>
      <c r="B36" s="3211" t="s">
        <v>2415</v>
      </c>
      <c r="C36" s="3212"/>
      <c r="D36" s="3213"/>
      <c r="E36" s="3214"/>
      <c r="F36" s="3215">
        <f>C36+D36+E36</f>
        <v>0</v>
      </c>
      <c r="G36" s="3155"/>
      <c r="H36" s="3073"/>
      <c r="I36" s="3074"/>
      <c r="J36" s="4015">
        <v>1</v>
      </c>
      <c r="K36" s="4016" t="s">
        <v>2416</v>
      </c>
      <c r="L36" s="3099"/>
      <c r="M36" s="3100"/>
      <c r="N36" s="3100"/>
      <c r="O36" s="3100"/>
      <c r="P36" s="3100"/>
      <c r="Q36" s="3100"/>
      <c r="R36" s="3083" t="s">
        <v>2317</v>
      </c>
      <c r="S36" s="3147"/>
      <c r="T36" s="3065" t="s">
        <v>2318</v>
      </c>
      <c r="U36" s="3065"/>
      <c r="V36" s="3074"/>
    </row>
    <row r="37" spans="1:23" s="3078" customFormat="1" ht="13.15" customHeight="1">
      <c r="A37" s="3156"/>
      <c r="B37" s="3157"/>
      <c r="C37" s="3157"/>
      <c r="D37" s="3157"/>
      <c r="E37" s="3157"/>
      <c r="F37" s="3161"/>
      <c r="G37" s="3155"/>
      <c r="H37" s="3073"/>
      <c r="I37" s="3074"/>
      <c r="J37" s="4015"/>
      <c r="K37" s="4017"/>
      <c r="L37" s="3108"/>
      <c r="M37" s="3109"/>
      <c r="N37" s="3085"/>
      <c r="O37" s="3110"/>
      <c r="P37" s="3110"/>
      <c r="Q37" s="3111"/>
      <c r="R37" s="3112"/>
      <c r="S37" s="3147"/>
      <c r="T37" s="3065" t="s">
        <v>2321</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4015"/>
      <c r="K38" s="4017"/>
      <c r="L38" s="3108"/>
      <c r="M38" s="3109"/>
      <c r="N38" s="3085"/>
      <c r="O38" s="3110"/>
      <c r="P38" s="3110"/>
      <c r="Q38" s="3111"/>
      <c r="R38" s="3112"/>
      <c r="S38" s="3147"/>
      <c r="T38" s="3065" t="s">
        <v>2328</v>
      </c>
      <c r="U38" s="3065"/>
      <c r="V38" s="3074"/>
    </row>
    <row r="39" spans="1:23" s="3078" customFormat="1" ht="13.15" customHeight="1">
      <c r="A39" s="3156">
        <v>9</v>
      </c>
      <c r="B39" s="3157" t="s">
        <v>2417</v>
      </c>
      <c r="C39" s="3122" t="e">
        <f>C38</f>
        <v>#DIV/0!</v>
      </c>
      <c r="D39" s="3157">
        <f>D38/(1+D34)^C36</f>
        <v>0</v>
      </c>
      <c r="E39" s="3157">
        <f>E38/(1+E34)^(C36+D36)</f>
        <v>0</v>
      </c>
      <c r="F39" s="3161"/>
      <c r="G39" s="3216"/>
      <c r="H39" s="3073"/>
      <c r="I39" s="3074"/>
      <c r="J39" s="4015"/>
      <c r="K39" s="4017"/>
      <c r="L39" s="3108"/>
      <c r="M39" s="3109"/>
      <c r="N39" s="3085"/>
      <c r="O39" s="3110"/>
      <c r="P39" s="3110"/>
      <c r="Q39" s="3111"/>
      <c r="R39" s="3112"/>
      <c r="S39" s="3147"/>
      <c r="T39" s="3065"/>
      <c r="U39" s="3065"/>
      <c r="V39" s="3074"/>
    </row>
    <row r="40" spans="1:23" s="3078" customFormat="1" ht="13.15" customHeight="1">
      <c r="A40" s="3217">
        <v>10</v>
      </c>
      <c r="B40" s="3157" t="s">
        <v>2418</v>
      </c>
      <c r="C40" s="3218" t="e">
        <f>C39+D39+E39</f>
        <v>#DIV/0!</v>
      </c>
      <c r="D40" s="3219"/>
      <c r="E40" s="3219"/>
      <c r="F40" s="3220"/>
      <c r="G40" s="3155"/>
      <c r="H40" s="3073"/>
      <c r="I40" s="3074"/>
      <c r="J40" s="4015"/>
      <c r="K40" s="4018"/>
      <c r="L40" s="3128" t="s">
        <v>2419</v>
      </c>
      <c r="M40" s="3129"/>
      <c r="N40" s="3129"/>
      <c r="O40" s="3130"/>
      <c r="P40" s="3130"/>
      <c r="Q40" s="3131"/>
      <c r="R40" s="3077">
        <f>SUM(R37:R39)</f>
        <v>0</v>
      </c>
      <c r="S40" s="3147"/>
      <c r="T40" s="3065"/>
      <c r="U40" s="3065"/>
      <c r="V40" s="3074"/>
    </row>
    <row r="41" spans="1:23" s="3078" customFormat="1" ht="13.15" customHeight="1" thickBot="1">
      <c r="A41" s="3221">
        <v>11</v>
      </c>
      <c r="B41" s="3222" t="s">
        <v>2420</v>
      </c>
      <c r="C41" s="3222" t="e">
        <f>ROUND(C40*10000/B4,0)</f>
        <v>#DIV/0!</v>
      </c>
      <c r="D41" s="3223"/>
      <c r="E41" s="3223"/>
      <c r="F41" s="3224"/>
      <c r="G41" s="3225"/>
      <c r="H41" s="3073"/>
      <c r="I41" s="3074"/>
      <c r="J41" s="3169">
        <v>2</v>
      </c>
      <c r="K41" s="3170" t="s">
        <v>2421</v>
      </c>
      <c r="L41" s="3171"/>
      <c r="M41" s="3171"/>
      <c r="N41" s="3171"/>
      <c r="O41" s="3171"/>
      <c r="P41" s="3172"/>
      <c r="Q41" s="3173"/>
      <c r="R41" s="3144">
        <f>ROUND(R40*Q41,0)</f>
        <v>0</v>
      </c>
      <c r="S41" s="3147"/>
      <c r="T41" s="3065"/>
      <c r="U41" s="3181"/>
      <c r="V41" s="3074"/>
    </row>
    <row r="42" spans="1:23" s="3078" customFormat="1" ht="13.15" customHeight="1">
      <c r="G42" s="3225"/>
      <c r="H42" s="3073"/>
      <c r="I42" s="3074"/>
      <c r="J42" s="4025">
        <v>3</v>
      </c>
      <c r="K42" s="3176" t="s">
        <v>2422</v>
      </c>
      <c r="L42" s="3177"/>
      <c r="M42" s="3178"/>
      <c r="N42" s="3179" t="s">
        <v>2423</v>
      </c>
      <c r="O42" s="3179" t="s">
        <v>2424</v>
      </c>
      <c r="P42" s="3180" t="s">
        <v>2425</v>
      </c>
      <c r="Q42" s="3180" t="s">
        <v>2426</v>
      </c>
      <c r="R42" s="3083" t="s">
        <v>2427</v>
      </c>
      <c r="S42" s="3181"/>
      <c r="T42" s="3181"/>
      <c r="U42" s="3065"/>
      <c r="V42" s="3074"/>
    </row>
    <row r="43" spans="1:23" ht="13.15" customHeight="1">
      <c r="A43" s="3078"/>
      <c r="B43" s="3078"/>
      <c r="C43" s="3078"/>
      <c r="D43" s="3078"/>
      <c r="E43" s="3078"/>
      <c r="F43" s="3078"/>
      <c r="I43" s="3060"/>
      <c r="J43" s="4026"/>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2428</v>
      </c>
      <c r="L44" s="3229" t="s">
        <v>2429</v>
      </c>
      <c r="M44" s="3192"/>
      <c r="N44" s="3229" t="s">
        <v>2430</v>
      </c>
      <c r="O44" s="3192"/>
      <c r="P44" s="3229" t="s">
        <v>2431</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7" t="s">
        <v>551</v>
      </c>
      <c r="B1" s="709"/>
      <c r="C1" s="1901"/>
      <c r="D1" s="1901"/>
      <c r="E1" s="1901"/>
      <c r="F1" s="1901"/>
      <c r="G1" s="1828"/>
    </row>
    <row r="2" spans="1:25" s="1780" customFormat="1" ht="18" customHeight="1">
      <c r="A2" s="409" t="s">
        <v>427</v>
      </c>
      <c r="B2" s="411">
        <f ca="1">C23</f>
        <v>1007</v>
      </c>
      <c r="C2" s="3007"/>
      <c r="D2" s="3007"/>
      <c r="E2" s="3007"/>
      <c r="F2" s="3007"/>
      <c r="G2" s="3007"/>
    </row>
    <row r="3" spans="1:25" s="1780" customFormat="1" ht="18" customHeight="1">
      <c r="A3" s="1234" t="s">
        <v>1218</v>
      </c>
      <c r="B3" s="411">
        <f ca="1">ROUND(B2*10000/'数据-汇总表'!E3,0)</f>
        <v>147</v>
      </c>
      <c r="C3" s="3007"/>
      <c r="D3" s="3007"/>
      <c r="E3" s="3007"/>
      <c r="F3" s="3007"/>
      <c r="G3" s="3007"/>
    </row>
    <row r="4" spans="1:25" s="1780" customFormat="1" ht="18" customHeight="1">
      <c r="A4" s="412" t="s">
        <v>428</v>
      </c>
      <c r="B4" s="413">
        <f ca="1">ROUND(B2*10000/'数据-汇总表'!D3,0)</f>
        <v>431</v>
      </c>
      <c r="C4" s="2961"/>
      <c r="D4" s="3007"/>
      <c r="E4" s="3007"/>
      <c r="F4" s="3007"/>
      <c r="G4" s="3007"/>
    </row>
    <row r="5" spans="1:25" s="1780" customFormat="1" ht="18" customHeight="1" thickBot="1">
      <c r="A5" s="415"/>
      <c r="B5" s="416">
        <f ca="1">ROUND(B2/('数据-汇总表'!D3/666.67),0)</f>
        <v>29</v>
      </c>
      <c r="C5" s="417" t="s">
        <v>429</v>
      </c>
      <c r="D5" s="3007"/>
      <c r="E5" s="3007"/>
      <c r="F5" s="3007"/>
      <c r="G5" s="3007"/>
    </row>
    <row r="6" spans="1:25" s="1902" customFormat="1" ht="13.5" customHeight="1">
      <c r="A6" s="710"/>
      <c r="B6" s="711" t="s">
        <v>552</v>
      </c>
      <c r="C6" s="712" t="s">
        <v>553</v>
      </c>
      <c r="D6" s="712" t="s">
        <v>554</v>
      </c>
      <c r="E6" s="713" t="s">
        <v>555</v>
      </c>
      <c r="F6" s="713" t="s">
        <v>556</v>
      </c>
      <c r="G6" s="3006"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10">
        <f>ROUND(D8*E8/10000,0)</f>
        <v>0</v>
      </c>
      <c r="D8" s="3010">
        <v>0</v>
      </c>
      <c r="E8" s="3011">
        <v>0</v>
      </c>
      <c r="F8" s="716"/>
      <c r="G8" s="717"/>
    </row>
    <row r="9" spans="1:25" s="1902" customFormat="1" ht="13.5" customHeight="1">
      <c r="A9" s="2116" t="s">
        <v>1787</v>
      </c>
      <c r="B9" s="2119" t="s">
        <v>1789</v>
      </c>
      <c r="C9" s="3010">
        <f>ROUND(D9*E9/10000,0)</f>
        <v>0</v>
      </c>
      <c r="D9" s="3010">
        <v>0</v>
      </c>
      <c r="E9" s="3011">
        <v>0</v>
      </c>
      <c r="F9" s="716"/>
      <c r="G9" s="717"/>
    </row>
    <row r="10" spans="1:25" s="1902" customFormat="1" ht="36">
      <c r="A10" s="2116">
        <v>2</v>
      </c>
      <c r="B10" s="714" t="s">
        <v>561</v>
      </c>
      <c r="C10" s="715">
        <f ca="1">C11+C14+C15</f>
        <v>1102</v>
      </c>
      <c r="D10" s="725"/>
      <c r="E10" s="715"/>
      <c r="F10" s="726"/>
      <c r="G10" s="724" t="s">
        <v>562</v>
      </c>
    </row>
    <row r="11" spans="1:25" s="1902" customFormat="1" ht="13.5" customHeight="1">
      <c r="A11" s="2116" t="s">
        <v>1786</v>
      </c>
      <c r="B11" s="718" t="s">
        <v>558</v>
      </c>
      <c r="C11" s="719">
        <f ca="1">'数据-取费表'!B29</f>
        <v>1102</v>
      </c>
      <c r="D11" s="720"/>
      <c r="E11" s="719"/>
      <c r="F11" s="721"/>
      <c r="G11" s="2124" t="s">
        <v>1797</v>
      </c>
    </row>
    <row r="12" spans="1:25" s="1902" customFormat="1" ht="13.5" customHeight="1">
      <c r="A12" s="2122" t="s">
        <v>1794</v>
      </c>
      <c r="B12" s="722" t="s">
        <v>559</v>
      </c>
      <c r="C12" s="723">
        <f>ROUND(D12*E12/10000,0)</f>
        <v>763</v>
      </c>
      <c r="D12" s="3010">
        <f>'数据-汇总表'!E5</f>
        <v>50858.83</v>
      </c>
      <c r="E12" s="3010">
        <f>'数据-取费表'!B27</f>
        <v>150</v>
      </c>
      <c r="F12" s="721"/>
      <c r="G12" s="724"/>
    </row>
    <row r="13" spans="1:25" s="1902" customFormat="1" ht="13.5" customHeight="1">
      <c r="A13" s="2122" t="s">
        <v>1793</v>
      </c>
      <c r="B13" s="722" t="s">
        <v>560</v>
      </c>
      <c r="C13" s="723">
        <f>ROUND(D13*E13/10000,0)</f>
        <v>339</v>
      </c>
      <c r="D13" s="3010">
        <f>'数据-汇总表'!E6</f>
        <v>17851.580000000002</v>
      </c>
      <c r="E13" s="3010">
        <f>'数据-取费表'!B28</f>
        <v>190</v>
      </c>
      <c r="F13" s="721"/>
      <c r="G13" s="724"/>
    </row>
    <row r="14" spans="1:25" s="1902" customFormat="1" ht="13.5" customHeight="1">
      <c r="A14" s="2116" t="s">
        <v>1787</v>
      </c>
      <c r="B14" s="2121" t="s">
        <v>1790</v>
      </c>
      <c r="C14" s="3012">
        <f>ROUND(D14*E14/10000,0)</f>
        <v>0</v>
      </c>
      <c r="D14" s="3010">
        <v>0</v>
      </c>
      <c r="E14" s="3011">
        <v>0</v>
      </c>
      <c r="F14" s="2120"/>
      <c r="G14" s="2123" t="s">
        <v>1795</v>
      </c>
    </row>
    <row r="15" spans="1:25" s="1902" customFormat="1" ht="13.5" customHeight="1">
      <c r="A15" s="2116" t="s">
        <v>1792</v>
      </c>
      <c r="B15" s="2121" t="s">
        <v>1791</v>
      </c>
      <c r="C15" s="3012">
        <f>ROUND(D15*E15/10000,0)</f>
        <v>0</v>
      </c>
      <c r="D15" s="3010">
        <v>0</v>
      </c>
      <c r="E15" s="3011">
        <v>0</v>
      </c>
      <c r="F15" s="2120"/>
      <c r="G15" s="2123" t="s">
        <v>1796</v>
      </c>
    </row>
    <row r="16" spans="1:25" s="1903" customFormat="1" ht="48">
      <c r="A16" s="2116">
        <v>3</v>
      </c>
      <c r="B16" s="714" t="s">
        <v>563</v>
      </c>
      <c r="C16" s="3012">
        <f>ROUND(D16*E16/10000,0)</f>
        <v>0</v>
      </c>
      <c r="D16" s="3010">
        <v>0</v>
      </c>
      <c r="E16" s="3011">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 ca="1">ROUND((C7+C10+C16)*F18,0)</f>
        <v>0</v>
      </c>
      <c r="D18" s="727"/>
      <c r="E18" s="728"/>
      <c r="F18" s="1206"/>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1102</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4" t="s">
        <v>569</v>
      </c>
      <c r="C20" s="715">
        <f ca="1">ROUND(C19*F20,0)</f>
        <v>0</v>
      </c>
      <c r="D20" s="725"/>
      <c r="E20" s="715"/>
      <c r="F20" s="1206"/>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1102</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1007</v>
      </c>
      <c r="D22" s="725"/>
      <c r="E22" s="715"/>
      <c r="F22" s="731">
        <f>'数据-取费表'!AP16</f>
        <v>0.91400000000000003</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2" t="s">
        <v>575</v>
      </c>
      <c r="C23" s="733">
        <f ca="1">C22</f>
        <v>1007</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9" customFormat="1">
      <c r="A24" s="3008"/>
      <c r="D24" s="1722"/>
      <c r="E24" s="1722"/>
    </row>
    <row r="25" spans="1:25" s="3009" customFormat="1">
      <c r="A25" s="3008"/>
      <c r="D25" s="1722"/>
      <c r="E25" s="1722"/>
    </row>
    <row r="26" spans="1:25" s="3009" customFormat="1">
      <c r="A26" s="3008"/>
      <c r="D26" s="1722"/>
      <c r="E26" s="1722"/>
    </row>
    <row r="27" spans="1:25" s="3009" customFormat="1">
      <c r="A27" s="3008"/>
      <c r="D27" s="1722"/>
      <c r="E27" s="1722"/>
    </row>
    <row r="28" spans="1:25" s="3009" customFormat="1">
      <c r="A28" s="3008"/>
      <c r="D28" s="1722"/>
      <c r="E28" s="1722"/>
    </row>
    <row r="29" spans="1:25" s="3009" customFormat="1">
      <c r="A29" s="3008"/>
      <c r="D29" s="1722"/>
      <c r="E29" s="1722"/>
    </row>
    <row r="30" spans="1:25" s="3009" customFormat="1">
      <c r="A30" s="3008"/>
      <c r="D30" s="1722"/>
      <c r="E30" s="1722"/>
    </row>
    <row r="31" spans="1:25" s="3009" customFormat="1">
      <c r="A31" s="3008"/>
      <c r="D31" s="1722"/>
      <c r="E31" s="1722"/>
    </row>
    <row r="32" spans="1:25" s="3009" customFormat="1">
      <c r="A32" s="3008"/>
      <c r="D32" s="1722"/>
      <c r="E32" s="1722"/>
    </row>
    <row r="33" spans="1:5" s="3009" customFormat="1">
      <c r="A33" s="3008"/>
      <c r="D33" s="1722"/>
      <c r="E33" s="1722"/>
    </row>
    <row r="34" spans="1:5" s="3009" customFormat="1">
      <c r="A34" s="3008"/>
      <c r="D34" s="1722"/>
      <c r="E34" s="1722"/>
    </row>
    <row r="35" spans="1:5" s="3009" customFormat="1">
      <c r="A35" s="3008"/>
      <c r="D35" s="1722"/>
      <c r="E35" s="1722"/>
    </row>
    <row r="36" spans="1:5" s="3009" customFormat="1">
      <c r="A36" s="3008"/>
      <c r="D36" s="1722"/>
      <c r="E36" s="1722"/>
    </row>
    <row r="37" spans="1:5" s="3009" customFormat="1">
      <c r="A37" s="3008"/>
      <c r="D37" s="1722"/>
      <c r="E37" s="1722"/>
    </row>
    <row r="38" spans="1:5" s="3009" customFormat="1">
      <c r="A38" s="3008"/>
      <c r="D38" s="1722"/>
      <c r="E38" s="1722"/>
    </row>
    <row r="39" spans="1:5" s="3009" customFormat="1">
      <c r="A39" s="3008"/>
      <c r="D39" s="1722"/>
      <c r="E39" s="1722"/>
    </row>
    <row r="40" spans="1:5" s="3009" customFormat="1">
      <c r="A40" s="3008"/>
      <c r="D40" s="1722"/>
      <c r="E40" s="1722"/>
    </row>
    <row r="41" spans="1:5" s="3009" customFormat="1">
      <c r="A41" s="3008"/>
      <c r="D41" s="1722"/>
      <c r="E41" s="1722"/>
    </row>
    <row r="42" spans="1:5" s="3009" customFormat="1">
      <c r="A42" s="3008"/>
      <c r="D42" s="1722"/>
      <c r="E42" s="1722"/>
    </row>
    <row r="43" spans="1:5" s="3009" customFormat="1">
      <c r="A43" s="3008"/>
      <c r="D43" s="1722"/>
      <c r="E43" s="1722"/>
    </row>
    <row r="44" spans="1:5" s="3009" customFormat="1">
      <c r="A44" s="3008"/>
      <c r="D44" s="1722"/>
      <c r="E44" s="1722"/>
    </row>
    <row r="45" spans="1:5" s="3009" customFormat="1">
      <c r="A45" s="3008"/>
      <c r="D45" s="1722"/>
      <c r="E45" s="1722"/>
    </row>
    <row r="46" spans="1:5" s="3009" customFormat="1">
      <c r="A46" s="3008"/>
      <c r="D46" s="1722"/>
      <c r="E46" s="1722"/>
    </row>
    <row r="47" spans="1:5" s="3009" customFormat="1">
      <c r="A47" s="3008"/>
      <c r="D47" s="1722"/>
      <c r="E47" s="1722"/>
    </row>
    <row r="48" spans="1:5" s="3009" customFormat="1">
      <c r="A48" s="3008"/>
      <c r="D48" s="1722"/>
      <c r="E48" s="1722"/>
    </row>
    <row r="49" spans="1:5" s="3009" customFormat="1">
      <c r="A49" s="3008"/>
      <c r="D49" s="1722"/>
      <c r="E49" s="1722"/>
    </row>
    <row r="50" spans="1:5" s="3009" customFormat="1">
      <c r="A50" s="3008"/>
      <c r="D50" s="1722"/>
      <c r="E50" s="1722"/>
    </row>
    <row r="51" spans="1:5" s="3009" customFormat="1">
      <c r="A51" s="3008"/>
      <c r="D51" s="1722"/>
      <c r="E51" s="1722"/>
    </row>
    <row r="52" spans="1:5" s="3009" customFormat="1">
      <c r="A52" s="3008"/>
      <c r="D52" s="1722"/>
      <c r="E52" s="1722"/>
    </row>
    <row r="53" spans="1:5" s="3009" customFormat="1">
      <c r="A53" s="3008"/>
      <c r="D53" s="1722"/>
      <c r="E53" s="1722"/>
    </row>
    <row r="54" spans="1:5" s="3009" customFormat="1">
      <c r="A54" s="3008"/>
      <c r="D54" s="1722"/>
      <c r="E54" s="1722"/>
    </row>
    <row r="55" spans="1:5" s="3009" customFormat="1">
      <c r="A55" s="3008"/>
      <c r="D55" s="1722"/>
      <c r="E55" s="1722"/>
    </row>
    <row r="56" spans="1:5" s="3009" customFormat="1">
      <c r="A56" s="3008"/>
      <c r="D56" s="1722"/>
      <c r="E56" s="1722"/>
    </row>
    <row r="57" spans="1:5" s="3009" customFormat="1">
      <c r="A57" s="3008"/>
      <c r="D57" s="1722"/>
      <c r="E57" s="1722"/>
    </row>
    <row r="58" spans="1:5" s="3009" customFormat="1">
      <c r="A58" s="3008"/>
      <c r="D58" s="1722"/>
      <c r="E58" s="1722"/>
    </row>
    <row r="59" spans="1:5" s="3009" customFormat="1">
      <c r="A59" s="3008"/>
      <c r="D59" s="1722"/>
      <c r="E59" s="1722"/>
    </row>
    <row r="60" spans="1:5" s="3009" customFormat="1">
      <c r="A60" s="3008"/>
      <c r="D60" s="1722"/>
      <c r="E60" s="1722"/>
    </row>
    <row r="61" spans="1:5" s="3009" customFormat="1">
      <c r="A61" s="3008"/>
      <c r="D61" s="1722"/>
      <c r="E61" s="1722"/>
    </row>
    <row r="62" spans="1:5" s="3009" customFormat="1">
      <c r="A62" s="3008"/>
      <c r="D62" s="1722"/>
      <c r="E62" s="1722"/>
    </row>
    <row r="63" spans="1:5" s="3009" customFormat="1">
      <c r="A63" s="3008"/>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M43" activeCellId="1" sqref="F20 M4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697</v>
      </c>
      <c r="C1" s="473" t="s">
        <v>667</v>
      </c>
      <c r="D1" s="2061"/>
      <c r="E1" s="475"/>
      <c r="F1" s="2284"/>
      <c r="G1" s="1407" t="s">
        <v>668</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1" t="s">
        <v>470</v>
      </c>
      <c r="B4" s="482"/>
      <c r="C4" s="3904" t="s">
        <v>471</v>
      </c>
      <c r="D4" s="3905"/>
      <c r="E4" s="3940" t="s">
        <v>472</v>
      </c>
      <c r="F4" s="3941"/>
      <c r="G4" s="3904" t="s">
        <v>473</v>
      </c>
      <c r="H4" s="3905"/>
      <c r="I4" s="3904" t="s">
        <v>474</v>
      </c>
      <c r="J4" s="3905"/>
      <c r="K4" s="483" t="s">
        <v>475</v>
      </c>
      <c r="L4" s="1853"/>
      <c r="M4" s="1854"/>
      <c r="N4" s="1854"/>
      <c r="O4" s="1854"/>
      <c r="P4" s="3906" t="s">
        <v>476</v>
      </c>
      <c r="Q4" s="3907"/>
      <c r="R4" s="3912" t="s">
        <v>472</v>
      </c>
      <c r="S4" s="3913"/>
      <c r="T4" s="3912" t="s">
        <v>473</v>
      </c>
      <c r="U4" s="3913"/>
      <c r="V4" s="3899" t="s">
        <v>474</v>
      </c>
      <c r="W4" s="3899"/>
      <c r="X4" s="1377"/>
      <c r="Y4" s="3912" t="s">
        <v>476</v>
      </c>
      <c r="Z4" s="3913"/>
      <c r="AA4" s="3901" t="s">
        <v>472</v>
      </c>
      <c r="AB4" s="3899" t="s">
        <v>473</v>
      </c>
      <c r="AC4" s="3901" t="s">
        <v>474</v>
      </c>
    </row>
    <row r="5" spans="1:29" ht="15">
      <c r="A5" s="484"/>
      <c r="B5" s="485"/>
      <c r="C5" s="3920" t="s">
        <v>2182</v>
      </c>
      <c r="D5" s="3921"/>
      <c r="E5" s="3942" t="s">
        <v>2183</v>
      </c>
      <c r="F5" s="3943"/>
      <c r="G5" s="3920" t="s">
        <v>2184</v>
      </c>
      <c r="H5" s="3921"/>
      <c r="I5" s="3920" t="s">
        <v>2185</v>
      </c>
      <c r="J5" s="3921"/>
      <c r="K5" s="483"/>
      <c r="L5" s="1853"/>
      <c r="M5" s="1854"/>
      <c r="N5" s="1854"/>
      <c r="O5" s="1854"/>
      <c r="P5" s="3908"/>
      <c r="Q5" s="3909"/>
      <c r="R5" s="3914"/>
      <c r="S5" s="3915"/>
      <c r="T5" s="3914"/>
      <c r="U5" s="3915"/>
      <c r="V5" s="3899"/>
      <c r="W5" s="3899"/>
      <c r="X5" s="1377"/>
      <c r="Y5" s="3914"/>
      <c r="Z5" s="3915"/>
      <c r="AA5" s="3902"/>
      <c r="AB5" s="3899"/>
      <c r="AC5" s="3902"/>
    </row>
    <row r="6" spans="1:29" ht="15.75" thickBot="1">
      <c r="A6" s="486"/>
      <c r="B6" s="487"/>
      <c r="C6" s="3918" t="s">
        <v>2186</v>
      </c>
      <c r="D6" s="3919"/>
      <c r="E6" s="3938" t="s">
        <v>2186</v>
      </c>
      <c r="F6" s="3939"/>
      <c r="G6" s="3918" t="s">
        <v>2186</v>
      </c>
      <c r="H6" s="3919"/>
      <c r="I6" s="3918" t="s">
        <v>2186</v>
      </c>
      <c r="J6" s="3919"/>
      <c r="K6" s="483" t="s">
        <v>477</v>
      </c>
      <c r="L6" s="1853"/>
      <c r="M6" s="1854"/>
      <c r="N6" s="1854"/>
      <c r="O6" s="1854"/>
      <c r="P6" s="3910"/>
      <c r="Q6" s="3911"/>
      <c r="R6" s="3914"/>
      <c r="S6" s="3915"/>
      <c r="T6" s="3916"/>
      <c r="U6" s="3917"/>
      <c r="V6" s="3899"/>
      <c r="W6" s="3899"/>
      <c r="X6" s="1377"/>
      <c r="Y6" s="3916"/>
      <c r="Z6" s="3917"/>
      <c r="AA6" s="3903"/>
      <c r="AB6" s="3899"/>
      <c r="AC6" s="3903"/>
    </row>
    <row r="7" spans="1:29" s="1115" customFormat="1" ht="15.75" thickBot="1">
      <c r="A7" s="2389"/>
      <c r="B7" s="2396" t="s">
        <v>478</v>
      </c>
      <c r="C7" s="488">
        <f>'数据-取费表'!B2</f>
        <v>45138</v>
      </c>
      <c r="D7" s="489">
        <v>100</v>
      </c>
      <c r="E7" s="490"/>
      <c r="F7" s="491">
        <f>SUMIF(58:58,YEAR(E7)&amp;"-"&amp;MONTH(E7),59:59)</f>
        <v>0</v>
      </c>
      <c r="G7" s="490"/>
      <c r="H7" s="489">
        <f>SUMIF(58:58,YEAR(G7)&amp;"-"&amp;MONTH(G7),59:59)</f>
        <v>0</v>
      </c>
      <c r="I7" s="490"/>
      <c r="J7" s="489">
        <f>SUMIF(58:58,YEAR(I7)&amp;"-"&amp;MONTH(I7),59:59)</f>
        <v>0</v>
      </c>
      <c r="K7" s="493"/>
      <c r="L7" s="1855"/>
      <c r="M7" s="1856"/>
      <c r="N7" s="1856"/>
      <c r="O7" s="1856"/>
      <c r="P7" s="3929" t="s">
        <v>479</v>
      </c>
      <c r="Q7" s="3931"/>
      <c r="R7" s="1378" t="s">
        <v>5</v>
      </c>
      <c r="S7" s="1379">
        <f t="shared" ref="S7:S15" si="0">F7</f>
        <v>0</v>
      </c>
      <c r="T7" s="1378" t="s">
        <v>5</v>
      </c>
      <c r="U7" s="1379">
        <f t="shared" ref="U7:U15" si="1">H7</f>
        <v>0</v>
      </c>
      <c r="V7" s="1378" t="s">
        <v>5</v>
      </c>
      <c r="W7" s="1379">
        <f t="shared" ref="W7:W15" si="2">J7</f>
        <v>0</v>
      </c>
      <c r="X7" s="1380"/>
      <c r="Y7" s="3929" t="s">
        <v>479</v>
      </c>
      <c r="Z7" s="3930"/>
      <c r="AA7" s="1381" t="e">
        <f>D7/F7</f>
        <v>#DIV/0!</v>
      </c>
      <c r="AB7" s="1381" t="e">
        <f>D7/H7</f>
        <v>#DIV/0!</v>
      </c>
      <c r="AC7" s="1381" t="e">
        <f>D7/J7</f>
        <v>#DIV/0!</v>
      </c>
    </row>
    <row r="8" spans="1:29" s="1115" customFormat="1" ht="15.75" thickBot="1">
      <c r="A8" s="2390"/>
      <c r="B8" s="2397"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929" t="s">
        <v>482</v>
      </c>
      <c r="Q8" s="3930"/>
      <c r="R8" s="1378" t="s">
        <v>5</v>
      </c>
      <c r="S8" s="1379">
        <f t="shared" si="0"/>
        <v>0</v>
      </c>
      <c r="T8" s="1378" t="s">
        <v>5</v>
      </c>
      <c r="U8" s="1379">
        <f t="shared" si="1"/>
        <v>0</v>
      </c>
      <c r="V8" s="1378" t="s">
        <v>5</v>
      </c>
      <c r="W8" s="1379">
        <f t="shared" si="2"/>
        <v>0</v>
      </c>
      <c r="X8" s="1380"/>
      <c r="Y8" s="3929" t="s">
        <v>482</v>
      </c>
      <c r="Z8" s="3930"/>
      <c r="AA8" s="1381" t="e">
        <f t="shared" ref="AA8:AA46" si="3">D8/F8</f>
        <v>#DIV/0!</v>
      </c>
      <c r="AB8" s="1381" t="e">
        <f t="shared" ref="AB8:AB46" si="4">D8/H8</f>
        <v>#DIV/0!</v>
      </c>
      <c r="AC8" s="1381" t="e">
        <f t="shared" ref="AC8:AC46" si="5">D8/J8</f>
        <v>#DIV/0!</v>
      </c>
    </row>
    <row r="9" spans="1:29" s="1115" customFormat="1" ht="15">
      <c r="A9" s="2391"/>
      <c r="B9" s="2398"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898" t="s">
        <v>484</v>
      </c>
      <c r="Q9" s="1047" t="str">
        <f t="shared" ref="Q9:Q15" si="6">B9</f>
        <v>用途</v>
      </c>
      <c r="R9" s="1378" t="s">
        <v>5</v>
      </c>
      <c r="S9" s="1379">
        <f t="shared" si="0"/>
        <v>100</v>
      </c>
      <c r="T9" s="1378" t="s">
        <v>5</v>
      </c>
      <c r="U9" s="1379">
        <f t="shared" si="1"/>
        <v>100</v>
      </c>
      <c r="V9" s="1378" t="s">
        <v>5</v>
      </c>
      <c r="W9" s="1379">
        <f t="shared" si="2"/>
        <v>100</v>
      </c>
      <c r="X9" s="1380"/>
      <c r="Y9" s="3842" t="s">
        <v>485</v>
      </c>
      <c r="Z9" s="1046" t="str">
        <f t="shared" ref="Z9:Z15" si="7">Q9</f>
        <v>用途</v>
      </c>
      <c r="AA9" s="1381">
        <f t="shared" si="3"/>
        <v>1</v>
      </c>
      <c r="AB9" s="1381">
        <f t="shared" si="4"/>
        <v>1</v>
      </c>
      <c r="AC9" s="1381">
        <f t="shared" si="5"/>
        <v>1</v>
      </c>
    </row>
    <row r="10" spans="1:29" s="1196" customFormat="1" ht="27">
      <c r="A10" s="2392"/>
      <c r="B10" s="2397" t="s">
        <v>2039</v>
      </c>
      <c r="C10" s="3657"/>
      <c r="D10" s="245">
        <v>100</v>
      </c>
      <c r="E10" s="3657"/>
      <c r="F10" s="245">
        <f>SUMIF(65:65,E10,66:66)-SUMIF(65:65,C10,66:66)+100</f>
        <v>100</v>
      </c>
      <c r="G10" s="3658"/>
      <c r="H10" s="245">
        <f>SUMIF(65:65,G10,66:66)-SUMIF(65:65,C10,66:66)+100</f>
        <v>100</v>
      </c>
      <c r="I10" s="3657"/>
      <c r="J10" s="245">
        <f>SUMIF(65:65,I10,66:66)-SUMIF(65:65,C10,66:66)+100</f>
        <v>100</v>
      </c>
      <c r="K10" s="493"/>
      <c r="L10" s="1858"/>
      <c r="M10" s="1897"/>
      <c r="N10" s="1897"/>
      <c r="O10" s="1859"/>
      <c r="P10" s="3898"/>
      <c r="Q10" s="1047" t="str">
        <f t="shared" si="6"/>
        <v>土地使用年限（年）</v>
      </c>
      <c r="R10" s="1378" t="s">
        <v>5</v>
      </c>
      <c r="S10" s="1379">
        <f t="shared" si="0"/>
        <v>100</v>
      </c>
      <c r="T10" s="1378" t="s">
        <v>5</v>
      </c>
      <c r="U10" s="1379">
        <f t="shared" si="1"/>
        <v>100</v>
      </c>
      <c r="V10" s="1378" t="s">
        <v>5</v>
      </c>
      <c r="W10" s="1379">
        <f t="shared" si="2"/>
        <v>100</v>
      </c>
      <c r="X10" s="1380"/>
      <c r="Y10" s="3842"/>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898"/>
      <c r="Q11" s="1047" t="str">
        <f t="shared" si="6"/>
        <v>容积率</v>
      </c>
      <c r="R11" s="1378" t="s">
        <v>5</v>
      </c>
      <c r="S11" s="1379" t="e">
        <f t="shared" si="0"/>
        <v>#N/A</v>
      </c>
      <c r="T11" s="1378" t="s">
        <v>5</v>
      </c>
      <c r="U11" s="1379" t="e">
        <f t="shared" si="1"/>
        <v>#N/A</v>
      </c>
      <c r="V11" s="1378" t="s">
        <v>5</v>
      </c>
      <c r="W11" s="1379" t="e">
        <f t="shared" si="2"/>
        <v>#N/A</v>
      </c>
      <c r="X11" s="1380"/>
      <c r="Y11" s="3842"/>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508"/>
      <c r="F12" s="245">
        <f>SUMIF(70:70,E12,71:71)-SUMIF(70:70,C12,71:71)+100</f>
        <v>100</v>
      </c>
      <c r="G12" s="872"/>
      <c r="H12" s="245">
        <f>SUMIF(70:70,G12,71:71)-SUMIF(70:70,C12,71:71)+100</f>
        <v>100</v>
      </c>
      <c r="I12" s="508"/>
      <c r="J12" s="245">
        <f>SUMIF(70:70,I12,71:71)-SUMIF(70:70,C12,71:71)+100</f>
        <v>100</v>
      </c>
      <c r="K12" s="550"/>
      <c r="L12" s="1855"/>
      <c r="M12" s="1856"/>
      <c r="N12" s="1856"/>
      <c r="O12" s="1857"/>
      <c r="P12" s="3898"/>
      <c r="Q12" s="1047">
        <f t="shared" si="6"/>
        <v>111</v>
      </c>
      <c r="R12" s="1378" t="s">
        <v>5</v>
      </c>
      <c r="S12" s="1379">
        <f t="shared" si="0"/>
        <v>100</v>
      </c>
      <c r="T12" s="1378" t="s">
        <v>5</v>
      </c>
      <c r="U12" s="1379">
        <f t="shared" si="1"/>
        <v>100</v>
      </c>
      <c r="V12" s="1378" t="s">
        <v>5</v>
      </c>
      <c r="W12" s="1379">
        <f t="shared" si="2"/>
        <v>100</v>
      </c>
      <c r="X12" s="1380"/>
      <c r="Y12" s="3842"/>
      <c r="Z12" s="1046">
        <f t="shared" si="7"/>
        <v>111</v>
      </c>
      <c r="AA12" s="1381">
        <f>D12/F12</f>
        <v>1</v>
      </c>
      <c r="AB12" s="1381">
        <f>D12/H12</f>
        <v>1</v>
      </c>
      <c r="AC12" s="1381">
        <f>D12/J12</f>
        <v>1</v>
      </c>
    </row>
    <row r="13" spans="1:29" ht="15">
      <c r="A13" s="2394"/>
      <c r="B13" s="2400">
        <v>111</v>
      </c>
      <c r="C13" s="508"/>
      <c r="D13" s="509">
        <v>100</v>
      </c>
      <c r="E13" s="508"/>
      <c r="F13" s="245">
        <f>SUMIF(72:72,E13,73:73)-SUMIF(72:72,C13,73:73)+100</f>
        <v>100</v>
      </c>
      <c r="G13" s="872"/>
      <c r="H13" s="509">
        <f>SUMIF(72:72,G13,73:73)-SUMIF(72:72,C13,73:73)+100</f>
        <v>100</v>
      </c>
      <c r="I13" s="508"/>
      <c r="J13" s="509">
        <f>SUMIF(72:72,I13,73:73)-SUMIF(72:72,C13,73:73)+100</f>
        <v>100</v>
      </c>
      <c r="K13" s="550"/>
      <c r="L13" s="1862"/>
      <c r="M13" s="1854"/>
      <c r="N13" s="1854"/>
      <c r="O13" s="1861"/>
      <c r="P13" s="3898"/>
      <c r="Q13" s="1047">
        <f t="shared" si="6"/>
        <v>111</v>
      </c>
      <c r="R13" s="1378" t="s">
        <v>5</v>
      </c>
      <c r="S13" s="1379">
        <f t="shared" si="0"/>
        <v>100</v>
      </c>
      <c r="T13" s="1378" t="s">
        <v>5</v>
      </c>
      <c r="U13" s="1379">
        <f t="shared" si="1"/>
        <v>100</v>
      </c>
      <c r="V13" s="1378" t="s">
        <v>5</v>
      </c>
      <c r="W13" s="1379">
        <f t="shared" si="2"/>
        <v>100</v>
      </c>
      <c r="X13" s="1380"/>
      <c r="Y13" s="3842"/>
      <c r="Z13" s="1046">
        <f t="shared" si="7"/>
        <v>111</v>
      </c>
      <c r="AA13" s="1381">
        <f t="shared" si="3"/>
        <v>1</v>
      </c>
      <c r="AB13" s="1381">
        <f t="shared" si="4"/>
        <v>1</v>
      </c>
      <c r="AC13" s="1381">
        <f t="shared" si="5"/>
        <v>1</v>
      </c>
    </row>
    <row r="14" spans="1:29" ht="15.75" thickBot="1">
      <c r="A14" s="2395"/>
      <c r="B14" s="2401">
        <v>111</v>
      </c>
      <c r="C14" s="514"/>
      <c r="D14" s="515">
        <v>100</v>
      </c>
      <c r="E14" s="514"/>
      <c r="F14" s="515">
        <f>SUMIF(74:74,E14,75:75)-SUMIF(74:74,C14,75:75)+100</f>
        <v>100</v>
      </c>
      <c r="G14" s="872"/>
      <c r="H14" s="515">
        <f>SUMIF(74:74,G14,75:75)-SUMIF(74:74,C14,75:75)+100</f>
        <v>100</v>
      </c>
      <c r="I14" s="508"/>
      <c r="J14" s="515">
        <f>SUMIF(74:74,I14,75:75)-SUMIF(74:74,C14,75:75)+100</f>
        <v>100</v>
      </c>
      <c r="K14" s="550"/>
      <c r="L14" s="1862"/>
      <c r="M14" s="1854"/>
      <c r="N14" s="1854"/>
      <c r="O14" s="1861"/>
      <c r="P14" s="3898"/>
      <c r="Q14" s="1047">
        <f t="shared" si="6"/>
        <v>111</v>
      </c>
      <c r="R14" s="1378" t="s">
        <v>5</v>
      </c>
      <c r="S14" s="1379">
        <f t="shared" si="0"/>
        <v>100</v>
      </c>
      <c r="T14" s="1378" t="s">
        <v>5</v>
      </c>
      <c r="U14" s="1379">
        <f t="shared" si="1"/>
        <v>100</v>
      </c>
      <c r="V14" s="1378" t="s">
        <v>5</v>
      </c>
      <c r="W14" s="1379">
        <f t="shared" si="2"/>
        <v>100</v>
      </c>
      <c r="X14" s="1380"/>
      <c r="Y14" s="3842"/>
      <c r="Z14" s="1046">
        <f t="shared" si="7"/>
        <v>111</v>
      </c>
      <c r="AA14" s="1381">
        <f t="shared" si="3"/>
        <v>1</v>
      </c>
      <c r="AB14" s="1381">
        <f t="shared" si="4"/>
        <v>1</v>
      </c>
      <c r="AC14" s="1381">
        <f t="shared" si="5"/>
        <v>1</v>
      </c>
    </row>
    <row r="15" spans="1:29" ht="15">
      <c r="A15" s="2387"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2"/>
      <c r="M15" s="1854"/>
      <c r="N15" s="1854"/>
      <c r="O15" s="1861"/>
      <c r="P15" s="3932" t="s">
        <v>489</v>
      </c>
      <c r="Q15" s="1382" t="str">
        <f t="shared" si="6"/>
        <v>商业繁华度</v>
      </c>
      <c r="R15" s="1383" t="s">
        <v>5</v>
      </c>
      <c r="S15" s="1384">
        <f t="shared" si="0"/>
        <v>100</v>
      </c>
      <c r="T15" s="1383" t="s">
        <v>5</v>
      </c>
      <c r="U15" s="1384">
        <f t="shared" si="1"/>
        <v>100</v>
      </c>
      <c r="V15" s="1383" t="s">
        <v>5</v>
      </c>
      <c r="W15" s="1384">
        <f t="shared" si="2"/>
        <v>100</v>
      </c>
      <c r="X15" s="1377"/>
      <c r="Y15" s="3932"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59"/>
      <c r="L16" s="1862"/>
      <c r="M16" s="1854"/>
      <c r="N16" s="1854"/>
      <c r="O16" s="1861"/>
      <c r="P16" s="3933"/>
      <c r="Q16" s="1382"/>
      <c r="R16" s="1383"/>
      <c r="S16" s="1384"/>
      <c r="T16" s="1383"/>
      <c r="U16" s="1384"/>
      <c r="V16" s="1383"/>
      <c r="W16" s="1384"/>
      <c r="X16" s="1377"/>
      <c r="Y16" s="3933"/>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8"/>
      <c r="L17" s="1862"/>
      <c r="M17" s="1854"/>
      <c r="N17" s="1854"/>
      <c r="O17" s="1861"/>
      <c r="P17" s="3933"/>
      <c r="Q17" s="1382" t="str">
        <f>B17</f>
        <v>交通便捷度</v>
      </c>
      <c r="R17" s="1383" t="s">
        <v>5</v>
      </c>
      <c r="S17" s="1384">
        <f>F17</f>
        <v>100</v>
      </c>
      <c r="T17" s="1383" t="s">
        <v>5</v>
      </c>
      <c r="U17" s="1384">
        <f>H17</f>
        <v>100</v>
      </c>
      <c r="V17" s="1383" t="s">
        <v>5</v>
      </c>
      <c r="W17" s="1384">
        <f>J17</f>
        <v>100</v>
      </c>
      <c r="X17" s="1377"/>
      <c r="Y17" s="3933"/>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59"/>
      <c r="L18" s="1862"/>
      <c r="M18" s="1854"/>
      <c r="N18" s="1854"/>
      <c r="O18" s="1861"/>
      <c r="P18" s="3933"/>
      <c r="Q18" s="1382"/>
      <c r="R18" s="1383"/>
      <c r="S18" s="1384"/>
      <c r="T18" s="1383"/>
      <c r="U18" s="1384"/>
      <c r="V18" s="1383"/>
      <c r="W18" s="1384"/>
      <c r="X18" s="1377"/>
      <c r="Y18" s="3933"/>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8"/>
      <c r="L19" s="1862"/>
      <c r="M19" s="1854"/>
      <c r="N19" s="1854"/>
      <c r="O19" s="1861"/>
      <c r="P19" s="3933"/>
      <c r="Q19" s="1382" t="str">
        <f>B19</f>
        <v>公共配套设施</v>
      </c>
      <c r="R19" s="1383" t="s">
        <v>5</v>
      </c>
      <c r="S19" s="1384">
        <f>F19</f>
        <v>100</v>
      </c>
      <c r="T19" s="1383" t="s">
        <v>5</v>
      </c>
      <c r="U19" s="1384">
        <f>H19</f>
        <v>100</v>
      </c>
      <c r="V19" s="1383" t="s">
        <v>5</v>
      </c>
      <c r="W19" s="1384">
        <f>J19</f>
        <v>100</v>
      </c>
      <c r="X19" s="1377"/>
      <c r="Y19" s="3933"/>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59"/>
      <c r="L20" s="1862"/>
      <c r="M20" s="1854"/>
      <c r="N20" s="1854"/>
      <c r="O20" s="1861"/>
      <c r="P20" s="3933"/>
      <c r="Q20" s="1382"/>
      <c r="R20" s="1383"/>
      <c r="S20" s="1384"/>
      <c r="T20" s="1383"/>
      <c r="U20" s="1384"/>
      <c r="V20" s="1383"/>
      <c r="W20" s="1384"/>
      <c r="X20" s="1377"/>
      <c r="Y20" s="3933"/>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8"/>
      <c r="L21" s="1862"/>
      <c r="M21" s="1854"/>
      <c r="N21" s="1854"/>
      <c r="O21" s="1861"/>
      <c r="P21" s="3933"/>
      <c r="Q21" s="2190" t="str">
        <f>B21</f>
        <v>基础设施水平</v>
      </c>
      <c r="R21" s="1383" t="s">
        <v>5</v>
      </c>
      <c r="S21" s="1384">
        <f>F21</f>
        <v>100</v>
      </c>
      <c r="T21" s="1383" t="s">
        <v>5</v>
      </c>
      <c r="U21" s="1384">
        <f>H21</f>
        <v>100</v>
      </c>
      <c r="V21" s="1383" t="s">
        <v>5</v>
      </c>
      <c r="W21" s="1384">
        <f>J21</f>
        <v>100</v>
      </c>
      <c r="X21" s="2192"/>
      <c r="Y21" s="3933"/>
      <c r="Z21" s="2191" t="str">
        <f>Q21</f>
        <v>基础设施水平</v>
      </c>
      <c r="AA21" s="1386">
        <f>D21/F21</f>
        <v>1</v>
      </c>
      <c r="AB21" s="1386">
        <f>D21/H21</f>
        <v>1</v>
      </c>
      <c r="AC21" s="1386">
        <f>D21/J21</f>
        <v>1</v>
      </c>
    </row>
    <row r="22" spans="1:29" ht="15">
      <c r="A22" s="501"/>
      <c r="B22" s="882"/>
      <c r="C22" s="835"/>
      <c r="D22" s="524"/>
      <c r="E22" s="545"/>
      <c r="F22" s="526"/>
      <c r="G22" s="545"/>
      <c r="H22" s="524"/>
      <c r="I22" s="545"/>
      <c r="J22" s="524"/>
      <c r="K22" s="2207"/>
      <c r="L22" s="1862"/>
      <c r="M22" s="1854"/>
      <c r="N22" s="1854"/>
      <c r="O22" s="1861"/>
      <c r="P22" s="3933"/>
      <c r="Q22" s="2190"/>
      <c r="R22" s="1383"/>
      <c r="S22" s="1384"/>
      <c r="T22" s="1383"/>
      <c r="U22" s="1384"/>
      <c r="V22" s="1383"/>
      <c r="W22" s="1384"/>
      <c r="X22" s="2192"/>
      <c r="Y22" s="3933"/>
      <c r="Z22" s="2191"/>
      <c r="AA22" s="1386">
        <v>1</v>
      </c>
      <c r="AB22" s="1386">
        <v>1</v>
      </c>
      <c r="AC22" s="1386">
        <v>1</v>
      </c>
    </row>
    <row r="23" spans="1:29" ht="15">
      <c r="A23" s="501"/>
      <c r="B23" s="833" t="s">
        <v>263</v>
      </c>
      <c r="C23" s="860">
        <f>估价对象房地状况!C9</f>
        <v>0</v>
      </c>
      <c r="D23" s="528">
        <v>100</v>
      </c>
      <c r="E23" s="531"/>
      <c r="F23" s="532">
        <f>SUMIF(84:84,E24,85:85)-SUMIF(84:84,C24,85:85)+100</f>
        <v>100</v>
      </c>
      <c r="G23" s="533"/>
      <c r="H23" s="528">
        <f>SUMIF(84:84,G24,85:85)-SUMIF(84:84,C24,85:85)+100</f>
        <v>100</v>
      </c>
      <c r="I23" s="531"/>
      <c r="J23" s="528">
        <f>SUMIF(84:84,I24,85:85)-SUMIF(84:84,C24,85:85)+100</f>
        <v>100</v>
      </c>
      <c r="K23" s="858"/>
      <c r="L23" s="1862"/>
      <c r="M23" s="1854"/>
      <c r="N23" s="1854"/>
      <c r="O23" s="1861"/>
      <c r="P23" s="3933"/>
      <c r="Q23" s="1382" t="str">
        <f>B23</f>
        <v>自然及人文环境</v>
      </c>
      <c r="R23" s="1383" t="s">
        <v>5</v>
      </c>
      <c r="S23" s="1384">
        <f>F23</f>
        <v>100</v>
      </c>
      <c r="T23" s="1383" t="s">
        <v>5</v>
      </c>
      <c r="U23" s="1384">
        <f>H23</f>
        <v>100</v>
      </c>
      <c r="V23" s="1383" t="s">
        <v>5</v>
      </c>
      <c r="W23" s="1384">
        <f>J23</f>
        <v>100</v>
      </c>
      <c r="X23" s="1377"/>
      <c r="Y23" s="3933"/>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59"/>
      <c r="L24" s="1862"/>
      <c r="M24" s="1854"/>
      <c r="N24" s="1854"/>
      <c r="O24" s="1861"/>
      <c r="P24" s="3933"/>
      <c r="Q24" s="1382"/>
      <c r="R24" s="1383"/>
      <c r="S24" s="1384"/>
      <c r="T24" s="1383"/>
      <c r="U24" s="1384"/>
      <c r="V24" s="1383"/>
      <c r="W24" s="1384"/>
      <c r="X24" s="1377"/>
      <c r="Y24" s="3933"/>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33"/>
      <c r="Q25" s="1382" t="str">
        <f t="shared" ref="Q25:Q46" si="8">B25</f>
        <v>临街状况</v>
      </c>
      <c r="R25" s="1383" t="s">
        <v>5</v>
      </c>
      <c r="S25" s="1384">
        <f>F25</f>
        <v>100</v>
      </c>
      <c r="T25" s="1383" t="s">
        <v>5</v>
      </c>
      <c r="U25" s="1384">
        <f>H25</f>
        <v>100</v>
      </c>
      <c r="V25" s="1383" t="s">
        <v>5</v>
      </c>
      <c r="W25" s="1384">
        <f>J25</f>
        <v>100</v>
      </c>
      <c r="X25" s="1377"/>
      <c r="Y25" s="3933"/>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33"/>
      <c r="Q26" s="1382" t="str">
        <f t="shared" si="8"/>
        <v>平面位置/可视性</v>
      </c>
      <c r="R26" s="1383" t="s">
        <v>5</v>
      </c>
      <c r="S26" s="1384">
        <f>F26</f>
        <v>100</v>
      </c>
      <c r="T26" s="1383" t="s">
        <v>5</v>
      </c>
      <c r="U26" s="1384">
        <f>H26</f>
        <v>100</v>
      </c>
      <c r="V26" s="1383" t="s">
        <v>5</v>
      </c>
      <c r="W26" s="1384">
        <f>J26</f>
        <v>100</v>
      </c>
      <c r="X26" s="1377"/>
      <c r="Y26" s="3933"/>
      <c r="Z26" s="1385" t="str">
        <f>Q26</f>
        <v>平面位置/可视性</v>
      </c>
      <c r="AA26" s="1386">
        <f t="shared" si="3"/>
        <v>1</v>
      </c>
      <c r="AB26" s="1386">
        <f t="shared" si="4"/>
        <v>1</v>
      </c>
      <c r="AC26" s="1386">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5"/>
      <c r="M27" s="1856"/>
      <c r="N27" s="1856"/>
      <c r="O27" s="1857"/>
      <c r="P27" s="3933"/>
      <c r="Q27" s="1047" t="str">
        <f t="shared" si="8"/>
        <v>人流量</v>
      </c>
      <c r="R27" s="1378" t="s">
        <v>5</v>
      </c>
      <c r="S27" s="1379">
        <f>F27</f>
        <v>100</v>
      </c>
      <c r="T27" s="1378" t="s">
        <v>5</v>
      </c>
      <c r="U27" s="1379">
        <f>H27</f>
        <v>100</v>
      </c>
      <c r="V27" s="1378" t="s">
        <v>5</v>
      </c>
      <c r="W27" s="1379">
        <f>J27</f>
        <v>100</v>
      </c>
      <c r="X27" s="1380"/>
      <c r="Y27" s="3933"/>
      <c r="Z27" s="1046"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33"/>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33"/>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33"/>
      <c r="Q29" s="1382">
        <f t="shared" si="8"/>
        <v>111</v>
      </c>
      <c r="R29" s="1383" t="s">
        <v>5</v>
      </c>
      <c r="S29" s="1384">
        <f t="shared" si="9"/>
        <v>100</v>
      </c>
      <c r="T29" s="1383" t="s">
        <v>5</v>
      </c>
      <c r="U29" s="1384">
        <f t="shared" si="10"/>
        <v>100</v>
      </c>
      <c r="V29" s="1383" t="s">
        <v>5</v>
      </c>
      <c r="W29" s="1384">
        <f t="shared" si="11"/>
        <v>100</v>
      </c>
      <c r="X29" s="1377"/>
      <c r="Y29" s="3933"/>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33"/>
      <c r="Q30" s="1382">
        <f t="shared" si="8"/>
        <v>111</v>
      </c>
      <c r="R30" s="1383" t="s">
        <v>5</v>
      </c>
      <c r="S30" s="1384">
        <f t="shared" si="9"/>
        <v>100</v>
      </c>
      <c r="T30" s="1383" t="s">
        <v>5</v>
      </c>
      <c r="U30" s="1384">
        <f t="shared" si="10"/>
        <v>100</v>
      </c>
      <c r="V30" s="1383" t="s">
        <v>5</v>
      </c>
      <c r="W30" s="1384">
        <f t="shared" si="11"/>
        <v>100</v>
      </c>
      <c r="X30" s="1377"/>
      <c r="Y30" s="3933"/>
      <c r="Z30" s="1385">
        <f t="shared" si="12"/>
        <v>111</v>
      </c>
      <c r="AA30" s="1386">
        <f t="shared" si="3"/>
        <v>1</v>
      </c>
      <c r="AB30" s="1386">
        <f t="shared" si="4"/>
        <v>1</v>
      </c>
      <c r="AC30" s="1386">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33"/>
      <c r="Q31" s="1382">
        <f t="shared" si="8"/>
        <v>111</v>
      </c>
      <c r="R31" s="1383" t="s">
        <v>5</v>
      </c>
      <c r="S31" s="1384">
        <f t="shared" si="9"/>
        <v>100</v>
      </c>
      <c r="T31" s="1383" t="s">
        <v>5</v>
      </c>
      <c r="U31" s="1384">
        <f t="shared" si="10"/>
        <v>100</v>
      </c>
      <c r="V31" s="1383" t="s">
        <v>5</v>
      </c>
      <c r="W31" s="1384">
        <f t="shared" si="11"/>
        <v>100</v>
      </c>
      <c r="X31" s="1377"/>
      <c r="Y31" s="3933"/>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34" t="s">
        <v>499</v>
      </c>
      <c r="Q32" s="1382" t="str">
        <f t="shared" si="8"/>
        <v>商业类型</v>
      </c>
      <c r="R32" s="1383" t="s">
        <v>5</v>
      </c>
      <c r="S32" s="1384">
        <f t="shared" si="9"/>
        <v>100</v>
      </c>
      <c r="T32" s="1383" t="s">
        <v>5</v>
      </c>
      <c r="U32" s="1384">
        <f t="shared" si="10"/>
        <v>100</v>
      </c>
      <c r="V32" s="1383" t="s">
        <v>5</v>
      </c>
      <c r="W32" s="1384">
        <f t="shared" si="11"/>
        <v>100</v>
      </c>
      <c r="X32" s="1377"/>
      <c r="Y32" s="3935" t="s">
        <v>499</v>
      </c>
      <c r="Z32" s="1385" t="str">
        <f t="shared" si="12"/>
        <v>商业类型</v>
      </c>
      <c r="AA32" s="1386">
        <f t="shared" si="3"/>
        <v>1</v>
      </c>
      <c r="AB32" s="1386">
        <f t="shared" si="4"/>
        <v>1</v>
      </c>
      <c r="AC32" s="1386">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35"/>
      <c r="Q33" s="1411" t="str">
        <f t="shared" si="8"/>
        <v>项目建筑规模</v>
      </c>
      <c r="R33" s="1387" t="s">
        <v>5</v>
      </c>
      <c r="S33" s="1388" t="e">
        <f t="shared" si="9"/>
        <v>#N/A</v>
      </c>
      <c r="T33" s="1387" t="s">
        <v>5</v>
      </c>
      <c r="U33" s="1388" t="e">
        <f t="shared" si="10"/>
        <v>#N/A</v>
      </c>
      <c r="V33" s="1387" t="s">
        <v>5</v>
      </c>
      <c r="W33" s="1388" t="e">
        <f t="shared" si="11"/>
        <v>#N/A</v>
      </c>
      <c r="X33" s="1389"/>
      <c r="Y33" s="3935"/>
      <c r="Z33" s="1390" t="str">
        <f t="shared" si="12"/>
        <v>项目建筑规模</v>
      </c>
      <c r="AA33" s="1386" t="e">
        <f t="shared" si="3"/>
        <v>#N/A</v>
      </c>
      <c r="AB33" s="1386" t="e">
        <f t="shared" si="4"/>
        <v>#N/A</v>
      </c>
      <c r="AC33" s="1386"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2"/>
      <c r="M34" s="1854"/>
      <c r="N34" s="1854"/>
      <c r="O34" s="1861"/>
      <c r="P34" s="3935"/>
      <c r="Q34" s="1382" t="str">
        <f t="shared" si="8"/>
        <v>建筑结构</v>
      </c>
      <c r="R34" s="1383" t="s">
        <v>5</v>
      </c>
      <c r="S34" s="1384">
        <f t="shared" si="9"/>
        <v>100</v>
      </c>
      <c r="T34" s="1383" t="s">
        <v>5</v>
      </c>
      <c r="U34" s="1384">
        <f t="shared" si="10"/>
        <v>100</v>
      </c>
      <c r="V34" s="1383" t="s">
        <v>5</v>
      </c>
      <c r="W34" s="1384">
        <f t="shared" si="11"/>
        <v>100</v>
      </c>
      <c r="X34" s="1377"/>
      <c r="Y34" s="3935"/>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35"/>
      <c r="Q35" s="1382" t="str">
        <f t="shared" si="8"/>
        <v>公共部分装修</v>
      </c>
      <c r="R35" s="1383" t="s">
        <v>5</v>
      </c>
      <c r="S35" s="1384">
        <f t="shared" si="9"/>
        <v>100</v>
      </c>
      <c r="T35" s="1383" t="s">
        <v>5</v>
      </c>
      <c r="U35" s="1384">
        <f t="shared" si="10"/>
        <v>100</v>
      </c>
      <c r="V35" s="1383" t="s">
        <v>5</v>
      </c>
      <c r="W35" s="1384">
        <f t="shared" si="11"/>
        <v>100</v>
      </c>
      <c r="X35" s="1377"/>
      <c r="Y35" s="3935"/>
      <c r="Z35" s="1385" t="str">
        <f t="shared" si="12"/>
        <v>公共部分装修</v>
      </c>
      <c r="AA35" s="1386">
        <f t="shared" si="3"/>
        <v>1</v>
      </c>
      <c r="AB35" s="1386">
        <f t="shared" si="4"/>
        <v>1</v>
      </c>
      <c r="AC35" s="1386">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2"/>
      <c r="M36" s="1854"/>
      <c r="N36" s="1854"/>
      <c r="O36" s="1861"/>
      <c r="P36" s="3935"/>
      <c r="Q36" s="1382" t="str">
        <f t="shared" si="8"/>
        <v>成新度</v>
      </c>
      <c r="R36" s="1383" t="s">
        <v>5</v>
      </c>
      <c r="S36" s="1384" t="e">
        <f t="shared" si="9"/>
        <v>#N/A</v>
      </c>
      <c r="T36" s="1383" t="s">
        <v>5</v>
      </c>
      <c r="U36" s="1384" t="e">
        <f t="shared" si="10"/>
        <v>#N/A</v>
      </c>
      <c r="V36" s="1383" t="s">
        <v>5</v>
      </c>
      <c r="W36" s="1384" t="e">
        <f t="shared" si="11"/>
        <v>#N/A</v>
      </c>
      <c r="X36" s="1377"/>
      <c r="Y36" s="3935"/>
      <c r="Z36" s="1385" t="str">
        <f t="shared" si="12"/>
        <v>成新度</v>
      </c>
      <c r="AA36" s="1386" t="e">
        <f t="shared" si="3"/>
        <v>#N/A</v>
      </c>
      <c r="AB36" s="1386" t="e">
        <f t="shared" si="4"/>
        <v>#N/A</v>
      </c>
      <c r="AC36" s="1386" t="e">
        <f t="shared" si="5"/>
        <v>#N/A</v>
      </c>
    </row>
    <row r="37" spans="1:29" s="1115"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35"/>
      <c r="Q37" s="1047" t="str">
        <f t="shared" si="8"/>
        <v>市政基础设施</v>
      </c>
      <c r="R37" s="1378" t="s">
        <v>5</v>
      </c>
      <c r="S37" s="1379">
        <f t="shared" si="9"/>
        <v>100</v>
      </c>
      <c r="T37" s="1378" t="s">
        <v>5</v>
      </c>
      <c r="U37" s="1379">
        <f t="shared" si="10"/>
        <v>100</v>
      </c>
      <c r="V37" s="1378" t="s">
        <v>5</v>
      </c>
      <c r="W37" s="1379">
        <f t="shared" si="11"/>
        <v>100</v>
      </c>
      <c r="X37" s="1380"/>
      <c r="Y37" s="3935"/>
      <c r="Z37" s="1046"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35" t="s">
        <v>706</v>
      </c>
      <c r="Q38" s="1382" t="str">
        <f t="shared" si="8"/>
        <v>业态</v>
      </c>
      <c r="R38" s="1383" t="s">
        <v>5</v>
      </c>
      <c r="S38" s="1384">
        <f t="shared" si="9"/>
        <v>100</v>
      </c>
      <c r="T38" s="1383" t="s">
        <v>5</v>
      </c>
      <c r="U38" s="1384">
        <f t="shared" si="10"/>
        <v>100</v>
      </c>
      <c r="V38" s="1383" t="s">
        <v>5</v>
      </c>
      <c r="W38" s="1384">
        <f t="shared" si="11"/>
        <v>100</v>
      </c>
      <c r="X38" s="1377"/>
      <c r="Y38" s="3935"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35"/>
      <c r="Q39" s="1382" t="str">
        <f t="shared" si="8"/>
        <v>层高</v>
      </c>
      <c r="R39" s="1383" t="s">
        <v>5</v>
      </c>
      <c r="S39" s="1384">
        <f t="shared" si="9"/>
        <v>100</v>
      </c>
      <c r="T39" s="1383" t="s">
        <v>5</v>
      </c>
      <c r="U39" s="1384">
        <f t="shared" si="10"/>
        <v>100</v>
      </c>
      <c r="V39" s="1383" t="s">
        <v>5</v>
      </c>
      <c r="W39" s="1384">
        <f t="shared" si="11"/>
        <v>100</v>
      </c>
      <c r="X39" s="1377"/>
      <c r="Y39" s="3935"/>
      <c r="Z39" s="1385" t="str">
        <f t="shared" si="12"/>
        <v>层高</v>
      </c>
      <c r="AA39" s="1386">
        <f t="shared" si="3"/>
        <v>1</v>
      </c>
      <c r="AB39" s="1386">
        <f t="shared" si="4"/>
        <v>1</v>
      </c>
      <c r="AC39" s="1386">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2"/>
      <c r="M40" s="1854"/>
      <c r="N40" s="1854"/>
      <c r="O40" s="1861"/>
      <c r="P40" s="3935"/>
      <c r="Q40" s="1382" t="str">
        <f t="shared" si="8"/>
        <v>单套建筑面积</v>
      </c>
      <c r="R40" s="1383" t="s">
        <v>5</v>
      </c>
      <c r="S40" s="1384">
        <f t="shared" si="9"/>
        <v>100</v>
      </c>
      <c r="T40" s="1383" t="s">
        <v>5</v>
      </c>
      <c r="U40" s="1384">
        <f t="shared" si="10"/>
        <v>100</v>
      </c>
      <c r="V40" s="1383" t="s">
        <v>5</v>
      </c>
      <c r="W40" s="1384">
        <f t="shared" si="11"/>
        <v>100</v>
      </c>
      <c r="X40" s="1377"/>
      <c r="Y40" s="3935"/>
      <c r="Z40" s="1385" t="str">
        <f t="shared" si="12"/>
        <v>单套建筑面积</v>
      </c>
      <c r="AA40" s="1386">
        <f t="shared" si="3"/>
        <v>1</v>
      </c>
      <c r="AB40" s="1386">
        <f t="shared" si="4"/>
        <v>1</v>
      </c>
      <c r="AC40" s="1386">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35"/>
      <c r="Q41" s="1411" t="str">
        <f t="shared" si="8"/>
        <v>进深比</v>
      </c>
      <c r="R41" s="1387" t="s">
        <v>5</v>
      </c>
      <c r="S41" s="1388">
        <f t="shared" si="9"/>
        <v>100</v>
      </c>
      <c r="T41" s="1387" t="s">
        <v>5</v>
      </c>
      <c r="U41" s="1388">
        <f t="shared" si="10"/>
        <v>100</v>
      </c>
      <c r="V41" s="1387" t="s">
        <v>5</v>
      </c>
      <c r="W41" s="1388">
        <f t="shared" si="11"/>
        <v>100</v>
      </c>
      <c r="X41" s="1389"/>
      <c r="Y41" s="3935"/>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35"/>
      <c r="Q42" s="1382" t="str">
        <f t="shared" si="8"/>
        <v>内部装修</v>
      </c>
      <c r="R42" s="1383" t="s">
        <v>5</v>
      </c>
      <c r="S42" s="1384">
        <f t="shared" si="9"/>
        <v>100</v>
      </c>
      <c r="T42" s="1383" t="s">
        <v>5</v>
      </c>
      <c r="U42" s="1384">
        <f t="shared" si="10"/>
        <v>100</v>
      </c>
      <c r="V42" s="1383" t="s">
        <v>5</v>
      </c>
      <c r="W42" s="1384">
        <f t="shared" si="11"/>
        <v>100</v>
      </c>
      <c r="X42" s="1377"/>
      <c r="Y42" s="3935"/>
      <c r="Z42" s="1385" t="str">
        <f t="shared" si="12"/>
        <v>内部装修</v>
      </c>
      <c r="AA42" s="1386">
        <f t="shared" si="3"/>
        <v>1</v>
      </c>
      <c r="AB42" s="1386">
        <f t="shared" si="4"/>
        <v>1</v>
      </c>
      <c r="AC42" s="1386">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35"/>
      <c r="Q43" s="1382" t="str">
        <f t="shared" si="8"/>
        <v>内部装修维护情况</v>
      </c>
      <c r="R43" s="1383" t="s">
        <v>5</v>
      </c>
      <c r="S43" s="1384">
        <f t="shared" si="9"/>
        <v>100</v>
      </c>
      <c r="T43" s="1383" t="s">
        <v>5</v>
      </c>
      <c r="U43" s="1384">
        <f t="shared" si="10"/>
        <v>100</v>
      </c>
      <c r="V43" s="1383" t="s">
        <v>5</v>
      </c>
      <c r="W43" s="1384">
        <f t="shared" si="11"/>
        <v>100</v>
      </c>
      <c r="X43" s="1377"/>
      <c r="Y43" s="3935"/>
      <c r="Z43" s="1385" t="str">
        <f t="shared" si="12"/>
        <v>内部装修维护情况</v>
      </c>
      <c r="AA43" s="1386">
        <f t="shared" si="3"/>
        <v>1</v>
      </c>
      <c r="AB43" s="1386">
        <f t="shared" si="4"/>
        <v>1</v>
      </c>
      <c r="AC43" s="1386">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35"/>
      <c r="Q44" s="1047">
        <f t="shared" si="8"/>
        <v>111</v>
      </c>
      <c r="R44" s="1378" t="s">
        <v>5</v>
      </c>
      <c r="S44" s="1379">
        <f t="shared" si="9"/>
        <v>100</v>
      </c>
      <c r="T44" s="1378" t="s">
        <v>5</v>
      </c>
      <c r="U44" s="1379">
        <f t="shared" si="10"/>
        <v>100</v>
      </c>
      <c r="V44" s="1378" t="s">
        <v>5</v>
      </c>
      <c r="W44" s="1379">
        <f t="shared" si="11"/>
        <v>100</v>
      </c>
      <c r="X44" s="1380"/>
      <c r="Y44" s="3935"/>
      <c r="Z44" s="1046">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35"/>
      <c r="Q45" s="1382">
        <f t="shared" si="8"/>
        <v>111</v>
      </c>
      <c r="R45" s="1383" t="s">
        <v>5</v>
      </c>
      <c r="S45" s="1384">
        <f t="shared" si="9"/>
        <v>100</v>
      </c>
      <c r="T45" s="1383" t="s">
        <v>5</v>
      </c>
      <c r="U45" s="1384">
        <f t="shared" si="10"/>
        <v>100</v>
      </c>
      <c r="V45" s="1383" t="s">
        <v>5</v>
      </c>
      <c r="W45" s="1384">
        <f t="shared" si="11"/>
        <v>100</v>
      </c>
      <c r="X45" s="1377"/>
      <c r="Y45" s="3935"/>
      <c r="Z45" s="1385">
        <f t="shared" si="12"/>
        <v>111</v>
      </c>
      <c r="AA45" s="1386">
        <f t="shared" si="3"/>
        <v>1</v>
      </c>
      <c r="AB45" s="1386">
        <f t="shared" si="4"/>
        <v>1</v>
      </c>
      <c r="AC45" s="1386">
        <f t="shared" si="5"/>
        <v>1</v>
      </c>
    </row>
    <row r="46" spans="1:29" ht="15.75"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4005"/>
      <c r="Q46" s="1382">
        <f t="shared" si="8"/>
        <v>111</v>
      </c>
      <c r="R46" s="1383" t="s">
        <v>5</v>
      </c>
      <c r="S46" s="1384">
        <f t="shared" si="9"/>
        <v>100</v>
      </c>
      <c r="T46" s="1383" t="s">
        <v>5</v>
      </c>
      <c r="U46" s="1384">
        <f t="shared" si="10"/>
        <v>100</v>
      </c>
      <c r="V46" s="1383" t="s">
        <v>5</v>
      </c>
      <c r="W46" s="1384">
        <f t="shared" si="11"/>
        <v>100</v>
      </c>
      <c r="X46" s="1377"/>
      <c r="Y46" s="4005"/>
      <c r="Z46" s="1385">
        <f t="shared" si="12"/>
        <v>111</v>
      </c>
      <c r="AA46" s="1386">
        <f t="shared" si="3"/>
        <v>1</v>
      </c>
      <c r="AB46" s="1386">
        <f t="shared" si="4"/>
        <v>1</v>
      </c>
      <c r="AC46" s="1386">
        <f t="shared" si="5"/>
        <v>1</v>
      </c>
    </row>
    <row r="47" spans="1:29" ht="15">
      <c r="A47" s="576" t="s">
        <v>683</v>
      </c>
      <c r="B47" s="847"/>
      <c r="C47" s="2231" t="s">
        <v>0</v>
      </c>
      <c r="D47" s="2232"/>
      <c r="E47" s="2233"/>
      <c r="F47" s="2234"/>
      <c r="G47" s="2235"/>
      <c r="H47" s="2236"/>
      <c r="I47" s="2233"/>
      <c r="J47" s="2236"/>
      <c r="K47" s="1416"/>
      <c r="L47" s="1864"/>
      <c r="M47" s="1865"/>
      <c r="N47" s="1854"/>
      <c r="O47" s="1865"/>
      <c r="P47" s="3898" t="str">
        <f>A47</f>
        <v>成交单价（元/平方米）</v>
      </c>
      <c r="Q47" s="3898"/>
      <c r="R47" s="4004">
        <f>E47</f>
        <v>0</v>
      </c>
      <c r="S47" s="4004"/>
      <c r="T47" s="4004">
        <f>G47</f>
        <v>0</v>
      </c>
      <c r="U47" s="4004"/>
      <c r="V47" s="4004">
        <f>I47</f>
        <v>0</v>
      </c>
      <c r="W47" s="4004"/>
      <c r="X47" s="1372"/>
      <c r="Y47" s="1391"/>
      <c r="Z47" s="1372"/>
      <c r="AA47" s="1372"/>
      <c r="AB47" s="1372"/>
      <c r="AC47" s="1372"/>
    </row>
    <row r="48" spans="1:29" ht="15.75" thickBot="1">
      <c r="A48" s="584" t="s">
        <v>2042</v>
      </c>
      <c r="B48" s="848"/>
      <c r="C48" s="2237" t="e">
        <f>R49</f>
        <v>#DIV/0!</v>
      </c>
      <c r="D48" s="2754" t="s">
        <v>2251</v>
      </c>
      <c r="E48" s="2238" t="e">
        <f>R48</f>
        <v>#DIV/0!</v>
      </c>
      <c r="F48" s="2755"/>
      <c r="G48" s="2237" t="e">
        <f>T48</f>
        <v>#DIV/0!</v>
      </c>
      <c r="H48" s="2755"/>
      <c r="I48" s="2238" t="e">
        <f>V48</f>
        <v>#DIV/0!</v>
      </c>
      <c r="J48" s="2755"/>
      <c r="K48" s="2763">
        <f>F48+H48+J48</f>
        <v>0</v>
      </c>
      <c r="L48" s="1864"/>
      <c r="M48" s="1865"/>
      <c r="N48" s="1854"/>
      <c r="O48" s="1865"/>
      <c r="P48" s="3898" t="str">
        <f>A48</f>
        <v>比较价格（元/平方米）</v>
      </c>
      <c r="Q48" s="3898"/>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1372"/>
      <c r="Y48" s="1372"/>
      <c r="Z48" s="1372"/>
      <c r="AA48" s="1372"/>
      <c r="AB48" s="1372"/>
      <c r="AC48" s="1372"/>
    </row>
    <row r="49" spans="1:29" ht="15.75" thickBot="1">
      <c r="A49" s="588" t="s">
        <v>2188</v>
      </c>
      <c r="B49" s="589"/>
      <c r="C49" s="2239" t="e">
        <f>R49</f>
        <v>#DIV/0!</v>
      </c>
      <c r="D49" s="2239"/>
      <c r="E49" s="2239"/>
      <c r="F49" s="2239"/>
      <c r="G49" s="2239"/>
      <c r="H49" s="2239"/>
      <c r="I49" s="2239"/>
      <c r="J49" s="2239"/>
      <c r="K49" s="1417"/>
      <c r="L49" s="1864"/>
      <c r="M49" s="1865"/>
      <c r="N49" s="1854"/>
      <c r="O49" s="1865"/>
      <c r="P49" s="3936" t="str">
        <f>A49</f>
        <v>估价对象XX用房的比较价格（楼面单价，元/平方米）</v>
      </c>
      <c r="Q49" s="3937"/>
      <c r="R49" s="4003" t="e">
        <f>IF(F1="售价",ROUND(IF(D48="简单平均",AVERAGE(R48:V48),R48*F48+T48*H48+V48*J48),0),ROUND(IF(D48="简单平均",AVERAGE(R48:V48),R48*F48+T48*H48+V48*J48),1))</f>
        <v>#DIV/0!</v>
      </c>
      <c r="S49" s="4003"/>
      <c r="T49" s="4003"/>
      <c r="U49" s="4003"/>
      <c r="V49" s="4003"/>
      <c r="W49" s="4003"/>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7"/>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5"/>
      <c r="B54" s="2955"/>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8"/>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2" t="s">
        <v>478</v>
      </c>
      <c r="B58" s="613"/>
      <c r="C58" s="2279" t="str">
        <f>YEAR(C7)&amp;"-"&amp;MONTH(C7)</f>
        <v>2023-7</v>
      </c>
      <c r="D58" s="2281">
        <f>EDATE(C58,-1)</f>
        <v>45078</v>
      </c>
      <c r="E58" s="2281">
        <f t="shared" ref="E58:O58" si="13">EDATE(D58,-1)</f>
        <v>45047</v>
      </c>
      <c r="F58" s="2281">
        <f t="shared" si="13"/>
        <v>45017</v>
      </c>
      <c r="G58" s="2281">
        <f t="shared" si="13"/>
        <v>44986</v>
      </c>
      <c r="H58" s="2281">
        <f t="shared" si="13"/>
        <v>44958</v>
      </c>
      <c r="I58" s="2281">
        <f t="shared" si="13"/>
        <v>44927</v>
      </c>
      <c r="J58" s="2281">
        <f t="shared" si="13"/>
        <v>44896</v>
      </c>
      <c r="K58" s="2281">
        <f t="shared" si="13"/>
        <v>44866</v>
      </c>
      <c r="L58" s="2281">
        <f t="shared" si="13"/>
        <v>44835</v>
      </c>
      <c r="M58" s="2281">
        <f t="shared" si="13"/>
        <v>44805</v>
      </c>
      <c r="N58" s="2281">
        <f t="shared" si="13"/>
        <v>44774</v>
      </c>
      <c r="O58" s="2281">
        <f t="shared" si="13"/>
        <v>44743</v>
      </c>
      <c r="P58" s="1879"/>
      <c r="Q58" s="1880"/>
      <c r="R58" s="1880"/>
      <c r="S58" s="1880"/>
      <c r="T58" s="1880"/>
      <c r="U58" s="1880"/>
      <c r="V58" s="1880"/>
      <c r="W58" s="1880"/>
      <c r="X58" s="1880"/>
      <c r="Y58" s="1880"/>
      <c r="Z58" s="1880"/>
      <c r="AA58" s="1880"/>
      <c r="AB58" s="1880"/>
      <c r="AC58" s="1880"/>
    </row>
    <row r="59" spans="1:29" s="1115" customFormat="1" ht="15">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5"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5"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6"/>
      <c r="B62" s="615"/>
      <c r="C62" s="849">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0"/>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100</v>
      </c>
      <c r="E83" s="646">
        <f>D83-$K21</f>
        <v>100</v>
      </c>
      <c r="F83" s="646">
        <f>E83-$K21</f>
        <v>100</v>
      </c>
      <c r="G83" s="646">
        <f>F83-$K21</f>
        <v>100</v>
      </c>
      <c r="H83" s="895"/>
      <c r="I83" s="895"/>
      <c r="J83" s="895"/>
      <c r="K83" s="895"/>
      <c r="L83" s="895"/>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6"/>
      <c r="B86" s="640" t="s">
        <v>711</v>
      </c>
      <c r="C86" s="655"/>
      <c r="D86" s="655"/>
      <c r="E86" s="655"/>
      <c r="F86" s="655"/>
      <c r="G86" s="655"/>
      <c r="H86" s="655"/>
      <c r="I86" s="655"/>
      <c r="J86" s="655"/>
      <c r="K86" s="655"/>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6"/>
      <c r="B88" s="640" t="str">
        <f>B26</f>
        <v>平面位置/可视性</v>
      </c>
      <c r="C88" s="655"/>
      <c r="D88" s="655"/>
      <c r="E88" s="655"/>
      <c r="F88" s="852"/>
      <c r="G88" s="655"/>
      <c r="H88" s="655"/>
      <c r="I88" s="655"/>
      <c r="J88" s="655"/>
      <c r="K88" s="655"/>
      <c r="L88" s="655"/>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6"/>
      <c r="B92" s="640" t="str">
        <f>B28</f>
        <v>楼层</v>
      </c>
      <c r="C92" s="655"/>
      <c r="D92" s="655"/>
      <c r="E92" s="655"/>
      <c r="F92" s="655"/>
      <c r="G92" s="655"/>
      <c r="H92" s="655"/>
      <c r="I92" s="655"/>
      <c r="J92" s="655"/>
      <c r="K92" s="655"/>
      <c r="L92" s="850"/>
      <c r="M92" s="851"/>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3"/>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4">
        <v>0.5</v>
      </c>
      <c r="D110" s="854">
        <v>0.6</v>
      </c>
      <c r="E110" s="854">
        <v>0.7</v>
      </c>
      <c r="F110" s="854">
        <v>0.8</v>
      </c>
      <c r="G110" s="854">
        <v>0.9</v>
      </c>
      <c r="H110" s="854">
        <v>1.0001</v>
      </c>
      <c r="I110" s="865"/>
      <c r="J110" s="865"/>
      <c r="K110" s="866"/>
      <c r="L110" s="867"/>
      <c r="M110" s="86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7"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69"/>
      <c r="D118" s="869"/>
      <c r="E118" s="869"/>
      <c r="F118" s="869"/>
      <c r="G118" s="869"/>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7"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M43" activeCellId="1" sqref="F20 M4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7"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717</v>
      </c>
      <c r="C1" s="473" t="s">
        <v>667</v>
      </c>
      <c r="D1" s="813"/>
      <c r="E1" s="475"/>
      <c r="F1" s="2284"/>
      <c r="G1" s="1407" t="s">
        <v>668</v>
      </c>
      <c r="H1" s="475"/>
      <c r="I1" s="475"/>
      <c r="J1" s="475"/>
      <c r="K1" s="476"/>
      <c r="L1" s="2950"/>
      <c r="M1" s="2951"/>
      <c r="N1" s="2951"/>
      <c r="O1" s="2951"/>
      <c r="P1" s="3013"/>
      <c r="Q1" s="1852"/>
      <c r="R1" s="1852"/>
      <c r="S1" s="1852"/>
      <c r="T1" s="1852"/>
      <c r="U1" s="1852"/>
      <c r="V1" s="1852"/>
      <c r="W1" s="1852"/>
      <c r="X1" s="1852"/>
      <c r="Y1" s="1852"/>
      <c r="Z1" s="1852"/>
      <c r="AA1" s="1852"/>
      <c r="AB1" s="1852"/>
      <c r="AC1" s="2952"/>
    </row>
    <row r="2" spans="1:29" s="1194" customFormat="1" ht="28.5" customHeight="1">
      <c r="A2" s="409" t="s">
        <v>427</v>
      </c>
      <c r="B2" s="814" t="e">
        <f>ROUND(B3*D3/10000,0)</f>
        <v>#DIV/0!</v>
      </c>
      <c r="C2" s="1847"/>
      <c r="D2" s="1847"/>
      <c r="E2" s="1782"/>
      <c r="F2" s="1849"/>
      <c r="G2" s="1848"/>
      <c r="H2" s="1848"/>
      <c r="I2" s="1848"/>
      <c r="J2" s="1848"/>
      <c r="K2" s="1848"/>
      <c r="L2" s="1851"/>
      <c r="M2" s="1852"/>
      <c r="N2" s="1852"/>
      <c r="O2" s="1852"/>
      <c r="P2" s="3013"/>
      <c r="Q2" s="1852"/>
      <c r="R2" s="1852"/>
      <c r="S2" s="1852"/>
      <c r="T2" s="1852"/>
      <c r="U2" s="1852"/>
      <c r="V2" s="1852"/>
      <c r="W2" s="1852"/>
      <c r="X2" s="1852"/>
      <c r="Y2" s="1852"/>
      <c r="Z2" s="1852"/>
      <c r="AA2" s="1852"/>
      <c r="AB2" s="1852"/>
      <c r="AC2" s="2952"/>
    </row>
    <row r="3" spans="1:29" s="1194"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3"/>
      <c r="Q3" s="1852"/>
      <c r="R3" s="1852"/>
      <c r="S3" s="1852"/>
      <c r="T3" s="1852"/>
      <c r="U3" s="1852"/>
      <c r="V3" s="1852"/>
      <c r="W3" s="1852"/>
      <c r="X3" s="1852"/>
      <c r="Y3" s="1852"/>
      <c r="Z3" s="1852"/>
      <c r="AA3" s="1852"/>
      <c r="AB3" s="1852"/>
      <c r="AC3" s="2952"/>
    </row>
    <row r="4" spans="1:29" ht="15">
      <c r="A4" s="481" t="s">
        <v>470</v>
      </c>
      <c r="B4" s="482"/>
      <c r="C4" s="3904" t="s">
        <v>471</v>
      </c>
      <c r="D4" s="3905"/>
      <c r="E4" s="3940" t="s">
        <v>472</v>
      </c>
      <c r="F4" s="3941"/>
      <c r="G4" s="3904" t="s">
        <v>473</v>
      </c>
      <c r="H4" s="3905"/>
      <c r="I4" s="3904" t="s">
        <v>474</v>
      </c>
      <c r="J4" s="3905"/>
      <c r="K4" s="483" t="s">
        <v>475</v>
      </c>
      <c r="L4" s="1853"/>
      <c r="M4" s="1854"/>
      <c r="N4" s="1854"/>
      <c r="O4" s="1854"/>
      <c r="P4" s="4028" t="s">
        <v>476</v>
      </c>
      <c r="Q4" s="3907"/>
      <c r="R4" s="3912" t="s">
        <v>472</v>
      </c>
      <c r="S4" s="3913"/>
      <c r="T4" s="3912" t="s">
        <v>473</v>
      </c>
      <c r="U4" s="3913"/>
      <c r="V4" s="3899" t="s">
        <v>474</v>
      </c>
      <c r="W4" s="3899"/>
      <c r="X4" s="1377"/>
      <c r="Y4" s="3912" t="s">
        <v>476</v>
      </c>
      <c r="Z4" s="3913"/>
      <c r="AA4" s="3901" t="s">
        <v>472</v>
      </c>
      <c r="AB4" s="3901" t="s">
        <v>473</v>
      </c>
      <c r="AC4" s="3901" t="s">
        <v>474</v>
      </c>
    </row>
    <row r="5" spans="1:29" ht="15">
      <c r="A5" s="484"/>
      <c r="B5" s="485"/>
      <c r="C5" s="3920" t="s">
        <v>2182</v>
      </c>
      <c r="D5" s="3921"/>
      <c r="E5" s="3942" t="s">
        <v>2183</v>
      </c>
      <c r="F5" s="3943"/>
      <c r="G5" s="3920" t="s">
        <v>2184</v>
      </c>
      <c r="H5" s="3921"/>
      <c r="I5" s="3920" t="s">
        <v>2185</v>
      </c>
      <c r="J5" s="3921"/>
      <c r="K5" s="483"/>
      <c r="L5" s="1853"/>
      <c r="M5" s="1854"/>
      <c r="N5" s="1854"/>
      <c r="O5" s="1854"/>
      <c r="P5" s="4029"/>
      <c r="Q5" s="3909"/>
      <c r="R5" s="3914"/>
      <c r="S5" s="3915"/>
      <c r="T5" s="3914"/>
      <c r="U5" s="3915"/>
      <c r="V5" s="3899"/>
      <c r="W5" s="3899"/>
      <c r="X5" s="1377"/>
      <c r="Y5" s="3914"/>
      <c r="Z5" s="3915"/>
      <c r="AA5" s="3902"/>
      <c r="AB5" s="3902"/>
      <c r="AC5" s="3902"/>
    </row>
    <row r="6" spans="1:29" ht="15.75" thickBot="1">
      <c r="A6" s="486"/>
      <c r="B6" s="487"/>
      <c r="C6" s="3918" t="s">
        <v>2186</v>
      </c>
      <c r="D6" s="3919"/>
      <c r="E6" s="3938" t="s">
        <v>2186</v>
      </c>
      <c r="F6" s="3939"/>
      <c r="G6" s="3918" t="s">
        <v>2186</v>
      </c>
      <c r="H6" s="3919"/>
      <c r="I6" s="3918" t="s">
        <v>2186</v>
      </c>
      <c r="J6" s="3919"/>
      <c r="K6" s="483" t="s">
        <v>477</v>
      </c>
      <c r="L6" s="1853"/>
      <c r="M6" s="1854"/>
      <c r="N6" s="1854"/>
      <c r="O6" s="1854"/>
      <c r="P6" s="4030"/>
      <c r="Q6" s="3911"/>
      <c r="R6" s="3914"/>
      <c r="S6" s="3915"/>
      <c r="T6" s="3916"/>
      <c r="U6" s="3917"/>
      <c r="V6" s="3899"/>
      <c r="W6" s="3899"/>
      <c r="X6" s="1377"/>
      <c r="Y6" s="3916"/>
      <c r="Z6" s="3917"/>
      <c r="AA6" s="3903"/>
      <c r="AB6" s="3903"/>
      <c r="AC6" s="3903"/>
    </row>
    <row r="7" spans="1:29" s="1115" customFormat="1" ht="15.75" thickBot="1">
      <c r="A7" s="2389"/>
      <c r="B7" s="2396" t="s">
        <v>478</v>
      </c>
      <c r="C7" s="488">
        <f>'数据-取费表'!B2</f>
        <v>45138</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31" t="s">
        <v>479</v>
      </c>
      <c r="Q7" s="3931"/>
      <c r="R7" s="1378" t="s">
        <v>5</v>
      </c>
      <c r="S7" s="1379">
        <f t="shared" ref="S7:S15" si="0">F7</f>
        <v>0</v>
      </c>
      <c r="T7" s="1378" t="s">
        <v>5</v>
      </c>
      <c r="U7" s="1379">
        <f t="shared" ref="U7:U15" si="1">H7</f>
        <v>0</v>
      </c>
      <c r="V7" s="1378" t="s">
        <v>5</v>
      </c>
      <c r="W7" s="1379">
        <f t="shared" ref="W7:W15" si="2">J7</f>
        <v>0</v>
      </c>
      <c r="X7" s="1380"/>
      <c r="Y7" s="3929" t="s">
        <v>479</v>
      </c>
      <c r="Z7" s="3930"/>
      <c r="AA7" s="1381" t="e">
        <f>D7/F7</f>
        <v>#DIV/0!</v>
      </c>
      <c r="AB7" s="1381" t="e">
        <f>D7/H7</f>
        <v>#DIV/0!</v>
      </c>
      <c r="AC7" s="1381" t="e">
        <f>D7/J7</f>
        <v>#DIV/0!</v>
      </c>
    </row>
    <row r="8" spans="1:29" s="1115" customFormat="1" ht="15.75" thickBot="1">
      <c r="A8" s="2390"/>
      <c r="B8" s="2397"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31" t="s">
        <v>482</v>
      </c>
      <c r="Q8" s="3930"/>
      <c r="R8" s="1378" t="s">
        <v>5</v>
      </c>
      <c r="S8" s="1379">
        <f t="shared" si="0"/>
        <v>0</v>
      </c>
      <c r="T8" s="1378" t="s">
        <v>5</v>
      </c>
      <c r="U8" s="1379">
        <f t="shared" si="1"/>
        <v>0</v>
      </c>
      <c r="V8" s="1378" t="s">
        <v>5</v>
      </c>
      <c r="W8" s="1379">
        <f t="shared" si="2"/>
        <v>0</v>
      </c>
      <c r="X8" s="1380"/>
      <c r="Y8" s="3929" t="s">
        <v>482</v>
      </c>
      <c r="Z8" s="3930"/>
      <c r="AA8" s="1381" t="e">
        <f t="shared" ref="AA8:AA47" si="3">D8/F8</f>
        <v>#DIV/0!</v>
      </c>
      <c r="AB8" s="1381" t="e">
        <f t="shared" ref="AB8:AB47" si="4">D8/H8</f>
        <v>#DIV/0!</v>
      </c>
      <c r="AC8" s="1381" t="e">
        <f t="shared" ref="AC8:AC47" si="5">D8/J8</f>
        <v>#DIV/0!</v>
      </c>
    </row>
    <row r="9" spans="1:29" s="1115" customFormat="1" ht="15">
      <c r="A9" s="2391"/>
      <c r="B9" s="2398"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898" t="s">
        <v>484</v>
      </c>
      <c r="Q9" s="1047" t="str">
        <f t="shared" ref="Q9:Q15" si="6">B9</f>
        <v>用途</v>
      </c>
      <c r="R9" s="1378" t="s">
        <v>5</v>
      </c>
      <c r="S9" s="1379">
        <f t="shared" si="0"/>
        <v>100</v>
      </c>
      <c r="T9" s="1378" t="s">
        <v>5</v>
      </c>
      <c r="U9" s="1379">
        <f t="shared" si="1"/>
        <v>100</v>
      </c>
      <c r="V9" s="1378" t="s">
        <v>5</v>
      </c>
      <c r="W9" s="1379">
        <f t="shared" si="2"/>
        <v>100</v>
      </c>
      <c r="X9" s="1380"/>
      <c r="Y9" s="3842" t="s">
        <v>485</v>
      </c>
      <c r="Z9" s="1046" t="str">
        <f t="shared" ref="Z9:Z15" si="7">Q9</f>
        <v>用途</v>
      </c>
      <c r="AA9" s="1381">
        <f t="shared" si="3"/>
        <v>1</v>
      </c>
      <c r="AB9" s="1381">
        <f t="shared" si="4"/>
        <v>1</v>
      </c>
      <c r="AC9" s="1381">
        <f t="shared" si="5"/>
        <v>1</v>
      </c>
    </row>
    <row r="10" spans="1:29" s="1196" customFormat="1" ht="27">
      <c r="A10" s="2392"/>
      <c r="B10" s="2397" t="s">
        <v>2039</v>
      </c>
      <c r="C10" s="3657"/>
      <c r="D10" s="245">
        <v>100</v>
      </c>
      <c r="E10" s="3657"/>
      <c r="F10" s="245">
        <f>SUMIF(66:66,E10,67:67)-SUMIF(66:66,C10,67:67)+100</f>
        <v>100</v>
      </c>
      <c r="G10" s="3658"/>
      <c r="H10" s="245">
        <f>SUMIF(66:66,G10,67:67)-SUMIF(66:66,C10,67:67)+100</f>
        <v>100</v>
      </c>
      <c r="I10" s="3657"/>
      <c r="J10" s="245">
        <f>SUMIF(66:66,I10,67:67)-SUMIF(66:66,C10,67:67)+100</f>
        <v>100</v>
      </c>
      <c r="K10" s="493"/>
      <c r="L10" s="1858"/>
      <c r="M10" s="1897"/>
      <c r="N10" s="1897"/>
      <c r="O10" s="1897"/>
      <c r="P10" s="3898"/>
      <c r="Q10" s="1047" t="str">
        <f t="shared" si="6"/>
        <v>土地使用年限（年）</v>
      </c>
      <c r="R10" s="1378" t="s">
        <v>5</v>
      </c>
      <c r="S10" s="1379">
        <f t="shared" si="0"/>
        <v>100</v>
      </c>
      <c r="T10" s="1378" t="s">
        <v>5</v>
      </c>
      <c r="U10" s="1379">
        <f t="shared" si="1"/>
        <v>100</v>
      </c>
      <c r="V10" s="1378" t="s">
        <v>5</v>
      </c>
      <c r="W10" s="1379">
        <f t="shared" si="2"/>
        <v>100</v>
      </c>
      <c r="X10" s="1380"/>
      <c r="Y10" s="3842"/>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898"/>
      <c r="Q11" s="1047" t="str">
        <f t="shared" si="6"/>
        <v>容积率</v>
      </c>
      <c r="R11" s="1378" t="s">
        <v>5</v>
      </c>
      <c r="S11" s="1379" t="e">
        <f t="shared" si="0"/>
        <v>#N/A</v>
      </c>
      <c r="T11" s="1378" t="s">
        <v>5</v>
      </c>
      <c r="U11" s="1379" t="e">
        <f t="shared" si="1"/>
        <v>#N/A</v>
      </c>
      <c r="V11" s="1378" t="s">
        <v>5</v>
      </c>
      <c r="W11" s="1379" t="e">
        <f t="shared" si="2"/>
        <v>#N/A</v>
      </c>
      <c r="X11" s="1380"/>
      <c r="Y11" s="3842"/>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497"/>
      <c r="F12" s="245">
        <f>SUMIF(71:71,E12,72:72)-SUMIF(71:71,C12,72:72)+100</f>
        <v>100</v>
      </c>
      <c r="G12" s="870"/>
      <c r="H12" s="245">
        <f>SUMIF(71:71,G12,72:72)-SUMIF(71:71,C12,72:72)+100</f>
        <v>100</v>
      </c>
      <c r="I12" s="497"/>
      <c r="J12" s="245">
        <f>SUMIF(71:71,I12,72:72)-SUMIF(71:71,C12,72:72)+100</f>
        <v>100</v>
      </c>
      <c r="K12" s="550"/>
      <c r="L12" s="1855"/>
      <c r="M12" s="1856"/>
      <c r="N12" s="1856"/>
      <c r="O12" s="1856"/>
      <c r="P12" s="3898"/>
      <c r="Q12" s="1047">
        <f t="shared" si="6"/>
        <v>111</v>
      </c>
      <c r="R12" s="1378" t="s">
        <v>5</v>
      </c>
      <c r="S12" s="1379">
        <f t="shared" si="0"/>
        <v>100</v>
      </c>
      <c r="T12" s="1378" t="s">
        <v>5</v>
      </c>
      <c r="U12" s="1379">
        <f t="shared" si="1"/>
        <v>100</v>
      </c>
      <c r="V12" s="1378" t="s">
        <v>5</v>
      </c>
      <c r="W12" s="1379">
        <f t="shared" si="2"/>
        <v>100</v>
      </c>
      <c r="X12" s="1380"/>
      <c r="Y12" s="3842"/>
      <c r="Z12" s="1046">
        <f t="shared" si="7"/>
        <v>111</v>
      </c>
      <c r="AA12" s="1381">
        <f>D12/F12</f>
        <v>1</v>
      </c>
      <c r="AB12" s="1381">
        <f>D12/H12</f>
        <v>1</v>
      </c>
      <c r="AC12" s="1381">
        <f>D12/J12</f>
        <v>1</v>
      </c>
    </row>
    <row r="13" spans="1:29" ht="15">
      <c r="A13" s="2394"/>
      <c r="B13" s="2400">
        <v>111</v>
      </c>
      <c r="C13" s="508"/>
      <c r="D13" s="509">
        <v>100</v>
      </c>
      <c r="E13" s="497"/>
      <c r="F13" s="245">
        <f>SUMIF(73:73,E13,74:74)-SUMIF(73:73,C13,74:74)+100</f>
        <v>100</v>
      </c>
      <c r="G13" s="870"/>
      <c r="H13" s="509">
        <f>SUMIF(73:73,G13,74:74)-SUMIF(73:73,C13,74:74)+100</f>
        <v>100</v>
      </c>
      <c r="I13" s="497"/>
      <c r="J13" s="509">
        <f>SUMIF(73:73,I13,74:74)-SUMIF(73:73,C13,74:74)+100</f>
        <v>100</v>
      </c>
      <c r="K13" s="550"/>
      <c r="L13" s="1862"/>
      <c r="M13" s="1854"/>
      <c r="N13" s="1854"/>
      <c r="O13" s="1854"/>
      <c r="P13" s="3898"/>
      <c r="Q13" s="1047">
        <f t="shared" si="6"/>
        <v>111</v>
      </c>
      <c r="R13" s="1378" t="s">
        <v>5</v>
      </c>
      <c r="S13" s="1379">
        <f t="shared" si="0"/>
        <v>100</v>
      </c>
      <c r="T13" s="1378" t="s">
        <v>5</v>
      </c>
      <c r="U13" s="1379">
        <f t="shared" si="1"/>
        <v>100</v>
      </c>
      <c r="V13" s="1378" t="s">
        <v>5</v>
      </c>
      <c r="W13" s="1379">
        <f t="shared" si="2"/>
        <v>100</v>
      </c>
      <c r="X13" s="1380"/>
      <c r="Y13" s="3842"/>
      <c r="Z13" s="1046">
        <f t="shared" si="7"/>
        <v>111</v>
      </c>
      <c r="AA13" s="1381">
        <f t="shared" si="3"/>
        <v>1</v>
      </c>
      <c r="AB13" s="1381">
        <f t="shared" si="4"/>
        <v>1</v>
      </c>
      <c r="AC13" s="1381">
        <f t="shared" si="5"/>
        <v>1</v>
      </c>
    </row>
    <row r="14" spans="1:29" ht="15.75" thickBot="1">
      <c r="A14" s="2395"/>
      <c r="B14" s="2401">
        <v>111</v>
      </c>
      <c r="C14" s="514"/>
      <c r="D14" s="515">
        <v>100</v>
      </c>
      <c r="E14" s="871"/>
      <c r="F14" s="515">
        <f>SUMIF(75:75,E14,76:76)-SUMIF(75:75,C14,76:76)+100</f>
        <v>100</v>
      </c>
      <c r="G14" s="870"/>
      <c r="H14" s="515">
        <f>SUMIF(75:75,G14,76:76)-SUMIF(75:75,C14,76:76)+100</f>
        <v>100</v>
      </c>
      <c r="I14" s="497"/>
      <c r="J14" s="515">
        <f>SUMIF(75:75,I14,76:76)-SUMIF(75:75,C14,76:76)+100</f>
        <v>100</v>
      </c>
      <c r="K14" s="550"/>
      <c r="L14" s="1862"/>
      <c r="M14" s="1854"/>
      <c r="N14" s="1854"/>
      <c r="O14" s="1854"/>
      <c r="P14" s="3898"/>
      <c r="Q14" s="1047">
        <f t="shared" si="6"/>
        <v>111</v>
      </c>
      <c r="R14" s="1378" t="s">
        <v>5</v>
      </c>
      <c r="S14" s="1379">
        <f t="shared" si="0"/>
        <v>100</v>
      </c>
      <c r="T14" s="1378" t="s">
        <v>5</v>
      </c>
      <c r="U14" s="1379">
        <f t="shared" si="1"/>
        <v>100</v>
      </c>
      <c r="V14" s="1378" t="s">
        <v>5</v>
      </c>
      <c r="W14" s="1379">
        <f t="shared" si="2"/>
        <v>100</v>
      </c>
      <c r="X14" s="1380"/>
      <c r="Y14" s="3842"/>
      <c r="Z14" s="1046">
        <f t="shared" si="7"/>
        <v>111</v>
      </c>
      <c r="AA14" s="1381">
        <f t="shared" si="3"/>
        <v>1</v>
      </c>
      <c r="AB14" s="1381">
        <f t="shared" si="4"/>
        <v>1</v>
      </c>
      <c r="AC14" s="1381">
        <f t="shared" si="5"/>
        <v>1</v>
      </c>
    </row>
    <row r="15" spans="1:29" ht="15">
      <c r="A15" s="2387"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2"/>
      <c r="M15" s="1854"/>
      <c r="N15" s="1854"/>
      <c r="O15" s="1854"/>
      <c r="P15" s="3932" t="s">
        <v>489</v>
      </c>
      <c r="Q15" s="1382" t="str">
        <f t="shared" si="6"/>
        <v>办公集聚程度</v>
      </c>
      <c r="R15" s="1383" t="s">
        <v>5</v>
      </c>
      <c r="S15" s="1384">
        <f t="shared" si="0"/>
        <v>100</v>
      </c>
      <c r="T15" s="1383" t="s">
        <v>5</v>
      </c>
      <c r="U15" s="1384">
        <f t="shared" si="1"/>
        <v>100</v>
      </c>
      <c r="V15" s="1383" t="s">
        <v>5</v>
      </c>
      <c r="W15" s="1384">
        <f t="shared" si="2"/>
        <v>100</v>
      </c>
      <c r="X15" s="1377"/>
      <c r="Y15" s="3932"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59"/>
      <c r="L16" s="1862"/>
      <c r="M16" s="1854"/>
      <c r="N16" s="1854"/>
      <c r="O16" s="1854"/>
      <c r="P16" s="3933"/>
      <c r="Q16" s="1382"/>
      <c r="R16" s="1383"/>
      <c r="S16" s="1384"/>
      <c r="T16" s="1383"/>
      <c r="U16" s="1384"/>
      <c r="V16" s="1383"/>
      <c r="W16" s="1384"/>
      <c r="X16" s="1377"/>
      <c r="Y16" s="3933"/>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8"/>
      <c r="L17" s="1862"/>
      <c r="M17" s="1854"/>
      <c r="N17" s="1854"/>
      <c r="O17" s="1854"/>
      <c r="P17" s="3933"/>
      <c r="Q17" s="1382" t="str">
        <f>B17</f>
        <v>交通便捷度</v>
      </c>
      <c r="R17" s="1383" t="s">
        <v>5</v>
      </c>
      <c r="S17" s="1384">
        <f>F17</f>
        <v>100</v>
      </c>
      <c r="T17" s="1383" t="s">
        <v>5</v>
      </c>
      <c r="U17" s="1384">
        <f>H17</f>
        <v>100</v>
      </c>
      <c r="V17" s="1383" t="s">
        <v>5</v>
      </c>
      <c r="W17" s="1384">
        <f>J17</f>
        <v>100</v>
      </c>
      <c r="X17" s="1377"/>
      <c r="Y17" s="3933"/>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59"/>
      <c r="L18" s="1862"/>
      <c r="M18" s="1854"/>
      <c r="N18" s="1854"/>
      <c r="O18" s="1854"/>
      <c r="P18" s="3933"/>
      <c r="Q18" s="1382"/>
      <c r="R18" s="1383"/>
      <c r="S18" s="1384"/>
      <c r="T18" s="1383"/>
      <c r="U18" s="1384"/>
      <c r="V18" s="1383"/>
      <c r="W18" s="1384"/>
      <c r="X18" s="1377"/>
      <c r="Y18" s="3933"/>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8"/>
      <c r="L19" s="1862"/>
      <c r="M19" s="1854"/>
      <c r="N19" s="1854"/>
      <c r="O19" s="1854"/>
      <c r="P19" s="3933"/>
      <c r="Q19" s="1382" t="str">
        <f>B19</f>
        <v>公共配套设施</v>
      </c>
      <c r="R19" s="1383" t="s">
        <v>5</v>
      </c>
      <c r="S19" s="1384">
        <f>F19</f>
        <v>100</v>
      </c>
      <c r="T19" s="1383" t="s">
        <v>5</v>
      </c>
      <c r="U19" s="1384">
        <f>H19</f>
        <v>100</v>
      </c>
      <c r="V19" s="1383" t="s">
        <v>5</v>
      </c>
      <c r="W19" s="1384">
        <f>J19</f>
        <v>100</v>
      </c>
      <c r="X19" s="1377"/>
      <c r="Y19" s="3933"/>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59"/>
      <c r="L20" s="1862"/>
      <c r="M20" s="1854"/>
      <c r="N20" s="1854"/>
      <c r="O20" s="1854"/>
      <c r="P20" s="3933"/>
      <c r="Q20" s="1382"/>
      <c r="R20" s="1383"/>
      <c r="S20" s="1384"/>
      <c r="T20" s="1383"/>
      <c r="U20" s="1384"/>
      <c r="V20" s="1383"/>
      <c r="W20" s="1384"/>
      <c r="X20" s="1377"/>
      <c r="Y20" s="3933"/>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8"/>
      <c r="L21" s="1862"/>
      <c r="M21" s="1854"/>
      <c r="N21" s="1854"/>
      <c r="O21" s="1854"/>
      <c r="P21" s="3933"/>
      <c r="Q21" s="2190" t="str">
        <f>B21</f>
        <v>基础设施水平</v>
      </c>
      <c r="R21" s="1383" t="s">
        <v>5</v>
      </c>
      <c r="S21" s="1384">
        <f>F21</f>
        <v>100</v>
      </c>
      <c r="T21" s="1383" t="s">
        <v>5</v>
      </c>
      <c r="U21" s="1384">
        <f>H21</f>
        <v>100</v>
      </c>
      <c r="V21" s="1383" t="s">
        <v>5</v>
      </c>
      <c r="W21" s="1384">
        <f>J21</f>
        <v>100</v>
      </c>
      <c r="X21" s="2192"/>
      <c r="Y21" s="3933"/>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33"/>
      <c r="Q22" s="2190"/>
      <c r="R22" s="1383"/>
      <c r="S22" s="1384"/>
      <c r="T22" s="1383"/>
      <c r="U22" s="1384"/>
      <c r="V22" s="1383"/>
      <c r="W22" s="1384"/>
      <c r="X22" s="2192"/>
      <c r="Y22" s="3933"/>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8"/>
      <c r="L23" s="1862"/>
      <c r="M23" s="1854"/>
      <c r="N23" s="1854"/>
      <c r="O23" s="1854"/>
      <c r="P23" s="3933"/>
      <c r="Q23" s="1382" t="str">
        <f>B23</f>
        <v>环境质量</v>
      </c>
      <c r="R23" s="1383" t="s">
        <v>5</v>
      </c>
      <c r="S23" s="1384">
        <f>F23</f>
        <v>100</v>
      </c>
      <c r="T23" s="1383" t="s">
        <v>5</v>
      </c>
      <c r="U23" s="1384">
        <f>H23</f>
        <v>100</v>
      </c>
      <c r="V23" s="1383" t="s">
        <v>5</v>
      </c>
      <c r="W23" s="1384">
        <f>J23</f>
        <v>100</v>
      </c>
      <c r="X23" s="1377"/>
      <c r="Y23" s="3933"/>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59"/>
      <c r="L24" s="1862"/>
      <c r="M24" s="1854"/>
      <c r="N24" s="1854"/>
      <c r="O24" s="1854"/>
      <c r="P24" s="3933"/>
      <c r="Q24" s="1382"/>
      <c r="R24" s="1383"/>
      <c r="S24" s="1384"/>
      <c r="T24" s="1383"/>
      <c r="U24" s="1384"/>
      <c r="V24" s="1383"/>
      <c r="W24" s="1384"/>
      <c r="X24" s="1377"/>
      <c r="Y24" s="3933"/>
      <c r="Z24" s="1385"/>
      <c r="AA24" s="1386">
        <v>1</v>
      </c>
      <c r="AB24" s="1386">
        <v>1</v>
      </c>
      <c r="AC24" s="1386">
        <v>1</v>
      </c>
    </row>
    <row r="25" spans="1:29" ht="27">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2"/>
      <c r="M25" s="1854"/>
      <c r="N25" s="1854"/>
      <c r="O25" s="1854"/>
      <c r="P25" s="3933"/>
      <c r="Q25" s="1382" t="str">
        <f>B25</f>
        <v>毗邻道路的类型与等级</v>
      </c>
      <c r="R25" s="1383" t="s">
        <v>5</v>
      </c>
      <c r="S25" s="1384">
        <f>F25</f>
        <v>100</v>
      </c>
      <c r="T25" s="1383" t="s">
        <v>5</v>
      </c>
      <c r="U25" s="1384">
        <f>H25</f>
        <v>100</v>
      </c>
      <c r="V25" s="1383" t="s">
        <v>5</v>
      </c>
      <c r="W25" s="1384">
        <f>J25</f>
        <v>100</v>
      </c>
      <c r="X25" s="1377"/>
      <c r="Y25" s="3933"/>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59"/>
      <c r="L26" s="1862"/>
      <c r="M26" s="1854"/>
      <c r="N26" s="1854"/>
      <c r="O26" s="1854"/>
      <c r="P26" s="3933"/>
      <c r="Q26" s="1382"/>
      <c r="R26" s="1383"/>
      <c r="S26" s="1384"/>
      <c r="T26" s="1383"/>
      <c r="U26" s="1384"/>
      <c r="V26" s="1383"/>
      <c r="W26" s="1384"/>
      <c r="X26" s="1377"/>
      <c r="Y26" s="3933"/>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33"/>
      <c r="Q27" s="1382" t="str">
        <f t="shared" ref="Q27:Q47" si="8">B27</f>
        <v>楼层</v>
      </c>
      <c r="R27" s="1383" t="s">
        <v>5</v>
      </c>
      <c r="S27" s="1384">
        <f>F27</f>
        <v>100</v>
      </c>
      <c r="T27" s="1383" t="s">
        <v>5</v>
      </c>
      <c r="U27" s="1384">
        <f>H27</f>
        <v>100</v>
      </c>
      <c r="V27" s="1383" t="s">
        <v>5</v>
      </c>
      <c r="W27" s="1384">
        <f>J27</f>
        <v>100</v>
      </c>
      <c r="X27" s="1377"/>
      <c r="Y27" s="3933"/>
      <c r="Z27" s="1385" t="str">
        <f>Q27</f>
        <v>楼层</v>
      </c>
      <c r="AA27" s="1386">
        <f t="shared" si="3"/>
        <v>1</v>
      </c>
      <c r="AB27" s="1386">
        <f t="shared" si="4"/>
        <v>1</v>
      </c>
      <c r="AC27" s="1386">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5"/>
      <c r="M28" s="1856"/>
      <c r="N28" s="1856"/>
      <c r="O28" s="1856"/>
      <c r="P28" s="3933"/>
      <c r="Q28" s="1047" t="str">
        <f t="shared" si="8"/>
        <v>朝向</v>
      </c>
      <c r="R28" s="1378" t="s">
        <v>5</v>
      </c>
      <c r="S28" s="1379">
        <f>F28</f>
        <v>100</v>
      </c>
      <c r="T28" s="1378" t="s">
        <v>5</v>
      </c>
      <c r="U28" s="1379">
        <f>H28</f>
        <v>100</v>
      </c>
      <c r="V28" s="1378" t="s">
        <v>5</v>
      </c>
      <c r="W28" s="1379">
        <f>J28</f>
        <v>100</v>
      </c>
      <c r="X28" s="1380"/>
      <c r="Y28" s="3933"/>
      <c r="Z28" s="1046" t="str">
        <f>Q28</f>
        <v>朝向</v>
      </c>
      <c r="AA28" s="1386">
        <f>D28/F28</f>
        <v>1</v>
      </c>
      <c r="AB28" s="1386">
        <f>D28/H28</f>
        <v>1</v>
      </c>
      <c r="AC28" s="1386">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2"/>
      <c r="M29" s="1854"/>
      <c r="N29" s="1854"/>
      <c r="O29" s="1854"/>
      <c r="P29" s="3933"/>
      <c r="Q29" s="1382">
        <f t="shared" si="8"/>
        <v>111</v>
      </c>
      <c r="R29" s="1383" t="s">
        <v>5</v>
      </c>
      <c r="S29" s="1384">
        <f t="shared" ref="S29:S47" si="9">F29</f>
        <v>100</v>
      </c>
      <c r="T29" s="1383" t="s">
        <v>5</v>
      </c>
      <c r="U29" s="1384">
        <f t="shared" ref="U29:U47" si="10">H29</f>
        <v>100</v>
      </c>
      <c r="V29" s="1383" t="s">
        <v>5</v>
      </c>
      <c r="W29" s="1384">
        <f t="shared" ref="W29:W47" si="11">J29</f>
        <v>100</v>
      </c>
      <c r="X29" s="1377"/>
      <c r="Y29" s="3933"/>
      <c r="Z29" s="1385">
        <f t="shared" ref="Z29:Z47" si="12">Q29</f>
        <v>111</v>
      </c>
      <c r="AA29" s="1386">
        <f t="shared" si="3"/>
        <v>1</v>
      </c>
      <c r="AB29" s="1386">
        <f t="shared" si="4"/>
        <v>1</v>
      </c>
      <c r="AC29" s="1386">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2"/>
      <c r="M30" s="1854"/>
      <c r="N30" s="1854"/>
      <c r="O30" s="1854"/>
      <c r="P30" s="3933"/>
      <c r="Q30" s="1382">
        <f t="shared" si="8"/>
        <v>111</v>
      </c>
      <c r="R30" s="1383" t="s">
        <v>5</v>
      </c>
      <c r="S30" s="1384">
        <f t="shared" si="9"/>
        <v>100</v>
      </c>
      <c r="T30" s="1383" t="s">
        <v>5</v>
      </c>
      <c r="U30" s="1384">
        <f t="shared" si="10"/>
        <v>100</v>
      </c>
      <c r="V30" s="1383" t="s">
        <v>5</v>
      </c>
      <c r="W30" s="1384">
        <f t="shared" si="11"/>
        <v>100</v>
      </c>
      <c r="X30" s="1377"/>
      <c r="Y30" s="3933"/>
      <c r="Z30" s="1385">
        <f t="shared" si="12"/>
        <v>111</v>
      </c>
      <c r="AA30" s="1386">
        <f t="shared" si="3"/>
        <v>1</v>
      </c>
      <c r="AB30" s="1386">
        <f t="shared" si="4"/>
        <v>1</v>
      </c>
      <c r="AC30" s="1386">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2"/>
      <c r="M31" s="1854"/>
      <c r="N31" s="1854"/>
      <c r="O31" s="1854"/>
      <c r="P31" s="3933"/>
      <c r="Q31" s="1382">
        <f t="shared" si="8"/>
        <v>111</v>
      </c>
      <c r="R31" s="1383" t="s">
        <v>5</v>
      </c>
      <c r="S31" s="1384">
        <f t="shared" si="9"/>
        <v>100</v>
      </c>
      <c r="T31" s="1383" t="s">
        <v>5</v>
      </c>
      <c r="U31" s="1384">
        <f t="shared" si="10"/>
        <v>100</v>
      </c>
      <c r="V31" s="1383" t="s">
        <v>5</v>
      </c>
      <c r="W31" s="1384">
        <f t="shared" si="11"/>
        <v>100</v>
      </c>
      <c r="X31" s="1377"/>
      <c r="Y31" s="3933"/>
      <c r="Z31" s="1385">
        <f t="shared" si="12"/>
        <v>111</v>
      </c>
      <c r="AA31" s="1386">
        <f t="shared" si="3"/>
        <v>1</v>
      </c>
      <c r="AB31" s="1386">
        <f t="shared" si="4"/>
        <v>1</v>
      </c>
      <c r="AC31" s="1386">
        <f t="shared" si="5"/>
        <v>1</v>
      </c>
    </row>
    <row r="32" spans="1:29" ht="15.75"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2"/>
      <c r="M32" s="1854"/>
      <c r="N32" s="1854"/>
      <c r="O32" s="1854"/>
      <c r="P32" s="3933"/>
      <c r="Q32" s="1382">
        <f t="shared" si="8"/>
        <v>111</v>
      </c>
      <c r="R32" s="1383" t="s">
        <v>5</v>
      </c>
      <c r="S32" s="1384">
        <f t="shared" si="9"/>
        <v>100</v>
      </c>
      <c r="T32" s="1383" t="s">
        <v>5</v>
      </c>
      <c r="U32" s="1384">
        <f t="shared" si="10"/>
        <v>100</v>
      </c>
      <c r="V32" s="1383" t="s">
        <v>5</v>
      </c>
      <c r="W32" s="1384">
        <f t="shared" si="11"/>
        <v>100</v>
      </c>
      <c r="X32" s="1377"/>
      <c r="Y32" s="3933"/>
      <c r="Z32" s="1385">
        <f t="shared" si="12"/>
        <v>111</v>
      </c>
      <c r="AA32" s="1386">
        <f t="shared" si="3"/>
        <v>1</v>
      </c>
      <c r="AB32" s="1386">
        <f t="shared" si="4"/>
        <v>1</v>
      </c>
      <c r="AC32" s="1386">
        <f t="shared" si="5"/>
        <v>1</v>
      </c>
    </row>
    <row r="33" spans="1:29" ht="15">
      <c r="A33" s="2384" t="s">
        <v>2037</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2"/>
      <c r="M33" s="1854"/>
      <c r="N33" s="1854"/>
      <c r="O33" s="1854"/>
      <c r="P33" s="3934" t="s">
        <v>499</v>
      </c>
      <c r="Q33" s="1382" t="str">
        <f t="shared" si="8"/>
        <v>建筑类型</v>
      </c>
      <c r="R33" s="1383" t="s">
        <v>5</v>
      </c>
      <c r="S33" s="1384">
        <f t="shared" si="9"/>
        <v>100</v>
      </c>
      <c r="T33" s="1383" t="s">
        <v>5</v>
      </c>
      <c r="U33" s="1384">
        <f t="shared" si="10"/>
        <v>100</v>
      </c>
      <c r="V33" s="1383" t="s">
        <v>5</v>
      </c>
      <c r="W33" s="1384">
        <f t="shared" si="11"/>
        <v>100</v>
      </c>
      <c r="X33" s="1377"/>
      <c r="Y33" s="3935" t="s">
        <v>499</v>
      </c>
      <c r="Z33" s="1385" t="str">
        <f t="shared" si="12"/>
        <v>建筑类型</v>
      </c>
      <c r="AA33" s="1386">
        <f t="shared" si="3"/>
        <v>1</v>
      </c>
      <c r="AB33" s="1386">
        <f t="shared" si="4"/>
        <v>1</v>
      </c>
      <c r="AC33" s="1386">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35"/>
      <c r="Q34" s="1411" t="str">
        <f t="shared" si="8"/>
        <v>项目建筑规模</v>
      </c>
      <c r="R34" s="1387" t="s">
        <v>5</v>
      </c>
      <c r="S34" s="1388" t="e">
        <f t="shared" si="9"/>
        <v>#N/A</v>
      </c>
      <c r="T34" s="1387" t="s">
        <v>5</v>
      </c>
      <c r="U34" s="1388" t="e">
        <f t="shared" si="10"/>
        <v>#N/A</v>
      </c>
      <c r="V34" s="1387" t="s">
        <v>5</v>
      </c>
      <c r="W34" s="1388" t="e">
        <f t="shared" si="11"/>
        <v>#N/A</v>
      </c>
      <c r="X34" s="1389"/>
      <c r="Y34" s="3935"/>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35"/>
      <c r="Q35" s="1382" t="str">
        <f t="shared" si="8"/>
        <v>建筑结构</v>
      </c>
      <c r="R35" s="1383" t="s">
        <v>5</v>
      </c>
      <c r="S35" s="1384">
        <f t="shared" si="9"/>
        <v>100</v>
      </c>
      <c r="T35" s="1383" t="s">
        <v>5</v>
      </c>
      <c r="U35" s="1384">
        <f t="shared" si="10"/>
        <v>100</v>
      </c>
      <c r="V35" s="1383" t="s">
        <v>5</v>
      </c>
      <c r="W35" s="1384">
        <f t="shared" si="11"/>
        <v>100</v>
      </c>
      <c r="X35" s="1377"/>
      <c r="Y35" s="3935"/>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35"/>
      <c r="Q36" s="1382" t="str">
        <f t="shared" si="8"/>
        <v>公共部分装修</v>
      </c>
      <c r="R36" s="1383" t="s">
        <v>5</v>
      </c>
      <c r="S36" s="1384">
        <f t="shared" si="9"/>
        <v>100</v>
      </c>
      <c r="T36" s="1383" t="s">
        <v>5</v>
      </c>
      <c r="U36" s="1384">
        <f t="shared" si="10"/>
        <v>100</v>
      </c>
      <c r="V36" s="1383" t="s">
        <v>5</v>
      </c>
      <c r="W36" s="1384">
        <f t="shared" si="11"/>
        <v>100</v>
      </c>
      <c r="X36" s="1377"/>
      <c r="Y36" s="3935"/>
      <c r="Z36" s="1385" t="str">
        <f t="shared" si="12"/>
        <v>公共部分装修</v>
      </c>
      <c r="AA36" s="1386">
        <f t="shared" si="3"/>
        <v>1</v>
      </c>
      <c r="AB36" s="1386">
        <f t="shared" si="4"/>
        <v>1</v>
      </c>
      <c r="AC36" s="1386">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2"/>
      <c r="M37" s="1854"/>
      <c r="N37" s="1854"/>
      <c r="O37" s="1854"/>
      <c r="P37" s="3935"/>
      <c r="Q37" s="1382" t="str">
        <f t="shared" si="8"/>
        <v>成新度</v>
      </c>
      <c r="R37" s="1383" t="s">
        <v>5</v>
      </c>
      <c r="S37" s="1384" t="e">
        <f t="shared" si="9"/>
        <v>#N/A</v>
      </c>
      <c r="T37" s="1383" t="s">
        <v>5</v>
      </c>
      <c r="U37" s="1384" t="e">
        <f t="shared" si="10"/>
        <v>#N/A</v>
      </c>
      <c r="V37" s="1383" t="s">
        <v>5</v>
      </c>
      <c r="W37" s="1384" t="e">
        <f t="shared" si="11"/>
        <v>#N/A</v>
      </c>
      <c r="X37" s="1377"/>
      <c r="Y37" s="3935"/>
      <c r="Z37" s="1385" t="str">
        <f t="shared" si="12"/>
        <v>成新度</v>
      </c>
      <c r="AA37" s="1386" t="e">
        <f t="shared" si="3"/>
        <v>#N/A</v>
      </c>
      <c r="AB37" s="1386" t="e">
        <f t="shared" si="4"/>
        <v>#N/A</v>
      </c>
      <c r="AC37" s="1386"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35"/>
      <c r="Q38" s="1047" t="str">
        <f t="shared" si="8"/>
        <v>写字楼等级</v>
      </c>
      <c r="R38" s="1378" t="s">
        <v>5</v>
      </c>
      <c r="S38" s="1379">
        <f t="shared" si="9"/>
        <v>100</v>
      </c>
      <c r="T38" s="1378" t="s">
        <v>5</v>
      </c>
      <c r="U38" s="1379">
        <f t="shared" si="10"/>
        <v>100</v>
      </c>
      <c r="V38" s="1378" t="s">
        <v>5</v>
      </c>
      <c r="W38" s="1379">
        <f t="shared" si="11"/>
        <v>100</v>
      </c>
      <c r="X38" s="1380"/>
      <c r="Y38" s="3935"/>
      <c r="Z38" s="1046"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35" t="s">
        <v>499</v>
      </c>
      <c r="Q39" s="1382" t="str">
        <f t="shared" si="8"/>
        <v>物业管理</v>
      </c>
      <c r="R39" s="1383" t="s">
        <v>5</v>
      </c>
      <c r="S39" s="1384">
        <f t="shared" si="9"/>
        <v>100</v>
      </c>
      <c r="T39" s="1383" t="s">
        <v>5</v>
      </c>
      <c r="U39" s="1384">
        <f t="shared" si="10"/>
        <v>100</v>
      </c>
      <c r="V39" s="1383" t="s">
        <v>5</v>
      </c>
      <c r="W39" s="1384">
        <f t="shared" si="11"/>
        <v>100</v>
      </c>
      <c r="X39" s="1377"/>
      <c r="Y39" s="3935"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35"/>
      <c r="Q40" s="1382" t="str">
        <f t="shared" si="8"/>
        <v>市政基础设施</v>
      </c>
      <c r="R40" s="1383" t="s">
        <v>5</v>
      </c>
      <c r="S40" s="1384">
        <f t="shared" si="9"/>
        <v>100</v>
      </c>
      <c r="T40" s="1383" t="s">
        <v>5</v>
      </c>
      <c r="U40" s="1384">
        <f t="shared" si="10"/>
        <v>100</v>
      </c>
      <c r="V40" s="1383" t="s">
        <v>5</v>
      </c>
      <c r="W40" s="1384">
        <f t="shared" si="11"/>
        <v>100</v>
      </c>
      <c r="X40" s="1377"/>
      <c r="Y40" s="3935"/>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35"/>
      <c r="Q41" s="1382" t="str">
        <f t="shared" si="8"/>
        <v>层高</v>
      </c>
      <c r="R41" s="1383" t="s">
        <v>5</v>
      </c>
      <c r="S41" s="1384">
        <f t="shared" si="9"/>
        <v>100</v>
      </c>
      <c r="T41" s="1383" t="s">
        <v>5</v>
      </c>
      <c r="U41" s="1384">
        <f t="shared" si="10"/>
        <v>100</v>
      </c>
      <c r="V41" s="1383" t="s">
        <v>5</v>
      </c>
      <c r="W41" s="1384">
        <f t="shared" si="11"/>
        <v>100</v>
      </c>
      <c r="X41" s="1377"/>
      <c r="Y41" s="3935"/>
      <c r="Z41" s="1385" t="str">
        <f t="shared" si="12"/>
        <v>层高</v>
      </c>
      <c r="AA41" s="1386">
        <f t="shared" si="3"/>
        <v>1</v>
      </c>
      <c r="AB41" s="1386">
        <f t="shared" si="4"/>
        <v>1</v>
      </c>
      <c r="AC41" s="1386">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35"/>
      <c r="Q42" s="1411" t="str">
        <f t="shared" si="8"/>
        <v>单套建筑面积</v>
      </c>
      <c r="R42" s="1387" t="s">
        <v>5</v>
      </c>
      <c r="S42" s="1388">
        <f t="shared" si="9"/>
        <v>100</v>
      </c>
      <c r="T42" s="1387" t="s">
        <v>5</v>
      </c>
      <c r="U42" s="1388">
        <f t="shared" si="10"/>
        <v>100</v>
      </c>
      <c r="V42" s="1387" t="s">
        <v>5</v>
      </c>
      <c r="W42" s="1388">
        <f t="shared" si="11"/>
        <v>100</v>
      </c>
      <c r="X42" s="1389"/>
      <c r="Y42" s="3935"/>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35"/>
      <c r="Q43" s="1382" t="str">
        <f t="shared" si="8"/>
        <v>内部装修</v>
      </c>
      <c r="R43" s="1383" t="s">
        <v>5</v>
      </c>
      <c r="S43" s="1384">
        <f t="shared" si="9"/>
        <v>100</v>
      </c>
      <c r="T43" s="1383" t="s">
        <v>5</v>
      </c>
      <c r="U43" s="1384">
        <f t="shared" si="10"/>
        <v>100</v>
      </c>
      <c r="V43" s="1383" t="s">
        <v>5</v>
      </c>
      <c r="W43" s="1384">
        <f t="shared" si="11"/>
        <v>100</v>
      </c>
      <c r="X43" s="1377"/>
      <c r="Y43" s="3935"/>
      <c r="Z43" s="1385" t="str">
        <f t="shared" si="12"/>
        <v>内部装修</v>
      </c>
      <c r="AA43" s="1386">
        <f t="shared" si="3"/>
        <v>1</v>
      </c>
      <c r="AB43" s="1386">
        <f t="shared" si="4"/>
        <v>1</v>
      </c>
      <c r="AC43" s="1386">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35"/>
      <c r="Q44" s="1382" t="str">
        <f t="shared" si="8"/>
        <v>内部装修维护情况</v>
      </c>
      <c r="R44" s="1383" t="s">
        <v>5</v>
      </c>
      <c r="S44" s="1384">
        <f t="shared" si="9"/>
        <v>100</v>
      </c>
      <c r="T44" s="1383" t="s">
        <v>5</v>
      </c>
      <c r="U44" s="1384">
        <f t="shared" si="10"/>
        <v>100</v>
      </c>
      <c r="V44" s="1383" t="s">
        <v>5</v>
      </c>
      <c r="W44" s="1384">
        <f t="shared" si="11"/>
        <v>100</v>
      </c>
      <c r="X44" s="1377"/>
      <c r="Y44" s="3935"/>
      <c r="Z44" s="1385" t="str">
        <f t="shared" si="12"/>
        <v>内部装修维护情况</v>
      </c>
      <c r="AA44" s="1386">
        <f t="shared" si="3"/>
        <v>1</v>
      </c>
      <c r="AB44" s="1386">
        <f t="shared" si="4"/>
        <v>1</v>
      </c>
      <c r="AC44" s="1386">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35"/>
      <c r="Q45" s="1047">
        <f t="shared" si="8"/>
        <v>111</v>
      </c>
      <c r="R45" s="1378" t="s">
        <v>5</v>
      </c>
      <c r="S45" s="1379">
        <f t="shared" si="9"/>
        <v>100</v>
      </c>
      <c r="T45" s="1378" t="s">
        <v>5</v>
      </c>
      <c r="U45" s="1379">
        <f t="shared" si="10"/>
        <v>100</v>
      </c>
      <c r="V45" s="1378" t="s">
        <v>5</v>
      </c>
      <c r="W45" s="1379">
        <f t="shared" si="11"/>
        <v>100</v>
      </c>
      <c r="X45" s="1380"/>
      <c r="Y45" s="3935"/>
      <c r="Z45" s="1046">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35"/>
      <c r="Q46" s="1382">
        <f t="shared" si="8"/>
        <v>111</v>
      </c>
      <c r="R46" s="1383" t="s">
        <v>5</v>
      </c>
      <c r="S46" s="1384">
        <f t="shared" si="9"/>
        <v>100</v>
      </c>
      <c r="T46" s="1383" t="s">
        <v>5</v>
      </c>
      <c r="U46" s="1384">
        <f t="shared" si="10"/>
        <v>100</v>
      </c>
      <c r="V46" s="1383" t="s">
        <v>5</v>
      </c>
      <c r="W46" s="1384">
        <f t="shared" si="11"/>
        <v>100</v>
      </c>
      <c r="X46" s="1377"/>
      <c r="Y46" s="3935"/>
      <c r="Z46" s="1385">
        <f t="shared" si="12"/>
        <v>111</v>
      </c>
      <c r="AA46" s="1386">
        <f t="shared" si="3"/>
        <v>1</v>
      </c>
      <c r="AB46" s="1386">
        <f t="shared" si="4"/>
        <v>1</v>
      </c>
      <c r="AC46" s="1386">
        <f t="shared" si="5"/>
        <v>1</v>
      </c>
    </row>
    <row r="47" spans="1:29" ht="15.75"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4005"/>
      <c r="Q47" s="1382">
        <f t="shared" si="8"/>
        <v>111</v>
      </c>
      <c r="R47" s="1383" t="s">
        <v>5</v>
      </c>
      <c r="S47" s="1384">
        <f t="shared" si="9"/>
        <v>100</v>
      </c>
      <c r="T47" s="1383" t="s">
        <v>5</v>
      </c>
      <c r="U47" s="1384">
        <f t="shared" si="10"/>
        <v>100</v>
      </c>
      <c r="V47" s="1383" t="s">
        <v>5</v>
      </c>
      <c r="W47" s="1384">
        <f t="shared" si="11"/>
        <v>100</v>
      </c>
      <c r="X47" s="1377"/>
      <c r="Y47" s="4005"/>
      <c r="Z47" s="1385">
        <f t="shared" si="12"/>
        <v>111</v>
      </c>
      <c r="AA47" s="1386">
        <f t="shared" si="3"/>
        <v>1</v>
      </c>
      <c r="AB47" s="1386">
        <f t="shared" si="4"/>
        <v>1</v>
      </c>
      <c r="AC47" s="1386">
        <f t="shared" si="5"/>
        <v>1</v>
      </c>
    </row>
    <row r="48" spans="1:29" ht="15">
      <c r="A48" s="576" t="s">
        <v>683</v>
      </c>
      <c r="B48" s="847"/>
      <c r="C48" s="2231" t="s">
        <v>0</v>
      </c>
      <c r="D48" s="2232"/>
      <c r="E48" s="2233"/>
      <c r="F48" s="2234"/>
      <c r="G48" s="2235"/>
      <c r="H48" s="2236"/>
      <c r="I48" s="2233"/>
      <c r="J48" s="2236"/>
      <c r="K48" s="1416"/>
      <c r="L48" s="1864"/>
      <c r="M48" s="1854"/>
      <c r="N48" s="1854"/>
      <c r="O48" s="1854"/>
      <c r="P48" s="3937" t="str">
        <f>A48</f>
        <v>成交单价（元/平方米）</v>
      </c>
      <c r="Q48" s="3898"/>
      <c r="R48" s="4004">
        <f>E48</f>
        <v>0</v>
      </c>
      <c r="S48" s="4004"/>
      <c r="T48" s="4004">
        <f>G48</f>
        <v>0</v>
      </c>
      <c r="U48" s="4004"/>
      <c r="V48" s="4004">
        <f>I48</f>
        <v>0</v>
      </c>
      <c r="W48" s="4004"/>
      <c r="X48" s="1372"/>
      <c r="Y48" s="1391"/>
      <c r="Z48" s="1372"/>
      <c r="AA48" s="1372"/>
      <c r="AB48" s="1372"/>
      <c r="AC48" s="1372"/>
    </row>
    <row r="49" spans="1:29" ht="15.75" thickBot="1">
      <c r="A49" s="584" t="s">
        <v>2042</v>
      </c>
      <c r="B49" s="848"/>
      <c r="C49" s="2237" t="e">
        <f>R50</f>
        <v>#DIV/0!</v>
      </c>
      <c r="D49" s="2754" t="s">
        <v>2251</v>
      </c>
      <c r="E49" s="2238" t="e">
        <f>R49</f>
        <v>#DIV/0!</v>
      </c>
      <c r="F49" s="2755"/>
      <c r="G49" s="2237" t="e">
        <f>T49</f>
        <v>#DIV/0!</v>
      </c>
      <c r="H49" s="2755"/>
      <c r="I49" s="2238" t="e">
        <f>V49</f>
        <v>#DIV/0!</v>
      </c>
      <c r="J49" s="2755"/>
      <c r="K49" s="2763">
        <f>F49+H49+J49</f>
        <v>0</v>
      </c>
      <c r="L49" s="1864"/>
      <c r="M49" s="1854"/>
      <c r="N49" s="1854"/>
      <c r="O49" s="1854"/>
      <c r="P49" s="3937" t="str">
        <f>A49</f>
        <v>比较价格（元/平方米）</v>
      </c>
      <c r="Q49" s="3898"/>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1372"/>
      <c r="Y49" s="1372"/>
      <c r="Z49" s="1372"/>
      <c r="AA49" s="1372"/>
      <c r="AB49" s="1372"/>
      <c r="AC49" s="1372"/>
    </row>
    <row r="50" spans="1:29" ht="15.75" thickBot="1">
      <c r="A50" s="588" t="s">
        <v>2188</v>
      </c>
      <c r="B50" s="589"/>
      <c r="C50" s="2239" t="e">
        <f>R50</f>
        <v>#DIV/0!</v>
      </c>
      <c r="D50" s="2239"/>
      <c r="E50" s="2239"/>
      <c r="F50" s="2239"/>
      <c r="G50" s="2239"/>
      <c r="H50" s="2239"/>
      <c r="I50" s="2239"/>
      <c r="J50" s="2239"/>
      <c r="K50" s="1417"/>
      <c r="L50" s="1864"/>
      <c r="M50" s="1854"/>
      <c r="N50" s="1854"/>
      <c r="O50" s="1854"/>
      <c r="P50" s="4027" t="str">
        <f>A50</f>
        <v>估价对象XX用房的比较价格（楼面单价，元/平方米）</v>
      </c>
      <c r="Q50" s="3937"/>
      <c r="R50" s="4003" t="e">
        <f>IF(F1="售价",ROUND(IF(D49="简单平均",AVERAGE(R49:V49),R49*F49+T49*H49+V49*J49),0),ROUND(IF(D49="简单平均",AVERAGE(R49:V49),R49*F49+T49*H49+V49*J49),1))</f>
        <v>#DIV/0!</v>
      </c>
      <c r="S50" s="4003"/>
      <c r="T50" s="4003"/>
      <c r="U50" s="4003"/>
      <c r="V50" s="4003"/>
      <c r="W50" s="4003"/>
      <c r="X50" s="1372"/>
      <c r="Y50" s="1372"/>
      <c r="Z50" s="1372"/>
      <c r="AA50" s="1372"/>
      <c r="AB50" s="1372"/>
      <c r="AC50" s="1372"/>
    </row>
    <row r="51" spans="1:29">
      <c r="A51" s="2954"/>
      <c r="B51" s="2954"/>
      <c r="C51" s="2954"/>
      <c r="D51" s="2954"/>
      <c r="E51" s="2954"/>
      <c r="F51" s="2954"/>
      <c r="G51" s="2956"/>
      <c r="H51" s="2954"/>
      <c r="I51" s="2954"/>
      <c r="J51" s="2954"/>
      <c r="K51" s="2957"/>
      <c r="L51" s="1869"/>
      <c r="M51" s="1865"/>
      <c r="N51" s="1865"/>
      <c r="O51" s="1865"/>
      <c r="P51" s="1924"/>
      <c r="Q51" s="1865"/>
      <c r="R51" s="1865"/>
      <c r="S51" s="1865"/>
      <c r="T51" s="1865"/>
      <c r="U51" s="1865"/>
      <c r="V51" s="1865"/>
      <c r="W51" s="1865"/>
      <c r="X51" s="1865"/>
      <c r="Y51" s="1865"/>
      <c r="Z51" s="1865"/>
      <c r="AA51" s="1865"/>
      <c r="AB51" s="1865"/>
      <c r="AC51" s="1865"/>
    </row>
    <row r="52" spans="1:29">
      <c r="A52" s="2954"/>
      <c r="B52" s="2954"/>
      <c r="C52" s="2954"/>
      <c r="D52" s="2954"/>
      <c r="E52" s="2954"/>
      <c r="F52" s="2954"/>
      <c r="G52" s="2954"/>
      <c r="H52" s="2954"/>
      <c r="I52" s="2954"/>
      <c r="J52" s="2954"/>
      <c r="K52" s="2957"/>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4"/>
      <c r="B53" s="2954"/>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7"/>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4"/>
      <c r="B54" s="2954"/>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7"/>
      <c r="L54" s="1869"/>
      <c r="M54" s="1865"/>
      <c r="N54" s="1865"/>
      <c r="O54" s="1865"/>
      <c r="P54" s="1924"/>
      <c r="Q54" s="1865"/>
      <c r="R54" s="1865"/>
      <c r="S54" s="1865"/>
      <c r="T54" s="1865"/>
      <c r="U54" s="1865"/>
      <c r="V54" s="1865"/>
      <c r="W54" s="1865"/>
      <c r="X54" s="1865"/>
      <c r="Y54" s="1865"/>
      <c r="Z54" s="1865"/>
      <c r="AA54" s="1865"/>
      <c r="AB54" s="1865"/>
      <c r="AC54" s="1865"/>
    </row>
    <row r="55" spans="1:29" s="1202" customFormat="1" ht="13.5" customHeight="1">
      <c r="A55" s="2955"/>
      <c r="B55" s="2955"/>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8"/>
      <c r="L55" s="1872"/>
      <c r="M55" s="1866"/>
      <c r="N55" s="1866"/>
      <c r="O55" s="1866"/>
      <c r="P55" s="1925"/>
      <c r="Q55" s="1866"/>
      <c r="R55" s="1866"/>
      <c r="S55" s="1866"/>
      <c r="T55" s="1866"/>
      <c r="U55" s="1866"/>
      <c r="V55" s="1866"/>
      <c r="W55" s="1866"/>
      <c r="X55" s="1866"/>
      <c r="Y55" s="1866"/>
      <c r="Z55" s="1866"/>
      <c r="AA55" s="1866"/>
      <c r="AB55" s="1866"/>
      <c r="AC55" s="1866"/>
    </row>
    <row r="56" spans="1:29" s="1202"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4" customFormat="1" ht="15">
      <c r="A59" s="612" t="s">
        <v>478</v>
      </c>
      <c r="B59" s="613"/>
      <c r="C59" s="2279" t="str">
        <f>YEAR(C7)&amp;"-"&amp;MONTH(C7)</f>
        <v>2023-7</v>
      </c>
      <c r="D59" s="2281">
        <f>EDATE(C59,-1)</f>
        <v>45078</v>
      </c>
      <c r="E59" s="2281">
        <f t="shared" ref="E59:O59" si="13">EDATE(D59,-1)</f>
        <v>45047</v>
      </c>
      <c r="F59" s="2281">
        <f t="shared" si="13"/>
        <v>45017</v>
      </c>
      <c r="G59" s="2281">
        <f t="shared" si="13"/>
        <v>44986</v>
      </c>
      <c r="H59" s="2281">
        <f t="shared" si="13"/>
        <v>44958</v>
      </c>
      <c r="I59" s="2281">
        <f t="shared" si="13"/>
        <v>44927</v>
      </c>
      <c r="J59" s="2281">
        <f t="shared" si="13"/>
        <v>44896</v>
      </c>
      <c r="K59" s="2281">
        <f t="shared" si="13"/>
        <v>44866</v>
      </c>
      <c r="L59" s="2281">
        <f t="shared" si="13"/>
        <v>44835</v>
      </c>
      <c r="M59" s="2281">
        <f t="shared" si="13"/>
        <v>44805</v>
      </c>
      <c r="N59" s="2281">
        <f t="shared" si="13"/>
        <v>44774</v>
      </c>
      <c r="O59" s="2281">
        <f t="shared" si="13"/>
        <v>44743</v>
      </c>
      <c r="P59" s="1927"/>
      <c r="Q59" s="1880"/>
      <c r="R59" s="1880"/>
      <c r="S59" s="1880"/>
      <c r="T59" s="1880"/>
      <c r="U59" s="1880"/>
      <c r="V59" s="1880"/>
      <c r="W59" s="1880"/>
      <c r="X59" s="1880"/>
      <c r="Y59" s="1880"/>
      <c r="Z59" s="1880"/>
      <c r="AA59" s="1880"/>
      <c r="AB59" s="1880"/>
      <c r="AC59" s="1880"/>
    </row>
    <row r="60" spans="1:29" s="1115" customFormat="1" ht="15">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5" customFormat="1" ht="15.7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5" customFormat="1" ht="15">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5" customFormat="1" ht="15.75" thickBot="1">
      <c r="A63" s="626"/>
      <c r="B63" s="615"/>
      <c r="C63" s="849">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5.75"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7.75"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5.75"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7" customFormat="1" ht="15.75"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7" customFormat="1" ht="15.75"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7" customFormat="1" ht="15.75"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7" customFormat="1" ht="15.75"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7" customFormat="1" ht="15.75"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7" customFormat="1" ht="15.75"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7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7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7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5.75" thickBot="1">
      <c r="A84" s="636"/>
      <c r="B84" s="648"/>
      <c r="C84" s="646">
        <v>100</v>
      </c>
      <c r="D84" s="646">
        <f>C84-$K21</f>
        <v>100</v>
      </c>
      <c r="E84" s="646">
        <f>D84-$K21</f>
        <v>100</v>
      </c>
      <c r="F84" s="646">
        <f>E84-$K21</f>
        <v>100</v>
      </c>
      <c r="G84" s="646">
        <f>F84-$K21</f>
        <v>100</v>
      </c>
      <c r="H84" s="895"/>
      <c r="I84" s="895"/>
      <c r="J84" s="895"/>
      <c r="K84" s="895"/>
      <c r="L84" s="895"/>
      <c r="M84" s="528"/>
      <c r="N84" s="1885"/>
      <c r="O84" s="1885"/>
      <c r="P84" s="1930"/>
      <c r="Q84" s="1877"/>
      <c r="R84" s="1865"/>
      <c r="S84" s="1865"/>
      <c r="T84" s="1865"/>
      <c r="U84" s="1865"/>
      <c r="V84" s="1865"/>
      <c r="W84" s="1865"/>
      <c r="X84" s="1865"/>
      <c r="Y84" s="1865"/>
      <c r="Z84" s="1865"/>
      <c r="AA84" s="1865"/>
      <c r="AB84" s="1865"/>
      <c r="AC84" s="1865"/>
    </row>
    <row r="85" spans="1:29" ht="15.7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5" customFormat="1" ht="27.75" thickTop="1">
      <c r="A87" s="676"/>
      <c r="B87" s="640" t="s">
        <v>725</v>
      </c>
      <c r="C87" s="655"/>
      <c r="D87" s="655"/>
      <c r="E87" s="655"/>
      <c r="F87" s="655"/>
      <c r="G87" s="655"/>
      <c r="H87" s="655"/>
      <c r="I87" s="655"/>
      <c r="J87" s="655"/>
      <c r="K87" s="655"/>
      <c r="L87" s="850"/>
      <c r="M87" s="851"/>
      <c r="N87" s="1881"/>
      <c r="O87" s="1881"/>
      <c r="P87" s="1930"/>
      <c r="Q87" s="1877"/>
      <c r="R87" s="1743"/>
      <c r="S87" s="1743"/>
      <c r="T87" s="1743"/>
      <c r="U87" s="1743"/>
      <c r="V87" s="1743"/>
      <c r="W87" s="1743"/>
      <c r="X87" s="1743"/>
      <c r="Y87" s="1743"/>
      <c r="Z87" s="1743"/>
      <c r="AA87" s="1743"/>
      <c r="AB87" s="1743"/>
      <c r="AC87" s="1743"/>
    </row>
    <row r="88" spans="1:29" s="1115"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5" customFormat="1" ht="15.75" thickTop="1">
      <c r="A89" s="676"/>
      <c r="B89" s="640" t="str">
        <f>B27</f>
        <v>楼层</v>
      </c>
      <c r="C89" s="655"/>
      <c r="D89" s="655"/>
      <c r="E89" s="655"/>
      <c r="F89" s="852"/>
      <c r="G89" s="655"/>
      <c r="H89" s="655"/>
      <c r="I89" s="655"/>
      <c r="J89" s="655"/>
      <c r="K89" s="655"/>
      <c r="L89" s="655"/>
      <c r="M89" s="851"/>
      <c r="N89" s="1881"/>
      <c r="O89" s="1881"/>
      <c r="P89" s="1930"/>
      <c r="Q89" s="1877"/>
      <c r="R89" s="1743"/>
      <c r="S89" s="1743"/>
      <c r="T89" s="1743"/>
      <c r="U89" s="1743"/>
      <c r="V89" s="1743"/>
      <c r="W89" s="1743"/>
      <c r="X89" s="1743"/>
      <c r="Y89" s="1743"/>
      <c r="Z89" s="1743"/>
      <c r="AA89" s="1743"/>
      <c r="AB89" s="1743"/>
      <c r="AC89" s="1743"/>
    </row>
    <row r="90" spans="1:29" s="1115"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7" customFormat="1" ht="15.75"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7"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6"/>
      <c r="B93" s="640">
        <f>B29</f>
        <v>111</v>
      </c>
      <c r="C93" s="655"/>
      <c r="D93" s="655"/>
      <c r="E93" s="655"/>
      <c r="F93" s="655"/>
      <c r="G93" s="655"/>
      <c r="H93" s="655"/>
      <c r="I93" s="655"/>
      <c r="J93" s="655"/>
      <c r="K93" s="655"/>
      <c r="L93" s="850"/>
      <c r="M93" s="851"/>
      <c r="N93" s="1883"/>
      <c r="O93" s="1883"/>
      <c r="P93" s="1930"/>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5.75"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5.75"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5.75"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5.75"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5.75"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5.75" thickBot="1">
      <c r="A100" s="853"/>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7"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7" customFormat="1" ht="15.75"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4">
        <v>0.5</v>
      </c>
      <c r="D111" s="854">
        <v>0.6</v>
      </c>
      <c r="E111" s="854">
        <v>0.7</v>
      </c>
      <c r="F111" s="854">
        <v>0.8</v>
      </c>
      <c r="G111" s="854">
        <v>0.9</v>
      </c>
      <c r="H111" s="854">
        <v>1.0001</v>
      </c>
      <c r="I111" s="865"/>
      <c r="J111" s="865"/>
      <c r="K111" s="866"/>
      <c r="L111" s="867"/>
      <c r="M111" s="868"/>
      <c r="N111" s="1883"/>
      <c r="O111" s="1883"/>
      <c r="P111" s="1930"/>
      <c r="Q111" s="1877"/>
      <c r="R111" s="1865"/>
      <c r="S111" s="1865"/>
      <c r="T111" s="1865"/>
      <c r="U111" s="1865"/>
      <c r="V111" s="1865"/>
      <c r="W111" s="1865"/>
      <c r="X111" s="1865"/>
      <c r="Y111" s="1865"/>
      <c r="Z111" s="1865"/>
      <c r="AA111" s="1865"/>
      <c r="AB111" s="1865"/>
      <c r="AC111" s="1865"/>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7"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7"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7" t="s">
        <v>727</v>
      </c>
      <c r="C119" s="685"/>
      <c r="D119" s="685"/>
      <c r="E119" s="685"/>
      <c r="F119" s="685"/>
      <c r="G119" s="685"/>
      <c r="H119" s="685"/>
      <c r="I119" s="685"/>
      <c r="J119" s="685"/>
      <c r="K119" s="685"/>
      <c r="L119" s="878"/>
      <c r="M119" s="879"/>
      <c r="N119" s="1885"/>
      <c r="O119" s="1885"/>
      <c r="P119" s="1935"/>
      <c r="Q119" s="1923"/>
      <c r="R119" s="1865"/>
      <c r="S119" s="1865"/>
      <c r="T119" s="1865"/>
      <c r="U119" s="1865"/>
      <c r="V119" s="1865"/>
      <c r="W119" s="1865"/>
      <c r="X119" s="1865"/>
      <c r="Y119" s="1865"/>
      <c r="Z119" s="1865"/>
      <c r="AA119" s="1865"/>
      <c r="AB119" s="1865"/>
      <c r="AC119" s="1865"/>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7"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7" customFormat="1" ht="15.75"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7" customFormat="1" ht="15"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7" customFormat="1" ht="15.75"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5"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5.75"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5"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5.75" thickBot="1">
      <c r="A132" s="853"/>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M43" activeCellId="1" sqref="F20 M4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728</v>
      </c>
      <c r="C1" s="473" t="s">
        <v>667</v>
      </c>
      <c r="D1" s="813"/>
      <c r="E1" s="475"/>
      <c r="F1" s="2284"/>
      <c r="G1" s="1407" t="s">
        <v>668</v>
      </c>
      <c r="H1" s="475"/>
      <c r="I1" s="475"/>
      <c r="J1" s="475"/>
      <c r="K1" s="476"/>
      <c r="L1" s="2950"/>
      <c r="M1" s="2951"/>
      <c r="N1" s="2951"/>
      <c r="O1" s="2951"/>
      <c r="P1" s="1852"/>
      <c r="Q1" s="1852"/>
      <c r="R1" s="1852"/>
      <c r="S1" s="1852"/>
      <c r="T1" s="1852"/>
      <c r="U1" s="1852"/>
      <c r="V1" s="1852"/>
      <c r="W1" s="1852"/>
      <c r="X1" s="1852"/>
      <c r="Y1" s="1852"/>
      <c r="Z1" s="1852"/>
      <c r="AA1" s="1852"/>
      <c r="AB1" s="1852"/>
      <c r="AC1" s="1782"/>
    </row>
    <row r="2" spans="1:29" s="1194"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4"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1" t="s">
        <v>470</v>
      </c>
      <c r="B4" s="482"/>
      <c r="C4" s="3904" t="s">
        <v>471</v>
      </c>
      <c r="D4" s="3905"/>
      <c r="E4" s="3940" t="s">
        <v>472</v>
      </c>
      <c r="F4" s="3941"/>
      <c r="G4" s="3904" t="s">
        <v>473</v>
      </c>
      <c r="H4" s="3905"/>
      <c r="I4" s="3904" t="s">
        <v>474</v>
      </c>
      <c r="J4" s="3905"/>
      <c r="K4" s="483" t="s">
        <v>475</v>
      </c>
      <c r="L4" s="1853"/>
      <c r="M4" s="1854"/>
      <c r="N4" s="1854"/>
      <c r="O4" s="1854"/>
      <c r="P4" s="3906" t="s">
        <v>476</v>
      </c>
      <c r="Q4" s="3907"/>
      <c r="R4" s="3912" t="s">
        <v>472</v>
      </c>
      <c r="S4" s="3913"/>
      <c r="T4" s="3912" t="s">
        <v>473</v>
      </c>
      <c r="U4" s="3913"/>
      <c r="V4" s="3899" t="s">
        <v>474</v>
      </c>
      <c r="W4" s="3899"/>
      <c r="X4" s="1377"/>
      <c r="Y4" s="3912" t="s">
        <v>476</v>
      </c>
      <c r="Z4" s="3913"/>
      <c r="AA4" s="3901" t="s">
        <v>472</v>
      </c>
      <c r="AB4" s="3902" t="s">
        <v>473</v>
      </c>
      <c r="AC4" s="3901" t="s">
        <v>474</v>
      </c>
    </row>
    <row r="5" spans="1:29" ht="15">
      <c r="A5" s="484"/>
      <c r="B5" s="485"/>
      <c r="C5" s="3920" t="s">
        <v>2182</v>
      </c>
      <c r="D5" s="3921"/>
      <c r="E5" s="3942" t="s">
        <v>2183</v>
      </c>
      <c r="F5" s="3943"/>
      <c r="G5" s="3920" t="s">
        <v>2184</v>
      </c>
      <c r="H5" s="3921"/>
      <c r="I5" s="3920" t="s">
        <v>2185</v>
      </c>
      <c r="J5" s="3921"/>
      <c r="K5" s="483"/>
      <c r="L5" s="1853"/>
      <c r="M5" s="1854"/>
      <c r="N5" s="1854"/>
      <c r="O5" s="1854"/>
      <c r="P5" s="3908"/>
      <c r="Q5" s="3909"/>
      <c r="R5" s="3914"/>
      <c r="S5" s="3915"/>
      <c r="T5" s="3914"/>
      <c r="U5" s="3915"/>
      <c r="V5" s="3899"/>
      <c r="W5" s="3899"/>
      <c r="X5" s="1377"/>
      <c r="Y5" s="3914"/>
      <c r="Z5" s="3915"/>
      <c r="AA5" s="3902"/>
      <c r="AB5" s="3902"/>
      <c r="AC5" s="3902"/>
    </row>
    <row r="6" spans="1:29" ht="15.75" thickBot="1">
      <c r="A6" s="486"/>
      <c r="B6" s="487"/>
      <c r="C6" s="3918" t="s">
        <v>2186</v>
      </c>
      <c r="D6" s="3919"/>
      <c r="E6" s="3938" t="s">
        <v>2186</v>
      </c>
      <c r="F6" s="3939"/>
      <c r="G6" s="3918" t="s">
        <v>2186</v>
      </c>
      <c r="H6" s="3919"/>
      <c r="I6" s="3918" t="s">
        <v>2186</v>
      </c>
      <c r="J6" s="3919"/>
      <c r="K6" s="483" t="s">
        <v>477</v>
      </c>
      <c r="L6" s="1853"/>
      <c r="M6" s="1854"/>
      <c r="N6" s="1854"/>
      <c r="O6" s="1854"/>
      <c r="P6" s="3910"/>
      <c r="Q6" s="3911"/>
      <c r="R6" s="3914"/>
      <c r="S6" s="3915"/>
      <c r="T6" s="3916"/>
      <c r="U6" s="3917"/>
      <c r="V6" s="3899"/>
      <c r="W6" s="3899"/>
      <c r="X6" s="1377"/>
      <c r="Y6" s="3916"/>
      <c r="Z6" s="3917"/>
      <c r="AA6" s="3903"/>
      <c r="AB6" s="3903"/>
      <c r="AC6" s="3903"/>
    </row>
    <row r="7" spans="1:29" s="1115" customFormat="1" ht="15.75" thickBot="1">
      <c r="A7" s="2389"/>
      <c r="B7" s="2396" t="s">
        <v>478</v>
      </c>
      <c r="C7" s="488">
        <f>'数据-取费表'!B2</f>
        <v>45138</v>
      </c>
      <c r="D7" s="489">
        <v>100</v>
      </c>
      <c r="E7" s="490"/>
      <c r="F7" s="491">
        <f>SUMIF(52:52,YEAR(E7)&amp;"-"&amp;MONTH(E7),53:53)</f>
        <v>0</v>
      </c>
      <c r="G7" s="490"/>
      <c r="H7" s="489">
        <f>SUMIF(52:52,YEAR(G7)&amp;"-"&amp;MONTH(G7),53:53)</f>
        <v>0</v>
      </c>
      <c r="I7" s="490"/>
      <c r="J7" s="489">
        <f>SUMIF(52:52,YEAR(I7)&amp;"-"&amp;MONTH(I7),53:53)</f>
        <v>0</v>
      </c>
      <c r="K7" s="493"/>
      <c r="L7" s="1855"/>
      <c r="M7" s="1856"/>
      <c r="N7" s="1856"/>
      <c r="O7" s="1856"/>
      <c r="P7" s="3929" t="s">
        <v>479</v>
      </c>
      <c r="Q7" s="3931"/>
      <c r="R7" s="1378" t="s">
        <v>5</v>
      </c>
      <c r="S7" s="1379">
        <f t="shared" ref="S7:S15" si="0">F7</f>
        <v>0</v>
      </c>
      <c r="T7" s="1378" t="s">
        <v>5</v>
      </c>
      <c r="U7" s="1379">
        <f t="shared" ref="U7:U15" si="1">H7</f>
        <v>0</v>
      </c>
      <c r="V7" s="1378" t="s">
        <v>5</v>
      </c>
      <c r="W7" s="1379">
        <f t="shared" ref="W7:W15" si="2">J7</f>
        <v>0</v>
      </c>
      <c r="X7" s="1380"/>
      <c r="Y7" s="3929" t="s">
        <v>479</v>
      </c>
      <c r="Z7" s="3930"/>
      <c r="AA7" s="1381" t="e">
        <f>D7/F7</f>
        <v>#DIV/0!</v>
      </c>
      <c r="AB7" s="1381" t="e">
        <f>D7/H7</f>
        <v>#DIV/0!</v>
      </c>
      <c r="AC7" s="1381" t="e">
        <f>D7/J7</f>
        <v>#DIV/0!</v>
      </c>
    </row>
    <row r="8" spans="1:29" s="1115" customFormat="1" ht="15.75" thickBot="1">
      <c r="A8" s="2390"/>
      <c r="B8" s="2397"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929" t="s">
        <v>482</v>
      </c>
      <c r="Q8" s="3930"/>
      <c r="R8" s="1378" t="s">
        <v>5</v>
      </c>
      <c r="S8" s="1379">
        <f t="shared" si="0"/>
        <v>0</v>
      </c>
      <c r="T8" s="1378" t="s">
        <v>5</v>
      </c>
      <c r="U8" s="1379">
        <f t="shared" si="1"/>
        <v>0</v>
      </c>
      <c r="V8" s="1378" t="s">
        <v>5</v>
      </c>
      <c r="W8" s="1379">
        <f t="shared" si="2"/>
        <v>0</v>
      </c>
      <c r="X8" s="1380"/>
      <c r="Y8" s="3929" t="s">
        <v>482</v>
      </c>
      <c r="Z8" s="3930"/>
      <c r="AA8" s="1381" t="e">
        <f t="shared" ref="AA8:AA40" si="3">D8/F8</f>
        <v>#DIV/0!</v>
      </c>
      <c r="AB8" s="1381" t="e">
        <f t="shared" ref="AB8:AB40" si="4">D8/H8</f>
        <v>#DIV/0!</v>
      </c>
      <c r="AC8" s="1381" t="e">
        <f t="shared" ref="AC8:AC40" si="5">D8/J8</f>
        <v>#DIV/0!</v>
      </c>
    </row>
    <row r="9" spans="1:29" s="1115" customFormat="1" ht="15">
      <c r="A9" s="2391"/>
      <c r="B9" s="2398"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898" t="s">
        <v>484</v>
      </c>
      <c r="Q9" s="1047" t="str">
        <f t="shared" ref="Q9:Q15" si="6">B9</f>
        <v>用途</v>
      </c>
      <c r="R9" s="1378" t="s">
        <v>5</v>
      </c>
      <c r="S9" s="1379">
        <f t="shared" si="0"/>
        <v>100</v>
      </c>
      <c r="T9" s="1378" t="s">
        <v>5</v>
      </c>
      <c r="U9" s="1379">
        <f t="shared" si="1"/>
        <v>100</v>
      </c>
      <c r="V9" s="1378" t="s">
        <v>5</v>
      </c>
      <c r="W9" s="1379">
        <f t="shared" si="2"/>
        <v>100</v>
      </c>
      <c r="X9" s="1380"/>
      <c r="Y9" s="3842" t="s">
        <v>485</v>
      </c>
      <c r="Z9" s="1046" t="str">
        <f t="shared" ref="Z9:Z15" si="7">Q9</f>
        <v>用途</v>
      </c>
      <c r="AA9" s="1381">
        <f t="shared" si="3"/>
        <v>1</v>
      </c>
      <c r="AB9" s="1381">
        <f t="shared" si="4"/>
        <v>1</v>
      </c>
      <c r="AC9" s="1381">
        <f t="shared" si="5"/>
        <v>1</v>
      </c>
    </row>
    <row r="10" spans="1:29" s="1196" customFormat="1" ht="27">
      <c r="A10" s="2392"/>
      <c r="B10" s="2397" t="s">
        <v>2039</v>
      </c>
      <c r="C10" s="3657"/>
      <c r="D10" s="245">
        <v>100</v>
      </c>
      <c r="E10" s="3657"/>
      <c r="F10" s="245">
        <f>SUMIF(59:59,E10,60:60)-SUMIF(59:59,C10,60:60)+100</f>
        <v>100</v>
      </c>
      <c r="G10" s="3658"/>
      <c r="H10" s="245">
        <f>SUMIF(59:59,G10,60:60)-SUMIF(59:59,C10,60:60)+100</f>
        <v>100</v>
      </c>
      <c r="I10" s="3657"/>
      <c r="J10" s="245">
        <f>SUMIF(59:59,I10,60:60)-SUMIF(59:59,C10,60:60)+100</f>
        <v>100</v>
      </c>
      <c r="K10" s="493"/>
      <c r="L10" s="1858"/>
      <c r="M10" s="1897"/>
      <c r="N10" s="1897"/>
      <c r="O10" s="1859"/>
      <c r="P10" s="3898"/>
      <c r="Q10" s="1047" t="str">
        <f t="shared" si="6"/>
        <v>土地使用年限（年）</v>
      </c>
      <c r="R10" s="1378" t="s">
        <v>5</v>
      </c>
      <c r="S10" s="1379">
        <f t="shared" si="0"/>
        <v>100</v>
      </c>
      <c r="T10" s="1378" t="s">
        <v>5</v>
      </c>
      <c r="U10" s="1379">
        <f t="shared" si="1"/>
        <v>100</v>
      </c>
      <c r="V10" s="1378" t="s">
        <v>5</v>
      </c>
      <c r="W10" s="1379">
        <f t="shared" si="2"/>
        <v>100</v>
      </c>
      <c r="X10" s="1380"/>
      <c r="Y10" s="3842"/>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898"/>
      <c r="Q11" s="1047" t="str">
        <f t="shared" si="6"/>
        <v>容积率</v>
      </c>
      <c r="R11" s="1378" t="s">
        <v>5</v>
      </c>
      <c r="S11" s="1379" t="e">
        <f t="shared" si="0"/>
        <v>#N/A</v>
      </c>
      <c r="T11" s="1378" t="s">
        <v>5</v>
      </c>
      <c r="U11" s="1379" t="e">
        <f t="shared" si="1"/>
        <v>#N/A</v>
      </c>
      <c r="V11" s="1378" t="s">
        <v>5</v>
      </c>
      <c r="W11" s="1379" t="e">
        <f t="shared" si="2"/>
        <v>#N/A</v>
      </c>
      <c r="X11" s="1380"/>
      <c r="Y11" s="3842"/>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508"/>
      <c r="F12" s="245">
        <f>SUMIF(64:64,E12,65:65)-SUMIF(64:64,C12,65:65)+100</f>
        <v>100</v>
      </c>
      <c r="G12" s="880"/>
      <c r="H12" s="245">
        <f>SUMIF(64:64,G12,65:65)-SUMIF(64:64,C12,65:65)+100</f>
        <v>100</v>
      </c>
      <c r="I12" s="842"/>
      <c r="J12" s="245">
        <f>SUMIF(64:64,I12,65:65)-SUMIF(64:64,C12,65:65)+100</f>
        <v>100</v>
      </c>
      <c r="K12" s="550"/>
      <c r="L12" s="1855"/>
      <c r="M12" s="1856"/>
      <c r="N12" s="1856"/>
      <c r="O12" s="1857"/>
      <c r="P12" s="3898"/>
      <c r="Q12" s="1047">
        <f t="shared" si="6"/>
        <v>111</v>
      </c>
      <c r="R12" s="1378" t="s">
        <v>5</v>
      </c>
      <c r="S12" s="1379">
        <f t="shared" si="0"/>
        <v>100</v>
      </c>
      <c r="T12" s="1378" t="s">
        <v>5</v>
      </c>
      <c r="U12" s="1379">
        <f t="shared" si="1"/>
        <v>100</v>
      </c>
      <c r="V12" s="1378" t="s">
        <v>5</v>
      </c>
      <c r="W12" s="1379">
        <f t="shared" si="2"/>
        <v>100</v>
      </c>
      <c r="X12" s="1380"/>
      <c r="Y12" s="3842"/>
      <c r="Z12" s="1046">
        <f t="shared" si="7"/>
        <v>111</v>
      </c>
      <c r="AA12" s="1381">
        <f>D12/F12</f>
        <v>1</v>
      </c>
      <c r="AB12" s="1381">
        <f>D12/H12</f>
        <v>1</v>
      </c>
      <c r="AC12" s="1381">
        <f>D12/J12</f>
        <v>1</v>
      </c>
    </row>
    <row r="13" spans="1:29" ht="15">
      <c r="A13" s="2394"/>
      <c r="B13" s="2400">
        <v>111</v>
      </c>
      <c r="C13" s="508"/>
      <c r="D13" s="509">
        <v>100</v>
      </c>
      <c r="E13" s="508"/>
      <c r="F13" s="245">
        <f>SUMIF(66:66,E13,67:67)-SUMIF(66:66,C13,67:67)+100</f>
        <v>100</v>
      </c>
      <c r="G13" s="880"/>
      <c r="H13" s="509">
        <f>SUMIF(66:66,G13,67:67)-SUMIF(66:66,C13,67:67)+100</f>
        <v>100</v>
      </c>
      <c r="I13" s="842"/>
      <c r="J13" s="509">
        <f>SUMIF(66:66,I13,67:67)-SUMIF(66:66,C13,67:67)+100</f>
        <v>100</v>
      </c>
      <c r="K13" s="550"/>
      <c r="L13" s="1862"/>
      <c r="M13" s="1854"/>
      <c r="N13" s="1854"/>
      <c r="O13" s="1861"/>
      <c r="P13" s="3898"/>
      <c r="Q13" s="1047">
        <f t="shared" si="6"/>
        <v>111</v>
      </c>
      <c r="R13" s="1378" t="s">
        <v>5</v>
      </c>
      <c r="S13" s="1379">
        <f t="shared" si="0"/>
        <v>100</v>
      </c>
      <c r="T13" s="1378" t="s">
        <v>5</v>
      </c>
      <c r="U13" s="1379">
        <f t="shared" si="1"/>
        <v>100</v>
      </c>
      <c r="V13" s="1378" t="s">
        <v>5</v>
      </c>
      <c r="W13" s="1379">
        <f t="shared" si="2"/>
        <v>100</v>
      </c>
      <c r="X13" s="1380"/>
      <c r="Y13" s="3842"/>
      <c r="Z13" s="1046">
        <f t="shared" si="7"/>
        <v>111</v>
      </c>
      <c r="AA13" s="1381">
        <f t="shared" si="3"/>
        <v>1</v>
      </c>
      <c r="AB13" s="1381">
        <f t="shared" si="4"/>
        <v>1</v>
      </c>
      <c r="AC13" s="1381">
        <f t="shared" si="5"/>
        <v>1</v>
      </c>
    </row>
    <row r="14" spans="1:29" ht="15.75" thickBot="1">
      <c r="A14" s="2395"/>
      <c r="B14" s="2401">
        <v>111</v>
      </c>
      <c r="C14" s="514"/>
      <c r="D14" s="515">
        <v>100</v>
      </c>
      <c r="E14" s="514"/>
      <c r="F14" s="515">
        <f>SUMIF(68:68,E14,69:69)-SUMIF(68:68,C14,69:69)+100</f>
        <v>100</v>
      </c>
      <c r="G14" s="880"/>
      <c r="H14" s="515">
        <f>SUMIF(68:68,G14,69:69)-SUMIF(68:68,C14,69:69)+100</f>
        <v>100</v>
      </c>
      <c r="I14" s="842"/>
      <c r="J14" s="515">
        <f>SUMIF(68:68,I14,69:69)-SUMIF(68:68,C14,69:69)+100</f>
        <v>100</v>
      </c>
      <c r="K14" s="550"/>
      <c r="L14" s="1862"/>
      <c r="M14" s="1854"/>
      <c r="N14" s="1854"/>
      <c r="O14" s="1861"/>
      <c r="P14" s="3898"/>
      <c r="Q14" s="1047">
        <f t="shared" si="6"/>
        <v>111</v>
      </c>
      <c r="R14" s="1378" t="s">
        <v>5</v>
      </c>
      <c r="S14" s="1379">
        <f t="shared" si="0"/>
        <v>100</v>
      </c>
      <c r="T14" s="1378" t="s">
        <v>5</v>
      </c>
      <c r="U14" s="1379">
        <f t="shared" si="1"/>
        <v>100</v>
      </c>
      <c r="V14" s="1378" t="s">
        <v>5</v>
      </c>
      <c r="W14" s="1379">
        <f t="shared" si="2"/>
        <v>100</v>
      </c>
      <c r="X14" s="1380"/>
      <c r="Y14" s="3842"/>
      <c r="Z14" s="1046">
        <f t="shared" si="7"/>
        <v>111</v>
      </c>
      <c r="AA14" s="1381">
        <f t="shared" si="3"/>
        <v>1</v>
      </c>
      <c r="AB14" s="1381">
        <f t="shared" si="4"/>
        <v>1</v>
      </c>
      <c r="AC14" s="1381">
        <f t="shared" si="5"/>
        <v>1</v>
      </c>
    </row>
    <row r="15" spans="1:29" ht="15">
      <c r="A15" s="2387" t="s">
        <v>2036</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2"/>
      <c r="M15" s="1854"/>
      <c r="N15" s="1854"/>
      <c r="O15" s="1861"/>
      <c r="P15" s="3932" t="s">
        <v>489</v>
      </c>
      <c r="Q15" s="1382" t="str">
        <f t="shared" si="6"/>
        <v>产业集聚程度</v>
      </c>
      <c r="R15" s="1383" t="s">
        <v>5</v>
      </c>
      <c r="S15" s="1384">
        <f t="shared" si="0"/>
        <v>100</v>
      </c>
      <c r="T15" s="1383" t="s">
        <v>5</v>
      </c>
      <c r="U15" s="1384">
        <f t="shared" si="1"/>
        <v>100</v>
      </c>
      <c r="V15" s="1383" t="s">
        <v>5</v>
      </c>
      <c r="W15" s="1384">
        <f t="shared" si="2"/>
        <v>100</v>
      </c>
      <c r="X15" s="1377"/>
      <c r="Y15" s="3932"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59"/>
      <c r="L16" s="1862"/>
      <c r="M16" s="1854"/>
      <c r="N16" s="1854"/>
      <c r="O16" s="1861"/>
      <c r="P16" s="3933"/>
      <c r="Q16" s="1382"/>
      <c r="R16" s="1383"/>
      <c r="S16" s="1384"/>
      <c r="T16" s="1383"/>
      <c r="U16" s="1384"/>
      <c r="V16" s="1383"/>
      <c r="W16" s="1384"/>
      <c r="X16" s="1377"/>
      <c r="Y16" s="3933"/>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2"/>
      <c r="M17" s="1854"/>
      <c r="N17" s="1854"/>
      <c r="O17" s="1861"/>
      <c r="P17" s="3933"/>
      <c r="Q17" s="1382" t="str">
        <f>B17</f>
        <v>交通便捷度</v>
      </c>
      <c r="R17" s="1383" t="s">
        <v>5</v>
      </c>
      <c r="S17" s="1384">
        <f>F17</f>
        <v>100</v>
      </c>
      <c r="T17" s="1383" t="s">
        <v>5</v>
      </c>
      <c r="U17" s="1384">
        <f>H17</f>
        <v>100</v>
      </c>
      <c r="V17" s="1383" t="s">
        <v>5</v>
      </c>
      <c r="W17" s="1384">
        <f>J17</f>
        <v>100</v>
      </c>
      <c r="X17" s="1377"/>
      <c r="Y17" s="3933"/>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59"/>
      <c r="L18" s="1862"/>
      <c r="M18" s="1854"/>
      <c r="N18" s="1854"/>
      <c r="O18" s="1861"/>
      <c r="P18" s="3933"/>
      <c r="Q18" s="1382"/>
      <c r="R18" s="1383"/>
      <c r="S18" s="1384"/>
      <c r="T18" s="1383"/>
      <c r="U18" s="1384"/>
      <c r="V18" s="1383"/>
      <c r="W18" s="1384"/>
      <c r="X18" s="1377"/>
      <c r="Y18" s="3933"/>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2"/>
      <c r="M19" s="1854"/>
      <c r="N19" s="1854"/>
      <c r="O19" s="1861"/>
      <c r="P19" s="3933"/>
      <c r="Q19" s="1382" t="str">
        <f>B19</f>
        <v>公共配套设施</v>
      </c>
      <c r="R19" s="1383" t="s">
        <v>5</v>
      </c>
      <c r="S19" s="1384">
        <f>F19</f>
        <v>100</v>
      </c>
      <c r="T19" s="1383" t="s">
        <v>5</v>
      </c>
      <c r="U19" s="1384">
        <f>H19</f>
        <v>100</v>
      </c>
      <c r="V19" s="1383" t="s">
        <v>5</v>
      </c>
      <c r="W19" s="1384">
        <f>J19</f>
        <v>100</v>
      </c>
      <c r="X19" s="1377"/>
      <c r="Y19" s="3933"/>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59"/>
      <c r="L20" s="1862"/>
      <c r="M20" s="1854"/>
      <c r="N20" s="1854"/>
      <c r="O20" s="1861"/>
      <c r="P20" s="3933"/>
      <c r="Q20" s="1382"/>
      <c r="R20" s="1383"/>
      <c r="S20" s="1384"/>
      <c r="T20" s="1383"/>
      <c r="U20" s="1384"/>
      <c r="V20" s="1383"/>
      <c r="W20" s="1384"/>
      <c r="X20" s="1377"/>
      <c r="Y20" s="3933"/>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2"/>
      <c r="M21" s="1854"/>
      <c r="N21" s="1854"/>
      <c r="O21" s="1861"/>
      <c r="P21" s="3933"/>
      <c r="Q21" s="2190" t="str">
        <f>B21</f>
        <v>基础设施水平</v>
      </c>
      <c r="R21" s="1383" t="s">
        <v>5</v>
      </c>
      <c r="S21" s="1384">
        <f>F21</f>
        <v>100</v>
      </c>
      <c r="T21" s="1383" t="s">
        <v>5</v>
      </c>
      <c r="U21" s="1384">
        <f>H21</f>
        <v>100</v>
      </c>
      <c r="V21" s="1383" t="s">
        <v>5</v>
      </c>
      <c r="W21" s="1384">
        <f>J21</f>
        <v>100</v>
      </c>
      <c r="X21" s="2192"/>
      <c r="Y21" s="3933"/>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33"/>
      <c r="Q22" s="2190"/>
      <c r="R22" s="1383"/>
      <c r="S22" s="1384"/>
      <c r="T22" s="1383"/>
      <c r="U22" s="1384"/>
      <c r="V22" s="1383"/>
      <c r="W22" s="1384"/>
      <c r="X22" s="2192"/>
      <c r="Y22" s="3933"/>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2"/>
      <c r="M23" s="1854"/>
      <c r="N23" s="1854"/>
      <c r="O23" s="1861"/>
      <c r="P23" s="3933"/>
      <c r="Q23" s="1382" t="str">
        <f>B23</f>
        <v>环境质量</v>
      </c>
      <c r="R23" s="1383" t="s">
        <v>5</v>
      </c>
      <c r="S23" s="1384">
        <f>F23</f>
        <v>100</v>
      </c>
      <c r="T23" s="1383" t="s">
        <v>5</v>
      </c>
      <c r="U23" s="1384">
        <f>H23</f>
        <v>100</v>
      </c>
      <c r="V23" s="1383" t="s">
        <v>5</v>
      </c>
      <c r="W23" s="1384">
        <f>J23</f>
        <v>100</v>
      </c>
      <c r="X23" s="1377"/>
      <c r="Y23" s="3933"/>
      <c r="Z23" s="1385" t="str">
        <f>Q23</f>
        <v>环境质量</v>
      </c>
      <c r="AA23" s="1386">
        <f t="shared" si="3"/>
        <v>1</v>
      </c>
      <c r="AB23" s="1386">
        <f t="shared" si="4"/>
        <v>1</v>
      </c>
      <c r="AC23" s="1386">
        <f t="shared" si="5"/>
        <v>1</v>
      </c>
    </row>
    <row r="24" spans="1:29" ht="15">
      <c r="A24" s="501"/>
      <c r="B24" s="882"/>
      <c r="C24" s="545"/>
      <c r="D24" s="524"/>
      <c r="E24" s="525"/>
      <c r="F24" s="526"/>
      <c r="G24" s="527"/>
      <c r="H24" s="524"/>
      <c r="I24" s="525"/>
      <c r="J24" s="524"/>
      <c r="K24" s="859"/>
      <c r="L24" s="1862"/>
      <c r="M24" s="1854"/>
      <c r="N24" s="1854"/>
      <c r="O24" s="1861"/>
      <c r="P24" s="3933"/>
      <c r="Q24" s="1382"/>
      <c r="R24" s="1383"/>
      <c r="S24" s="1384"/>
      <c r="T24" s="1383"/>
      <c r="U24" s="1384"/>
      <c r="V24" s="1383"/>
      <c r="W24" s="1384"/>
      <c r="X24" s="1377"/>
      <c r="Y24" s="3933"/>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33"/>
      <c r="Q25" s="1382">
        <f>B25</f>
        <v>111</v>
      </c>
      <c r="R25" s="1383" t="s">
        <v>5</v>
      </c>
      <c r="S25" s="1384">
        <f>F25</f>
        <v>100</v>
      </c>
      <c r="T25" s="1383" t="s">
        <v>5</v>
      </c>
      <c r="U25" s="1384">
        <f>H25</f>
        <v>100</v>
      </c>
      <c r="V25" s="1383" t="s">
        <v>5</v>
      </c>
      <c r="W25" s="1384">
        <f>J25</f>
        <v>100</v>
      </c>
      <c r="X25" s="1377"/>
      <c r="Y25" s="3933"/>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33"/>
      <c r="Q26" s="1382">
        <f t="shared" ref="Q26:Q40" si="8">B26</f>
        <v>111</v>
      </c>
      <c r="R26" s="1383" t="s">
        <v>5</v>
      </c>
      <c r="S26" s="1384">
        <f>F26</f>
        <v>100</v>
      </c>
      <c r="T26" s="1383" t="s">
        <v>5</v>
      </c>
      <c r="U26" s="1384">
        <f>H26</f>
        <v>100</v>
      </c>
      <c r="V26" s="1383" t="s">
        <v>5</v>
      </c>
      <c r="W26" s="1384">
        <f>J26</f>
        <v>100</v>
      </c>
      <c r="X26" s="1377"/>
      <c r="Y26" s="3933"/>
      <c r="Z26" s="1385">
        <f>Q26</f>
        <v>111</v>
      </c>
      <c r="AA26" s="1386">
        <f t="shared" si="3"/>
        <v>1</v>
      </c>
      <c r="AB26" s="1386">
        <f t="shared" si="4"/>
        <v>1</v>
      </c>
      <c r="AC26" s="1386">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33"/>
      <c r="Q27" s="1047">
        <f t="shared" si="8"/>
        <v>111</v>
      </c>
      <c r="R27" s="1378" t="s">
        <v>5</v>
      </c>
      <c r="S27" s="1379">
        <f>F27</f>
        <v>100</v>
      </c>
      <c r="T27" s="1378" t="s">
        <v>5</v>
      </c>
      <c r="U27" s="1379">
        <f>H27</f>
        <v>100</v>
      </c>
      <c r="V27" s="1378" t="s">
        <v>5</v>
      </c>
      <c r="W27" s="1379">
        <f>J27</f>
        <v>100</v>
      </c>
      <c r="X27" s="1380"/>
      <c r="Y27" s="3933"/>
      <c r="Z27" s="1046">
        <f>Q27</f>
        <v>111</v>
      </c>
      <c r="AA27" s="1386">
        <f>D27/F27</f>
        <v>1</v>
      </c>
      <c r="AB27" s="1386">
        <f>D27/H27</f>
        <v>1</v>
      </c>
      <c r="AC27" s="1386">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2"/>
      <c r="M28" s="1854"/>
      <c r="N28" s="1854"/>
      <c r="O28" s="1861"/>
      <c r="P28" s="3933"/>
      <c r="Q28" s="1382">
        <f t="shared" si="8"/>
        <v>111</v>
      </c>
      <c r="R28" s="1383" t="s">
        <v>5</v>
      </c>
      <c r="S28" s="1384">
        <f t="shared" ref="S28:S40" si="9">F28</f>
        <v>100</v>
      </c>
      <c r="T28" s="1383" t="s">
        <v>5</v>
      </c>
      <c r="U28" s="1384">
        <f t="shared" ref="U28:U40" si="10">H28</f>
        <v>100</v>
      </c>
      <c r="V28" s="1383" t="s">
        <v>5</v>
      </c>
      <c r="W28" s="1384">
        <f t="shared" ref="W28:W40" si="11">J28</f>
        <v>100</v>
      </c>
      <c r="X28" s="1377"/>
      <c r="Y28" s="3933"/>
      <c r="Z28" s="1385">
        <f t="shared" ref="Z28:Z40" si="12">Q28</f>
        <v>111</v>
      </c>
      <c r="AA28" s="1386">
        <f t="shared" si="3"/>
        <v>1</v>
      </c>
      <c r="AB28" s="1386">
        <f t="shared" si="4"/>
        <v>1</v>
      </c>
      <c r="AC28" s="1386">
        <f t="shared" si="5"/>
        <v>1</v>
      </c>
    </row>
    <row r="29" spans="1:29" ht="15">
      <c r="A29" s="2384" t="s">
        <v>2037</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2"/>
      <c r="M29" s="1854"/>
      <c r="N29" s="1854"/>
      <c r="O29" s="1861"/>
      <c r="P29" s="3934" t="s">
        <v>499</v>
      </c>
      <c r="Q29" s="1382" t="str">
        <f t="shared" si="8"/>
        <v>建筑类型</v>
      </c>
      <c r="R29" s="1383" t="s">
        <v>5</v>
      </c>
      <c r="S29" s="1384">
        <f t="shared" si="9"/>
        <v>100</v>
      </c>
      <c r="T29" s="1383" t="s">
        <v>5</v>
      </c>
      <c r="U29" s="1384">
        <f t="shared" si="10"/>
        <v>100</v>
      </c>
      <c r="V29" s="1383" t="s">
        <v>5</v>
      </c>
      <c r="W29" s="1384">
        <f t="shared" si="11"/>
        <v>100</v>
      </c>
      <c r="X29" s="1377"/>
      <c r="Y29" s="3935" t="s">
        <v>499</v>
      </c>
      <c r="Z29" s="1385" t="str">
        <f t="shared" si="12"/>
        <v>建筑类型</v>
      </c>
      <c r="AA29" s="1386">
        <f t="shared" si="3"/>
        <v>1</v>
      </c>
      <c r="AB29" s="1386">
        <f t="shared" si="4"/>
        <v>1</v>
      </c>
      <c r="AC29" s="1386">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35"/>
      <c r="Q30" s="1411" t="str">
        <f t="shared" si="8"/>
        <v>项目建筑规模</v>
      </c>
      <c r="R30" s="1387" t="s">
        <v>5</v>
      </c>
      <c r="S30" s="1388" t="e">
        <f t="shared" si="9"/>
        <v>#N/A</v>
      </c>
      <c r="T30" s="1387" t="s">
        <v>5</v>
      </c>
      <c r="U30" s="1388" t="e">
        <f t="shared" si="10"/>
        <v>#N/A</v>
      </c>
      <c r="V30" s="1387" t="s">
        <v>5</v>
      </c>
      <c r="W30" s="1388" t="e">
        <f t="shared" si="11"/>
        <v>#N/A</v>
      </c>
      <c r="X30" s="1389"/>
      <c r="Y30" s="3935"/>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35"/>
      <c r="Q31" s="1382" t="str">
        <f t="shared" si="8"/>
        <v>建筑结构</v>
      </c>
      <c r="R31" s="1383" t="s">
        <v>5</v>
      </c>
      <c r="S31" s="1384">
        <f t="shared" si="9"/>
        <v>100</v>
      </c>
      <c r="T31" s="1383" t="s">
        <v>5</v>
      </c>
      <c r="U31" s="1384">
        <f t="shared" si="10"/>
        <v>100</v>
      </c>
      <c r="V31" s="1383" t="s">
        <v>5</v>
      </c>
      <c r="W31" s="1384">
        <f t="shared" si="11"/>
        <v>100</v>
      </c>
      <c r="X31" s="1377"/>
      <c r="Y31" s="3935"/>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35"/>
      <c r="Q32" s="1382" t="str">
        <f t="shared" si="8"/>
        <v>公共部分装修</v>
      </c>
      <c r="R32" s="1383" t="s">
        <v>5</v>
      </c>
      <c r="S32" s="1384">
        <f t="shared" si="9"/>
        <v>100</v>
      </c>
      <c r="T32" s="1383" t="s">
        <v>5</v>
      </c>
      <c r="U32" s="1384">
        <f t="shared" si="10"/>
        <v>100</v>
      </c>
      <c r="V32" s="1383" t="s">
        <v>5</v>
      </c>
      <c r="W32" s="1384">
        <f t="shared" si="11"/>
        <v>100</v>
      </c>
      <c r="X32" s="1377"/>
      <c r="Y32" s="3935"/>
      <c r="Z32" s="1385" t="str">
        <f t="shared" si="12"/>
        <v>公共部分装修</v>
      </c>
      <c r="AA32" s="1386">
        <f t="shared" si="3"/>
        <v>1</v>
      </c>
      <c r="AB32" s="1386">
        <f t="shared" si="4"/>
        <v>1</v>
      </c>
      <c r="AC32" s="1386">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2"/>
      <c r="M33" s="1854"/>
      <c r="N33" s="1854"/>
      <c r="O33" s="1861"/>
      <c r="P33" s="3935"/>
      <c r="Q33" s="1382" t="str">
        <f t="shared" si="8"/>
        <v>成新度</v>
      </c>
      <c r="R33" s="1383" t="s">
        <v>5</v>
      </c>
      <c r="S33" s="1384" t="e">
        <f t="shared" si="9"/>
        <v>#N/A</v>
      </c>
      <c r="T33" s="1383" t="s">
        <v>5</v>
      </c>
      <c r="U33" s="1384" t="e">
        <f t="shared" si="10"/>
        <v>#N/A</v>
      </c>
      <c r="V33" s="1383" t="s">
        <v>5</v>
      </c>
      <c r="W33" s="1384" t="e">
        <f t="shared" si="11"/>
        <v>#N/A</v>
      </c>
      <c r="X33" s="1377"/>
      <c r="Y33" s="3935"/>
      <c r="Z33" s="1385" t="str">
        <f t="shared" si="12"/>
        <v>成新度</v>
      </c>
      <c r="AA33" s="1386" t="e">
        <f t="shared" si="3"/>
        <v>#N/A</v>
      </c>
      <c r="AB33" s="1386" t="e">
        <f t="shared" si="4"/>
        <v>#N/A</v>
      </c>
      <c r="AC33" s="1386"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35"/>
      <c r="Q34" s="1047" t="str">
        <f t="shared" si="8"/>
        <v>物业管理</v>
      </c>
      <c r="R34" s="1378" t="s">
        <v>5</v>
      </c>
      <c r="S34" s="1379">
        <f t="shared" si="9"/>
        <v>100</v>
      </c>
      <c r="T34" s="1378" t="s">
        <v>5</v>
      </c>
      <c r="U34" s="1379">
        <f t="shared" si="10"/>
        <v>100</v>
      </c>
      <c r="V34" s="1378" t="s">
        <v>5</v>
      </c>
      <c r="W34" s="1379">
        <f t="shared" si="11"/>
        <v>100</v>
      </c>
      <c r="X34" s="1380"/>
      <c r="Y34" s="3935"/>
      <c r="Z34" s="1046"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35" t="s">
        <v>499</v>
      </c>
      <c r="Q35" s="1382" t="str">
        <f t="shared" si="8"/>
        <v>市政基础设施</v>
      </c>
      <c r="R35" s="1383" t="s">
        <v>5</v>
      </c>
      <c r="S35" s="1384">
        <f t="shared" si="9"/>
        <v>100</v>
      </c>
      <c r="T35" s="1383" t="s">
        <v>5</v>
      </c>
      <c r="U35" s="1384">
        <f t="shared" si="10"/>
        <v>100</v>
      </c>
      <c r="V35" s="1383" t="s">
        <v>5</v>
      </c>
      <c r="W35" s="1384">
        <f t="shared" si="11"/>
        <v>100</v>
      </c>
      <c r="X35" s="1377"/>
      <c r="Y35" s="3935"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35"/>
      <c r="Q36" s="1382" t="str">
        <f t="shared" si="8"/>
        <v>内部装修</v>
      </c>
      <c r="R36" s="1383" t="s">
        <v>5</v>
      </c>
      <c r="S36" s="1384">
        <f t="shared" si="9"/>
        <v>100</v>
      </c>
      <c r="T36" s="1383" t="s">
        <v>5</v>
      </c>
      <c r="U36" s="1384">
        <f t="shared" si="10"/>
        <v>100</v>
      </c>
      <c r="V36" s="1383" t="s">
        <v>5</v>
      </c>
      <c r="W36" s="1384">
        <f t="shared" si="11"/>
        <v>100</v>
      </c>
      <c r="X36" s="1377"/>
      <c r="Y36" s="3935"/>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35"/>
      <c r="Q37" s="1382" t="str">
        <f t="shared" si="8"/>
        <v>内部装修状况</v>
      </c>
      <c r="R37" s="1383" t="s">
        <v>5</v>
      </c>
      <c r="S37" s="1384">
        <f t="shared" si="9"/>
        <v>100</v>
      </c>
      <c r="T37" s="1383" t="s">
        <v>5</v>
      </c>
      <c r="U37" s="1384">
        <f t="shared" si="10"/>
        <v>100</v>
      </c>
      <c r="V37" s="1383" t="s">
        <v>5</v>
      </c>
      <c r="W37" s="1384">
        <f t="shared" si="11"/>
        <v>100</v>
      </c>
      <c r="X37" s="1377"/>
      <c r="Y37" s="3935"/>
      <c r="Z37" s="1385" t="str">
        <f t="shared" si="12"/>
        <v>内部装修状况</v>
      </c>
      <c r="AA37" s="1386">
        <f t="shared" si="3"/>
        <v>1</v>
      </c>
      <c r="AB37" s="1386">
        <f t="shared" si="4"/>
        <v>1</v>
      </c>
      <c r="AC37" s="1386">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0"/>
      <c r="M38" s="1890"/>
      <c r="N38" s="1890"/>
      <c r="O38" s="1863"/>
      <c r="P38" s="3935"/>
      <c r="Q38" s="1411">
        <f t="shared" si="8"/>
        <v>111</v>
      </c>
      <c r="R38" s="1387" t="s">
        <v>5</v>
      </c>
      <c r="S38" s="1388">
        <f t="shared" si="9"/>
        <v>100</v>
      </c>
      <c r="T38" s="1387" t="s">
        <v>5</v>
      </c>
      <c r="U38" s="1388">
        <f t="shared" si="10"/>
        <v>100</v>
      </c>
      <c r="V38" s="1387" t="s">
        <v>5</v>
      </c>
      <c r="W38" s="1388">
        <f t="shared" si="11"/>
        <v>100</v>
      </c>
      <c r="X38" s="1389"/>
      <c r="Y38" s="3935"/>
      <c r="Z38" s="1390">
        <f t="shared" si="12"/>
        <v>111</v>
      </c>
      <c r="AA38" s="1386">
        <f t="shared" si="3"/>
        <v>1</v>
      </c>
      <c r="AB38" s="1386">
        <f t="shared" si="4"/>
        <v>1</v>
      </c>
      <c r="AC38" s="1386">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2"/>
      <c r="M39" s="1854"/>
      <c r="N39" s="1854"/>
      <c r="O39" s="1861"/>
      <c r="P39" s="3935"/>
      <c r="Q39" s="1382">
        <f t="shared" si="8"/>
        <v>111</v>
      </c>
      <c r="R39" s="1383" t="s">
        <v>5</v>
      </c>
      <c r="S39" s="1384">
        <f t="shared" si="9"/>
        <v>100</v>
      </c>
      <c r="T39" s="1383" t="s">
        <v>5</v>
      </c>
      <c r="U39" s="1384">
        <f t="shared" si="10"/>
        <v>100</v>
      </c>
      <c r="V39" s="1383" t="s">
        <v>5</v>
      </c>
      <c r="W39" s="1384">
        <f t="shared" si="11"/>
        <v>100</v>
      </c>
      <c r="X39" s="1377"/>
      <c r="Y39" s="3935"/>
      <c r="Z39" s="1385">
        <f t="shared" si="12"/>
        <v>111</v>
      </c>
      <c r="AA39" s="1386">
        <f t="shared" si="3"/>
        <v>1</v>
      </c>
      <c r="AB39" s="1386">
        <f t="shared" si="4"/>
        <v>1</v>
      </c>
      <c r="AC39" s="1386">
        <f t="shared" si="5"/>
        <v>1</v>
      </c>
    </row>
    <row r="40" spans="1:29" ht="15.75"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2"/>
      <c r="M40" s="1854"/>
      <c r="N40" s="1854"/>
      <c r="O40" s="1861"/>
      <c r="P40" s="4005"/>
      <c r="Q40" s="1382">
        <f t="shared" si="8"/>
        <v>111</v>
      </c>
      <c r="R40" s="1383" t="s">
        <v>5</v>
      </c>
      <c r="S40" s="1384">
        <f t="shared" si="9"/>
        <v>100</v>
      </c>
      <c r="T40" s="1383" t="s">
        <v>5</v>
      </c>
      <c r="U40" s="1384">
        <f t="shared" si="10"/>
        <v>100</v>
      </c>
      <c r="V40" s="1383" t="s">
        <v>5</v>
      </c>
      <c r="W40" s="1384">
        <f t="shared" si="11"/>
        <v>100</v>
      </c>
      <c r="X40" s="1377"/>
      <c r="Y40" s="4005"/>
      <c r="Z40" s="1385">
        <f t="shared" si="12"/>
        <v>111</v>
      </c>
      <c r="AA40" s="1386">
        <f t="shared" si="3"/>
        <v>1</v>
      </c>
      <c r="AB40" s="1386">
        <f t="shared" si="4"/>
        <v>1</v>
      </c>
      <c r="AC40" s="1386">
        <f t="shared" si="5"/>
        <v>1</v>
      </c>
    </row>
    <row r="41" spans="1:29" ht="15">
      <c r="A41" s="576" t="s">
        <v>683</v>
      </c>
      <c r="B41" s="847"/>
      <c r="C41" s="2231" t="s">
        <v>0</v>
      </c>
      <c r="D41" s="2232"/>
      <c r="E41" s="2233"/>
      <c r="F41" s="2234"/>
      <c r="G41" s="2235"/>
      <c r="H41" s="2236"/>
      <c r="I41" s="2233"/>
      <c r="J41" s="2236"/>
      <c r="K41" s="1416"/>
      <c r="L41" s="1864"/>
      <c r="M41" s="1865"/>
      <c r="N41" s="1854"/>
      <c r="O41" s="1865"/>
      <c r="P41" s="3898" t="str">
        <f>A41</f>
        <v>成交单价（元/平方米）</v>
      </c>
      <c r="Q41" s="3898"/>
      <c r="R41" s="4004">
        <f>E41</f>
        <v>0</v>
      </c>
      <c r="S41" s="4004"/>
      <c r="T41" s="4004">
        <f>G41</f>
        <v>0</v>
      </c>
      <c r="U41" s="4004"/>
      <c r="V41" s="4004">
        <f>I41</f>
        <v>0</v>
      </c>
      <c r="W41" s="4004"/>
      <c r="X41" s="1372"/>
      <c r="Y41" s="1391"/>
      <c r="Z41" s="1372"/>
      <c r="AA41" s="1372"/>
      <c r="AB41" s="1372"/>
      <c r="AC41" s="1372"/>
    </row>
    <row r="42" spans="1:29" ht="15.75" thickBot="1">
      <c r="A42" s="584" t="s">
        <v>2042</v>
      </c>
      <c r="B42" s="848"/>
      <c r="C42" s="2237" t="e">
        <f>R43</f>
        <v>#DIV/0!</v>
      </c>
      <c r="D42" s="2754" t="s">
        <v>2251</v>
      </c>
      <c r="E42" s="2238" t="e">
        <f>R42</f>
        <v>#DIV/0!</v>
      </c>
      <c r="F42" s="2755"/>
      <c r="G42" s="2237" t="e">
        <f>T42</f>
        <v>#DIV/0!</v>
      </c>
      <c r="H42" s="2755"/>
      <c r="I42" s="2238" t="e">
        <f>V42</f>
        <v>#DIV/0!</v>
      </c>
      <c r="J42" s="2755"/>
      <c r="K42" s="2763">
        <f>F42+H42+J42</f>
        <v>0</v>
      </c>
      <c r="L42" s="1864"/>
      <c r="M42" s="1865"/>
      <c r="N42" s="1854"/>
      <c r="O42" s="1865"/>
      <c r="P42" s="3898" t="str">
        <f>A42</f>
        <v>比较价格（元/平方米）</v>
      </c>
      <c r="Q42" s="3898"/>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1372"/>
      <c r="Y42" s="1372"/>
      <c r="Z42" s="1372"/>
      <c r="AA42" s="1372"/>
      <c r="AB42" s="1372"/>
      <c r="AC42" s="1372"/>
    </row>
    <row r="43" spans="1:29" ht="15.75" thickBot="1">
      <c r="A43" s="588" t="s">
        <v>2188</v>
      </c>
      <c r="B43" s="589"/>
      <c r="C43" s="2239" t="e">
        <f>R43</f>
        <v>#DIV/0!</v>
      </c>
      <c r="D43" s="2239"/>
      <c r="E43" s="2239"/>
      <c r="F43" s="2239"/>
      <c r="G43" s="2239"/>
      <c r="H43" s="2239"/>
      <c r="I43" s="2239"/>
      <c r="J43" s="2239"/>
      <c r="K43" s="1417"/>
      <c r="L43" s="1864"/>
      <c r="M43" s="1865"/>
      <c r="N43" s="1865"/>
      <c r="O43" s="1865"/>
      <c r="P43" s="3936" t="str">
        <f>A43</f>
        <v>估价对象XX用房的比较价格（楼面单价，元/平方米）</v>
      </c>
      <c r="Q43" s="3937"/>
      <c r="R43" s="4003" t="e">
        <f>IF(F1="售价",ROUND(IF(D42="简单平均",AVERAGE(R42:V42),R42*F42+T42*H42+V42*J42),0),ROUND(IF(D42="简单平均",AVERAGE(R42:V42),R42*F42+T42*H42+V42*J42),1))</f>
        <v>#DIV/0!</v>
      </c>
      <c r="S43" s="4003"/>
      <c r="T43" s="4003"/>
      <c r="U43" s="4003"/>
      <c r="V43" s="4003"/>
      <c r="W43" s="4003"/>
      <c r="X43" s="1372"/>
      <c r="Y43" s="1372"/>
      <c r="Z43" s="1372"/>
      <c r="AA43" s="1372"/>
      <c r="AB43" s="1372"/>
      <c r="AC43" s="1372"/>
    </row>
    <row r="44" spans="1:29">
      <c r="A44" s="2954"/>
      <c r="B44" s="2954"/>
      <c r="C44" s="2954"/>
      <c r="D44" s="2954"/>
      <c r="E44" s="2954"/>
      <c r="F44" s="2954"/>
      <c r="G44" s="2956"/>
      <c r="H44" s="2954"/>
      <c r="I44" s="2954"/>
      <c r="J44" s="2954"/>
      <c r="K44" s="2957"/>
      <c r="L44" s="1869"/>
      <c r="M44" s="1865"/>
      <c r="N44" s="1865"/>
      <c r="O44" s="1865"/>
      <c r="P44" s="1865"/>
      <c r="Q44" s="1865"/>
      <c r="R44" s="1865"/>
      <c r="S44" s="1865"/>
      <c r="T44" s="1865"/>
      <c r="U44" s="1865"/>
      <c r="V44" s="1865"/>
      <c r="W44" s="1865"/>
      <c r="X44" s="1865"/>
      <c r="Y44" s="1865"/>
      <c r="Z44" s="1865"/>
      <c r="AA44" s="1865"/>
      <c r="AB44" s="1865"/>
      <c r="AC44" s="1865"/>
    </row>
    <row r="45" spans="1:29">
      <c r="A45" s="2954"/>
      <c r="B45" s="2954"/>
      <c r="C45" s="2954"/>
      <c r="D45" s="2954"/>
      <c r="E45" s="2954"/>
      <c r="F45" s="2954"/>
      <c r="G45" s="2954"/>
      <c r="H45" s="2954"/>
      <c r="I45" s="2954"/>
      <c r="J45" s="2954"/>
      <c r="K45" s="2957"/>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4"/>
      <c r="B46" s="2954"/>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7"/>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4"/>
      <c r="B47" s="2954"/>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7"/>
      <c r="L47" s="1869"/>
      <c r="M47" s="1865"/>
      <c r="N47" s="1865"/>
      <c r="O47" s="1865"/>
      <c r="P47" s="1865"/>
      <c r="Q47" s="1865"/>
      <c r="R47" s="1865"/>
      <c r="S47" s="1865"/>
      <c r="T47" s="1865"/>
      <c r="U47" s="1865"/>
      <c r="V47" s="1865"/>
      <c r="W47" s="1865"/>
      <c r="X47" s="1865"/>
      <c r="Y47" s="1865"/>
      <c r="Z47" s="1865"/>
      <c r="AA47" s="1865"/>
      <c r="AB47" s="1865"/>
      <c r="AC47" s="1865"/>
    </row>
    <row r="48" spans="1:29" s="1202" customFormat="1" ht="13.5" customHeight="1">
      <c r="A48" s="2955"/>
      <c r="B48" s="2955"/>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8"/>
      <c r="L48" s="1872"/>
      <c r="M48" s="1866"/>
      <c r="N48" s="1866"/>
      <c r="O48" s="1866"/>
      <c r="P48" s="1866"/>
      <c r="Q48" s="1866"/>
      <c r="R48" s="1866"/>
      <c r="S48" s="1866"/>
      <c r="T48" s="1866"/>
      <c r="U48" s="1866"/>
      <c r="V48" s="1866"/>
      <c r="W48" s="1866"/>
      <c r="X48" s="1866"/>
      <c r="Y48" s="1866"/>
      <c r="Z48" s="1866"/>
      <c r="AA48" s="1866"/>
      <c r="AB48" s="1866"/>
      <c r="AC48" s="1866"/>
    </row>
    <row r="49" spans="1:29" s="1202"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4" customFormat="1" ht="15">
      <c r="A52" s="612" t="s">
        <v>478</v>
      </c>
      <c r="B52" s="613"/>
      <c r="C52" s="2279" t="str">
        <f>YEAR(C7)&amp;"-"&amp;MONTH(C7)</f>
        <v>2023-7</v>
      </c>
      <c r="D52" s="2281">
        <f>EDATE(C52,-1)</f>
        <v>45078</v>
      </c>
      <c r="E52" s="2281">
        <f t="shared" ref="E52:O52" si="13">EDATE(D52,-1)</f>
        <v>45047</v>
      </c>
      <c r="F52" s="2281">
        <f t="shared" si="13"/>
        <v>45017</v>
      </c>
      <c r="G52" s="2281">
        <f t="shared" si="13"/>
        <v>44986</v>
      </c>
      <c r="H52" s="2281">
        <f t="shared" si="13"/>
        <v>44958</v>
      </c>
      <c r="I52" s="2281">
        <f t="shared" si="13"/>
        <v>44927</v>
      </c>
      <c r="J52" s="2281">
        <f t="shared" si="13"/>
        <v>44896</v>
      </c>
      <c r="K52" s="2281">
        <f t="shared" si="13"/>
        <v>44866</v>
      </c>
      <c r="L52" s="2281">
        <f t="shared" si="13"/>
        <v>44835</v>
      </c>
      <c r="M52" s="2281">
        <f t="shared" si="13"/>
        <v>44805</v>
      </c>
      <c r="N52" s="2281">
        <f t="shared" si="13"/>
        <v>44774</v>
      </c>
      <c r="O52" s="2281">
        <f t="shared" si="13"/>
        <v>44743</v>
      </c>
      <c r="P52" s="1879"/>
      <c r="Q52" s="1880"/>
      <c r="R52" s="1880"/>
      <c r="S52" s="1880"/>
      <c r="T52" s="1880"/>
      <c r="U52" s="1880"/>
      <c r="V52" s="1880"/>
      <c r="W52" s="1880"/>
      <c r="X52" s="1880"/>
      <c r="Y52" s="1880"/>
      <c r="Z52" s="1880"/>
      <c r="AA52" s="1880"/>
      <c r="AB52" s="1880"/>
      <c r="AC52" s="1880"/>
    </row>
    <row r="53" spans="1:29" s="1115" customFormat="1" ht="15">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5" customFormat="1" ht="15.7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5" customFormat="1" ht="15">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5" customFormat="1" ht="15.75"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7.75"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5.75"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7" customFormat="1" ht="15.75"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7" customFormat="1" ht="15.75"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7" customFormat="1" ht="15.75"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7" customFormat="1" ht="15.75"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7" customFormat="1" ht="15.75"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7" customFormat="1" ht="15.75"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7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7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75" thickTop="1">
      <c r="A76" s="636"/>
      <c r="B76" s="2202" t="s">
        <v>1841</v>
      </c>
      <c r="C76" s="2203" t="s">
        <v>1842</v>
      </c>
      <c r="D76" s="2203" t="s">
        <v>1843</v>
      </c>
      <c r="E76" s="2203" t="s">
        <v>1844</v>
      </c>
      <c r="F76" s="2203" t="s">
        <v>1845</v>
      </c>
      <c r="G76" s="2203" t="s">
        <v>1846</v>
      </c>
      <c r="H76" s="895"/>
      <c r="I76" s="895"/>
      <c r="J76" s="895"/>
      <c r="K76" s="895"/>
      <c r="L76" s="895"/>
      <c r="M76" s="528"/>
      <c r="N76" s="1885"/>
      <c r="O76" s="1885"/>
      <c r="P76" s="1884"/>
      <c r="Q76" s="1877"/>
      <c r="R76" s="1865"/>
      <c r="S76" s="1865"/>
      <c r="T76" s="1865"/>
      <c r="U76" s="1865"/>
      <c r="V76" s="1865"/>
      <c r="W76" s="1865"/>
      <c r="X76" s="1865"/>
      <c r="Y76" s="1865"/>
      <c r="Z76" s="1865"/>
      <c r="AA76" s="1865"/>
      <c r="AB76" s="1865"/>
      <c r="AC76" s="1865"/>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5" customFormat="1" ht="15.75" thickTop="1">
      <c r="A80" s="676"/>
      <c r="B80" s="640">
        <f>B25</f>
        <v>111</v>
      </c>
      <c r="C80" s="655"/>
      <c r="D80" s="655"/>
      <c r="E80" s="655"/>
      <c r="F80" s="655"/>
      <c r="G80" s="655"/>
      <c r="H80" s="655"/>
      <c r="I80" s="655"/>
      <c r="J80" s="655"/>
      <c r="K80" s="655"/>
      <c r="L80" s="850"/>
      <c r="M80" s="851"/>
      <c r="N80" s="1881"/>
      <c r="O80" s="1881"/>
      <c r="P80" s="1884"/>
      <c r="Q80" s="1877"/>
      <c r="R80" s="1743"/>
      <c r="S80" s="1743"/>
      <c r="T80" s="1743"/>
      <c r="U80" s="1743"/>
      <c r="V80" s="1743"/>
      <c r="W80" s="1743"/>
      <c r="X80" s="1743"/>
      <c r="Y80" s="1743"/>
      <c r="Z80" s="1743"/>
      <c r="AA80" s="1743"/>
      <c r="AB80" s="1743"/>
      <c r="AC80" s="1743"/>
    </row>
    <row r="81" spans="1:29" s="1115" customFormat="1" ht="15.75"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5" customFormat="1" ht="15.75" thickTop="1">
      <c r="A82" s="676"/>
      <c r="B82" s="640">
        <f>B26</f>
        <v>111</v>
      </c>
      <c r="C82" s="655"/>
      <c r="D82" s="655"/>
      <c r="E82" s="655"/>
      <c r="F82" s="655"/>
      <c r="G82" s="655"/>
      <c r="H82" s="655"/>
      <c r="I82" s="655"/>
      <c r="J82" s="655"/>
      <c r="K82" s="655"/>
      <c r="L82" s="850"/>
      <c r="M82" s="851"/>
      <c r="N82" s="1881"/>
      <c r="O82" s="1881"/>
      <c r="P82" s="1884"/>
      <c r="Q82" s="1877"/>
      <c r="R82" s="1743"/>
      <c r="S82" s="1743"/>
      <c r="T82" s="1743"/>
      <c r="U82" s="1743"/>
      <c r="V82" s="1743"/>
      <c r="W82" s="1743"/>
      <c r="X82" s="1743"/>
      <c r="Y82" s="1743"/>
      <c r="Z82" s="1743"/>
      <c r="AA82" s="1743"/>
      <c r="AB82" s="1743"/>
      <c r="AC82" s="1743"/>
    </row>
    <row r="83" spans="1:29" s="1115" customFormat="1" ht="15.75"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7" customFormat="1" ht="15.75" thickTop="1">
      <c r="A84" s="654"/>
      <c r="B84" s="640">
        <f>B27</f>
        <v>111</v>
      </c>
      <c r="C84" s="655"/>
      <c r="D84" s="655"/>
      <c r="E84" s="655"/>
      <c r="F84" s="655"/>
      <c r="G84" s="655"/>
      <c r="H84" s="655"/>
      <c r="I84" s="655"/>
      <c r="J84" s="655"/>
      <c r="K84" s="655"/>
      <c r="L84" s="850"/>
      <c r="M84" s="851"/>
      <c r="N84" s="1886"/>
      <c r="O84" s="1886"/>
      <c r="P84" s="1887"/>
      <c r="Q84" s="1888"/>
      <c r="R84" s="1889"/>
      <c r="S84" s="1889"/>
      <c r="T84" s="1889"/>
      <c r="U84" s="1889"/>
      <c r="V84" s="1889"/>
      <c r="W84" s="1889"/>
      <c r="X84" s="1889"/>
      <c r="Y84" s="1889"/>
      <c r="Z84" s="1889"/>
      <c r="AA84" s="1889"/>
      <c r="AB84" s="1889"/>
      <c r="AC84" s="1889"/>
    </row>
    <row r="85" spans="1:29" s="1197" customFormat="1" ht="15.75"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5.75"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5.75" thickBot="1">
      <c r="A87" s="853"/>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7"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4">
        <v>0.5</v>
      </c>
      <c r="D98" s="854">
        <v>0.6</v>
      </c>
      <c r="E98" s="854">
        <v>0.7</v>
      </c>
      <c r="F98" s="854">
        <v>0.8</v>
      </c>
      <c r="G98" s="854">
        <v>0.9</v>
      </c>
      <c r="H98" s="854">
        <v>1.0001</v>
      </c>
      <c r="I98" s="865"/>
      <c r="J98" s="865"/>
      <c r="K98" s="866"/>
      <c r="L98" s="867"/>
      <c r="M98" s="868"/>
      <c r="N98" s="1883"/>
      <c r="O98" s="1883"/>
      <c r="P98" s="1884"/>
      <c r="Q98" s="1877"/>
      <c r="R98" s="1865"/>
      <c r="S98" s="1865"/>
      <c r="T98" s="1865"/>
      <c r="U98" s="1865"/>
      <c r="V98" s="1865"/>
      <c r="W98" s="1865"/>
      <c r="X98" s="1865"/>
      <c r="Y98" s="1865"/>
      <c r="Z98" s="1865"/>
      <c r="AA98" s="1865"/>
      <c r="AB98" s="1865"/>
      <c r="AC98" s="1865"/>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7"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7"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7.75" thickTop="1">
      <c r="A106" s="702"/>
      <c r="B106" s="877"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7" customFormat="1" ht="15"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7" customFormat="1" ht="15.75"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5"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5"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5.75" thickBot="1">
      <c r="A113" s="853"/>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8.75">
      <c r="A5" s="1579" t="s">
        <v>1429</v>
      </c>
    </row>
    <row r="6" spans="1:4" ht="93.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7" spans="1:4" ht="93.75">
      <c r="A7" s="2350" t="s">
        <v>2030</v>
      </c>
    </row>
    <row r="8" spans="1:4" ht="18.75">
      <c r="A8" s="1579" t="s">
        <v>1430</v>
      </c>
    </row>
    <row r="9" spans="1:4" ht="75">
      <c r="A9" s="1581"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2023年7月31日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根据《国有土地使用证》[]，估价对象（分摊）出让国有建设用地使用权面积为23364.85平方米。根据《建设工程规划许可证》[]、《出让合同》[]，估价对象规划建筑面积为68710.41平方米。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91" sqref="C91:F92"/>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851</v>
      </c>
      <c r="C1" s="473" t="s">
        <v>732</v>
      </c>
      <c r="D1" s="813" t="s">
        <v>3497</v>
      </c>
      <c r="E1" s="475"/>
      <c r="F1" s="2284" t="s">
        <v>3405</v>
      </c>
      <c r="G1" s="1407" t="s">
        <v>733</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734</v>
      </c>
      <c r="B2" s="814">
        <f>IF(B37="元/平方米",ROUND(B3*D3/10000,0),ROUND(F3*C39/10000,0))</f>
        <v>2519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735</v>
      </c>
      <c r="B3" s="479">
        <f>IF(B37="元/平方米",C39,ROUND(B2*10000/D3,0))</f>
        <v>3367</v>
      </c>
      <c r="C3" s="816" t="s">
        <v>736</v>
      </c>
      <c r="D3" s="815">
        <f>SUMIF('数据-汇总表'!$C19:$C33,D1,'数据-汇总表'!$E19:$E33)</f>
        <v>7480.41</v>
      </c>
      <c r="E3" s="1631" t="s">
        <v>1594</v>
      </c>
      <c r="F3" s="815">
        <f>SUMIF('数据-取费表'!A5:A15,D1,'数据-取费表'!AH5:AH15)</f>
        <v>454</v>
      </c>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1" t="s">
        <v>737</v>
      </c>
      <c r="B4" s="482"/>
      <c r="C4" s="3904" t="s">
        <v>738</v>
      </c>
      <c r="D4" s="3905"/>
      <c r="E4" s="3904" t="s">
        <v>739</v>
      </c>
      <c r="F4" s="3905"/>
      <c r="G4" s="3904" t="s">
        <v>740</v>
      </c>
      <c r="H4" s="3905"/>
      <c r="I4" s="3904" t="s">
        <v>741</v>
      </c>
      <c r="J4" s="3905"/>
      <c r="K4" s="483" t="s">
        <v>742</v>
      </c>
      <c r="L4" s="1853"/>
      <c r="M4" s="1854"/>
      <c r="N4" s="1854"/>
      <c r="O4" s="1854"/>
      <c r="P4" s="3906" t="s">
        <v>743</v>
      </c>
      <c r="Q4" s="3907"/>
      <c r="R4" s="3912" t="s">
        <v>739</v>
      </c>
      <c r="S4" s="3913"/>
      <c r="T4" s="3912" t="s">
        <v>740</v>
      </c>
      <c r="U4" s="3913"/>
      <c r="V4" s="3899" t="s">
        <v>741</v>
      </c>
      <c r="W4" s="3899"/>
      <c r="X4" s="1377"/>
      <c r="Y4" s="3912" t="s">
        <v>743</v>
      </c>
      <c r="Z4" s="3913"/>
      <c r="AA4" s="3901" t="s">
        <v>739</v>
      </c>
      <c r="AB4" s="3902" t="s">
        <v>740</v>
      </c>
      <c r="AC4" s="3901" t="s">
        <v>741</v>
      </c>
    </row>
    <row r="5" spans="1:29" ht="15">
      <c r="A5" s="484"/>
      <c r="B5" s="485"/>
      <c r="C5" s="3922" t="str">
        <f>'不动产比较法-住宅'!C5:D5</f>
        <v>中骏·云景台</v>
      </c>
      <c r="D5" s="3921"/>
      <c r="E5" s="3920" t="str">
        <f>销售案例!L6</f>
        <v>中海金樾和著</v>
      </c>
      <c r="F5" s="3921"/>
      <c r="G5" s="3920" t="str">
        <f>销售案例!L16</f>
        <v>旭辉城</v>
      </c>
      <c r="H5" s="3921"/>
      <c r="I5" s="3920" t="str">
        <f>销售案例!L24</f>
        <v>中海京西里</v>
      </c>
      <c r="J5" s="3921"/>
      <c r="K5" s="483"/>
      <c r="L5" s="1853"/>
      <c r="M5" s="1854"/>
      <c r="N5" s="1854"/>
      <c r="O5" s="1854"/>
      <c r="P5" s="3908"/>
      <c r="Q5" s="3909"/>
      <c r="R5" s="3914"/>
      <c r="S5" s="3915"/>
      <c r="T5" s="3914"/>
      <c r="U5" s="3915"/>
      <c r="V5" s="3899"/>
      <c r="W5" s="3899"/>
      <c r="X5" s="1377"/>
      <c r="Y5" s="3914"/>
      <c r="Z5" s="3915"/>
      <c r="AA5" s="3902"/>
      <c r="AB5" s="3902"/>
      <c r="AC5" s="3902"/>
    </row>
    <row r="6" spans="1:29" ht="15.75" thickBot="1">
      <c r="A6" s="486"/>
      <c r="B6" s="487"/>
      <c r="C6" s="4031" t="s">
        <v>3407</v>
      </c>
      <c r="D6" s="3919"/>
      <c r="E6" s="4031" t="s">
        <v>3407</v>
      </c>
      <c r="F6" s="3919"/>
      <c r="G6" s="4031" t="s">
        <v>3407</v>
      </c>
      <c r="H6" s="3919"/>
      <c r="I6" s="4031" t="s">
        <v>3407</v>
      </c>
      <c r="J6" s="3919"/>
      <c r="K6" s="483" t="s">
        <v>477</v>
      </c>
      <c r="L6" s="1853"/>
      <c r="M6" s="1854"/>
      <c r="N6" s="1854"/>
      <c r="O6" s="1854"/>
      <c r="P6" s="3910"/>
      <c r="Q6" s="3911"/>
      <c r="R6" s="3914"/>
      <c r="S6" s="3915"/>
      <c r="T6" s="3916"/>
      <c r="U6" s="3917"/>
      <c r="V6" s="3899"/>
      <c r="W6" s="3899"/>
      <c r="X6" s="1377"/>
      <c r="Y6" s="3916"/>
      <c r="Z6" s="3917"/>
      <c r="AA6" s="3903"/>
      <c r="AB6" s="3903"/>
      <c r="AC6" s="3903"/>
    </row>
    <row r="7" spans="1:29" s="1115" customFormat="1" ht="15.75" thickBot="1">
      <c r="A7" s="2389"/>
      <c r="B7" s="2396" t="s">
        <v>478</v>
      </c>
      <c r="C7" s="488">
        <f>'数据-取费表'!B2</f>
        <v>45138</v>
      </c>
      <c r="D7" s="489">
        <v>100</v>
      </c>
      <c r="E7" s="490">
        <v>45108</v>
      </c>
      <c r="F7" s="491">
        <f>SUMIF(48:48,YEAR(E7)&amp;"-"&amp;MONTH(E7),49:49)</f>
        <v>100</v>
      </c>
      <c r="G7" s="492">
        <v>45078</v>
      </c>
      <c r="H7" s="489">
        <f>SUMIF(48:48,YEAR(G7)&amp;"-"&amp;MONTH(G7),49:49)</f>
        <v>100</v>
      </c>
      <c r="I7" s="492">
        <v>45078</v>
      </c>
      <c r="J7" s="489">
        <f>SUMIF(48:48,YEAR(I7)&amp;"-"&amp;MONTH(I7),49:49)</f>
        <v>100</v>
      </c>
      <c r="K7" s="493"/>
      <c r="L7" s="1855"/>
      <c r="M7" s="1856"/>
      <c r="N7" s="1856"/>
      <c r="O7" s="1856"/>
      <c r="P7" s="3929" t="s">
        <v>479</v>
      </c>
      <c r="Q7" s="3931"/>
      <c r="R7" s="1378" t="s">
        <v>5</v>
      </c>
      <c r="S7" s="1379">
        <f t="shared" ref="S7:S14" si="0">F7</f>
        <v>100</v>
      </c>
      <c r="T7" s="1378" t="s">
        <v>5</v>
      </c>
      <c r="U7" s="1379">
        <f t="shared" ref="U7:U14" si="1">H7</f>
        <v>100</v>
      </c>
      <c r="V7" s="1378" t="s">
        <v>5</v>
      </c>
      <c r="W7" s="1379">
        <f t="shared" ref="W7:W14" si="2">J7</f>
        <v>100</v>
      </c>
      <c r="X7" s="1380"/>
      <c r="Y7" s="3929" t="s">
        <v>479</v>
      </c>
      <c r="Z7" s="3930"/>
      <c r="AA7" s="1381">
        <f>D7/F7</f>
        <v>1</v>
      </c>
      <c r="AB7" s="1381">
        <f>D7/H7</f>
        <v>1</v>
      </c>
      <c r="AC7" s="1381">
        <f>D7/J7</f>
        <v>1</v>
      </c>
    </row>
    <row r="8" spans="1:29" s="1115" customFormat="1" ht="15.75" thickBot="1">
      <c r="A8" s="2390"/>
      <c r="B8" s="2397" t="s">
        <v>480</v>
      </c>
      <c r="C8" s="494" t="s">
        <v>524</v>
      </c>
      <c r="D8" s="489">
        <v>100</v>
      </c>
      <c r="E8" s="494" t="s">
        <v>3409</v>
      </c>
      <c r="F8" s="491">
        <f>SUMIF(51:51,E8,52:52)-SUMIF(51:51,C8,52:52)+100</f>
        <v>100</v>
      </c>
      <c r="G8" s="494" t="s">
        <v>3409</v>
      </c>
      <c r="H8" s="489">
        <f>SUMIF(51:51,G8,52:52)-SUMIF(51:51,C8,52:52)+100</f>
        <v>100</v>
      </c>
      <c r="I8" s="494" t="s">
        <v>3409</v>
      </c>
      <c r="J8" s="489">
        <f>SUMIF(51:51,I8,52:52)-SUMIF(51:51,C8,52:52)+100</f>
        <v>100</v>
      </c>
      <c r="K8" s="493"/>
      <c r="L8" s="1855"/>
      <c r="M8" s="1856"/>
      <c r="N8" s="1856"/>
      <c r="O8" s="1856"/>
      <c r="P8" s="3929" t="s">
        <v>482</v>
      </c>
      <c r="Q8" s="3930"/>
      <c r="R8" s="1378" t="s">
        <v>5</v>
      </c>
      <c r="S8" s="1379">
        <f t="shared" si="0"/>
        <v>100</v>
      </c>
      <c r="T8" s="1378" t="s">
        <v>5</v>
      </c>
      <c r="U8" s="1379">
        <f t="shared" si="1"/>
        <v>100</v>
      </c>
      <c r="V8" s="1378" t="s">
        <v>5</v>
      </c>
      <c r="W8" s="1379">
        <f t="shared" si="2"/>
        <v>100</v>
      </c>
      <c r="X8" s="1380"/>
      <c r="Y8" s="3929" t="s">
        <v>482</v>
      </c>
      <c r="Z8" s="3930"/>
      <c r="AA8" s="1381">
        <f t="shared" ref="AA8:AA36" si="3">D8/F8</f>
        <v>1</v>
      </c>
      <c r="AB8" s="1381">
        <f t="shared" ref="AB8:AB36" si="4">D8/H8</f>
        <v>1</v>
      </c>
      <c r="AC8" s="1381">
        <f t="shared" ref="AC8:AC36" si="5">D8/J8</f>
        <v>1</v>
      </c>
    </row>
    <row r="9" spans="1:29" s="1115" customFormat="1" ht="15">
      <c r="A9" s="2391"/>
      <c r="B9" s="2398" t="s">
        <v>2038</v>
      </c>
      <c r="C9" s="3674" t="s">
        <v>3408</v>
      </c>
      <c r="D9" s="244">
        <v>100</v>
      </c>
      <c r="E9" s="824" t="s">
        <v>2732</v>
      </c>
      <c r="F9" s="244">
        <f>SUMIF(53:53,E9,54:54)-SUMIF(53:53,C9,54:54)+100</f>
        <v>100</v>
      </c>
      <c r="G9" s="824" t="s">
        <v>2732</v>
      </c>
      <c r="H9" s="244">
        <f>SUMIF(53:53,G9,54:54)-SUMIF(53:53,C9,54:54)+100</f>
        <v>100</v>
      </c>
      <c r="I9" s="824" t="s">
        <v>2732</v>
      </c>
      <c r="J9" s="244">
        <f>SUMIF(53:53,I9,54:54)-SUMIF(53:53,C9,54:54)+100</f>
        <v>100</v>
      </c>
      <c r="K9" s="493"/>
      <c r="L9" s="1855"/>
      <c r="M9" s="1856"/>
      <c r="N9" s="1856"/>
      <c r="O9" s="1857"/>
      <c r="P9" s="3898" t="s">
        <v>484</v>
      </c>
      <c r="Q9" s="1047" t="str">
        <f t="shared" ref="Q9:Q14" si="6">B9</f>
        <v>用途</v>
      </c>
      <c r="R9" s="1378" t="s">
        <v>5</v>
      </c>
      <c r="S9" s="1379">
        <f t="shared" si="0"/>
        <v>100</v>
      </c>
      <c r="T9" s="1378" t="s">
        <v>5</v>
      </c>
      <c r="U9" s="1379">
        <f t="shared" si="1"/>
        <v>100</v>
      </c>
      <c r="V9" s="1378" t="s">
        <v>5</v>
      </c>
      <c r="W9" s="1379">
        <f t="shared" si="2"/>
        <v>100</v>
      </c>
      <c r="X9" s="1380"/>
      <c r="Y9" s="3842" t="s">
        <v>485</v>
      </c>
      <c r="Z9" s="1046" t="str">
        <f t="shared" ref="Z9:Z14" si="7">Q9</f>
        <v>用途</v>
      </c>
      <c r="AA9" s="1381">
        <f t="shared" si="3"/>
        <v>1</v>
      </c>
      <c r="AB9" s="1381">
        <f t="shared" si="4"/>
        <v>1</v>
      </c>
      <c r="AC9" s="1381">
        <f t="shared" si="5"/>
        <v>1</v>
      </c>
    </row>
    <row r="10" spans="1:29" s="1196" customFormat="1" ht="27.75" thickBot="1">
      <c r="A10" s="2392"/>
      <c r="B10" s="2397" t="s">
        <v>2039</v>
      </c>
      <c r="C10" s="3657" t="s">
        <v>3410</v>
      </c>
      <c r="D10" s="245">
        <v>100</v>
      </c>
      <c r="E10" s="3657" t="s">
        <v>3410</v>
      </c>
      <c r="F10" s="245">
        <f>SUMIF(55:55,E10,56:56)-SUMIF(55:55,C10,56:56)+100</f>
        <v>100</v>
      </c>
      <c r="G10" s="3657" t="s">
        <v>3410</v>
      </c>
      <c r="H10" s="245">
        <f>SUMIF(55:55,G10,56:56)-SUMIF(55:55,C10,56:56)+100</f>
        <v>100</v>
      </c>
      <c r="I10" s="3657" t="s">
        <v>3410</v>
      </c>
      <c r="J10" s="245">
        <f>SUMIF(55:55,I10,56:56)-SUMIF(55:55,C10,56:56)+100</f>
        <v>100</v>
      </c>
      <c r="K10" s="493"/>
      <c r="L10" s="1858"/>
      <c r="M10" s="1897"/>
      <c r="N10" s="1897"/>
      <c r="O10" s="1859"/>
      <c r="P10" s="3898"/>
      <c r="Q10" s="1047" t="str">
        <f t="shared" si="6"/>
        <v>土地使用年限（年）</v>
      </c>
      <c r="R10" s="1378" t="s">
        <v>5</v>
      </c>
      <c r="S10" s="1379">
        <f t="shared" si="0"/>
        <v>100</v>
      </c>
      <c r="T10" s="1378" t="s">
        <v>5</v>
      </c>
      <c r="U10" s="1379">
        <f t="shared" si="1"/>
        <v>100</v>
      </c>
      <c r="V10" s="1378" t="s">
        <v>5</v>
      </c>
      <c r="W10" s="1379">
        <f t="shared" si="2"/>
        <v>100</v>
      </c>
      <c r="X10" s="1380"/>
      <c r="Y10" s="3842"/>
      <c r="Z10" s="1046" t="str">
        <f t="shared" si="7"/>
        <v>土地使用年限（年）</v>
      </c>
      <c r="AA10" s="1381">
        <f t="shared" si="3"/>
        <v>1</v>
      </c>
      <c r="AB10" s="1381">
        <f t="shared" si="4"/>
        <v>1</v>
      </c>
      <c r="AC10" s="1381">
        <f t="shared" si="5"/>
        <v>1</v>
      </c>
    </row>
    <row r="11" spans="1:29" ht="15" hidden="1">
      <c r="A11" s="2394"/>
      <c r="B11" s="2400">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898"/>
      <c r="Q11" s="1047">
        <f t="shared" si="6"/>
        <v>111</v>
      </c>
      <c r="R11" s="1378" t="s">
        <v>5</v>
      </c>
      <c r="S11" s="1379">
        <f t="shared" si="0"/>
        <v>100</v>
      </c>
      <c r="T11" s="1378" t="s">
        <v>5</v>
      </c>
      <c r="U11" s="1379">
        <f t="shared" si="1"/>
        <v>100</v>
      </c>
      <c r="V11" s="1378" t="s">
        <v>5</v>
      </c>
      <c r="W11" s="1379">
        <f t="shared" si="2"/>
        <v>100</v>
      </c>
      <c r="X11" s="1380"/>
      <c r="Y11" s="3842"/>
      <c r="Z11" s="1046">
        <f t="shared" si="7"/>
        <v>111</v>
      </c>
      <c r="AA11" s="1381">
        <f t="shared" si="3"/>
        <v>1</v>
      </c>
      <c r="AB11" s="1381">
        <f t="shared" si="4"/>
        <v>1</v>
      </c>
      <c r="AC11" s="1381">
        <f t="shared" si="5"/>
        <v>1</v>
      </c>
    </row>
    <row r="12" spans="1:29" s="1115" customFormat="1" ht="15" hidden="1">
      <c r="A12" s="2394"/>
      <c r="B12" s="2400">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898"/>
      <c r="Q12" s="1047">
        <f t="shared" si="6"/>
        <v>111</v>
      </c>
      <c r="R12" s="1378" t="s">
        <v>5</v>
      </c>
      <c r="S12" s="1379">
        <f t="shared" si="0"/>
        <v>100</v>
      </c>
      <c r="T12" s="1378" t="s">
        <v>5</v>
      </c>
      <c r="U12" s="1379">
        <f t="shared" si="1"/>
        <v>100</v>
      </c>
      <c r="V12" s="1378" t="s">
        <v>5</v>
      </c>
      <c r="W12" s="1379">
        <f t="shared" si="2"/>
        <v>100</v>
      </c>
      <c r="X12" s="1380"/>
      <c r="Y12" s="3842"/>
      <c r="Z12" s="1046">
        <f t="shared" si="7"/>
        <v>111</v>
      </c>
      <c r="AA12" s="1381">
        <f>D12/F12</f>
        <v>1</v>
      </c>
      <c r="AB12" s="1381">
        <f>D12/H12</f>
        <v>1</v>
      </c>
      <c r="AC12" s="1381">
        <f>D12/J12</f>
        <v>1</v>
      </c>
    </row>
    <row r="13" spans="1:29" ht="15.75" hidden="1" thickBot="1">
      <c r="A13" s="2395"/>
      <c r="B13" s="2401">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898"/>
      <c r="Q13" s="1047">
        <f t="shared" si="6"/>
        <v>111</v>
      </c>
      <c r="R13" s="1378" t="s">
        <v>5</v>
      </c>
      <c r="S13" s="1379">
        <f t="shared" si="0"/>
        <v>100</v>
      </c>
      <c r="T13" s="1378" t="s">
        <v>5</v>
      </c>
      <c r="U13" s="1379">
        <f t="shared" si="1"/>
        <v>100</v>
      </c>
      <c r="V13" s="1378" t="s">
        <v>5</v>
      </c>
      <c r="W13" s="1379">
        <f t="shared" si="2"/>
        <v>100</v>
      </c>
      <c r="X13" s="1380"/>
      <c r="Y13" s="3842"/>
      <c r="Z13" s="1046">
        <f t="shared" si="7"/>
        <v>111</v>
      </c>
      <c r="AA13" s="1381">
        <f t="shared" si="3"/>
        <v>1</v>
      </c>
      <c r="AB13" s="1381">
        <f t="shared" si="4"/>
        <v>1</v>
      </c>
      <c r="AC13" s="1381">
        <f t="shared" si="5"/>
        <v>1</v>
      </c>
    </row>
    <row r="14" spans="1:29" ht="15">
      <c r="A14" s="2387" t="s">
        <v>2036</v>
      </c>
      <c r="B14" s="516" t="s">
        <v>492</v>
      </c>
      <c r="C14" s="881">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105</v>
      </c>
      <c r="K14" s="858">
        <v>5</v>
      </c>
      <c r="L14" s="1862"/>
      <c r="M14" s="1854"/>
      <c r="N14" s="1854"/>
      <c r="O14" s="1861"/>
      <c r="P14" s="3932" t="s">
        <v>489</v>
      </c>
      <c r="Q14" s="1382" t="str">
        <f t="shared" si="6"/>
        <v>交通便捷度</v>
      </c>
      <c r="R14" s="1383" t="s">
        <v>5</v>
      </c>
      <c r="S14" s="1384">
        <f t="shared" si="0"/>
        <v>100</v>
      </c>
      <c r="T14" s="1383" t="s">
        <v>5</v>
      </c>
      <c r="U14" s="1384">
        <f t="shared" si="1"/>
        <v>105</v>
      </c>
      <c r="V14" s="1383" t="s">
        <v>5</v>
      </c>
      <c r="W14" s="1384">
        <f t="shared" si="2"/>
        <v>105</v>
      </c>
      <c r="X14" s="1377"/>
      <c r="Y14" s="3932" t="s">
        <v>489</v>
      </c>
      <c r="Z14" s="1385" t="str">
        <f t="shared" si="7"/>
        <v>交通便捷度</v>
      </c>
      <c r="AA14" s="1386">
        <f t="shared" si="3"/>
        <v>1</v>
      </c>
      <c r="AB14" s="1386">
        <f t="shared" si="4"/>
        <v>0.95238095238095233</v>
      </c>
      <c r="AC14" s="1386">
        <f t="shared" si="5"/>
        <v>0.95238095238095233</v>
      </c>
    </row>
    <row r="15" spans="1:29" ht="15">
      <c r="A15" s="484"/>
      <c r="B15" s="884"/>
      <c r="C15" s="545" t="str">
        <f>'比较法-住宅、综合'!C24</f>
        <v>一般</v>
      </c>
      <c r="D15" s="524"/>
      <c r="E15" s="545" t="s">
        <v>3411</v>
      </c>
      <c r="F15" s="526"/>
      <c r="G15" s="545" t="s">
        <v>3412</v>
      </c>
      <c r="H15" s="528"/>
      <c r="I15" s="545" t="s">
        <v>3412</v>
      </c>
      <c r="J15" s="524"/>
      <c r="K15" s="859"/>
      <c r="L15" s="1862"/>
      <c r="M15" s="1854"/>
      <c r="N15" s="1854"/>
      <c r="O15" s="1861"/>
      <c r="P15" s="3933"/>
      <c r="Q15" s="1382"/>
      <c r="R15" s="1383"/>
      <c r="S15" s="1384"/>
      <c r="T15" s="1383"/>
      <c r="U15" s="1384"/>
      <c r="V15" s="1383"/>
      <c r="W15" s="1384"/>
      <c r="X15" s="1377"/>
      <c r="Y15" s="3933"/>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100</v>
      </c>
      <c r="G16" s="541"/>
      <c r="H16" s="534">
        <f>SUMIF(65:65,G17,66:66)-SUMIF(65:65,C17,66:66)+100</f>
        <v>105</v>
      </c>
      <c r="I16" s="539"/>
      <c r="J16" s="534">
        <f>SUMIF(65:65,I17,66:66)-SUMIF(65:65,C17,66:66)+100</f>
        <v>105</v>
      </c>
      <c r="K16" s="858">
        <v>5</v>
      </c>
      <c r="L16" s="1862"/>
      <c r="M16" s="1854"/>
      <c r="N16" s="1854"/>
      <c r="O16" s="1861"/>
      <c r="P16" s="3933"/>
      <c r="Q16" s="1382" t="str">
        <f>B16</f>
        <v>公共配套设施</v>
      </c>
      <c r="R16" s="1383" t="s">
        <v>5</v>
      </c>
      <c r="S16" s="1384">
        <f>F16</f>
        <v>100</v>
      </c>
      <c r="T16" s="1383" t="s">
        <v>5</v>
      </c>
      <c r="U16" s="1384">
        <f>H16</f>
        <v>105</v>
      </c>
      <c r="V16" s="1383" t="s">
        <v>5</v>
      </c>
      <c r="W16" s="1384">
        <f>J16</f>
        <v>105</v>
      </c>
      <c r="X16" s="1377"/>
      <c r="Y16" s="3933"/>
      <c r="Z16" s="1385" t="str">
        <f>Q16</f>
        <v>公共配套设施</v>
      </c>
      <c r="AA16" s="1386">
        <f t="shared" si="3"/>
        <v>1</v>
      </c>
      <c r="AB16" s="1386">
        <f t="shared" si="4"/>
        <v>0.95238095238095233</v>
      </c>
      <c r="AC16" s="1386">
        <f t="shared" si="5"/>
        <v>0.95238095238095233</v>
      </c>
    </row>
    <row r="17" spans="1:29" ht="15">
      <c r="A17" s="484"/>
      <c r="B17" s="535"/>
      <c r="C17" s="835" t="str">
        <f>'比较法-住宅、综合'!C30</f>
        <v>一般</v>
      </c>
      <c r="D17" s="524"/>
      <c r="E17" s="835" t="s">
        <v>3411</v>
      </c>
      <c r="F17" s="526"/>
      <c r="G17" s="545" t="s">
        <v>3412</v>
      </c>
      <c r="H17" s="524"/>
      <c r="I17" s="835" t="s">
        <v>3412</v>
      </c>
      <c r="J17" s="524"/>
      <c r="K17" s="859"/>
      <c r="L17" s="1862"/>
      <c r="M17" s="1854"/>
      <c r="N17" s="1854"/>
      <c r="O17" s="1861"/>
      <c r="P17" s="3933"/>
      <c r="Q17" s="1382"/>
      <c r="R17" s="1383"/>
      <c r="S17" s="1384"/>
      <c r="T17" s="1383"/>
      <c r="U17" s="1384"/>
      <c r="V17" s="1383"/>
      <c r="W17" s="1384"/>
      <c r="X17" s="1377"/>
      <c r="Y17" s="3933"/>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8">
        <f>'不动产比较法-住宅'!K21</f>
        <v>1</v>
      </c>
      <c r="L18" s="1862"/>
      <c r="M18" s="1854"/>
      <c r="N18" s="1854">
        <f>B2/F3</f>
        <v>5.5484581497797354</v>
      </c>
      <c r="O18" s="1861"/>
      <c r="P18" s="3933"/>
      <c r="Q18" s="2190" t="str">
        <f>B18</f>
        <v>基础设施水平</v>
      </c>
      <c r="R18" s="1383" t="s">
        <v>5</v>
      </c>
      <c r="S18" s="1384">
        <f>F18</f>
        <v>100</v>
      </c>
      <c r="T18" s="1383" t="s">
        <v>5</v>
      </c>
      <c r="U18" s="1384">
        <f>H18</f>
        <v>100</v>
      </c>
      <c r="V18" s="1383" t="s">
        <v>5</v>
      </c>
      <c r="W18" s="1384">
        <f>J18</f>
        <v>100</v>
      </c>
      <c r="X18" s="2192"/>
      <c r="Y18" s="3933"/>
      <c r="Z18" s="2191" t="str">
        <f>Q18</f>
        <v>基础设施水平</v>
      </c>
      <c r="AA18" s="1386">
        <f>D18/F18</f>
        <v>1</v>
      </c>
      <c r="AB18" s="1386">
        <f>D18/H18</f>
        <v>1</v>
      </c>
      <c r="AC18" s="1386">
        <f>D18/J18</f>
        <v>1</v>
      </c>
    </row>
    <row r="19" spans="1:29" ht="15">
      <c r="A19" s="484"/>
      <c r="B19" s="547"/>
      <c r="C19" s="835" t="s">
        <v>3413</v>
      </c>
      <c r="D19" s="528"/>
      <c r="E19" s="835" t="s">
        <v>3413</v>
      </c>
      <c r="F19" s="526"/>
      <c r="G19" s="835" t="s">
        <v>3413</v>
      </c>
      <c r="H19" s="524"/>
      <c r="I19" s="835" t="s">
        <v>3413</v>
      </c>
      <c r="J19" s="524"/>
      <c r="K19" s="2207"/>
      <c r="L19" s="1862"/>
      <c r="M19" s="1854"/>
      <c r="N19" s="1854"/>
      <c r="O19" s="1861"/>
      <c r="P19" s="3933"/>
      <c r="Q19" s="2190"/>
      <c r="R19" s="1383"/>
      <c r="S19" s="1384"/>
      <c r="T19" s="1383"/>
      <c r="U19" s="1384"/>
      <c r="V19" s="1383"/>
      <c r="W19" s="1384"/>
      <c r="X19" s="2192"/>
      <c r="Y19" s="3933"/>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105</v>
      </c>
      <c r="I20" s="531"/>
      <c r="J20" s="528">
        <f>SUMIF(69:69,I21,70:70)-SUMIF(69:69,C21,70:70)+100</f>
        <v>105</v>
      </c>
      <c r="K20" s="858">
        <v>5</v>
      </c>
      <c r="L20" s="1862"/>
      <c r="M20" s="1854"/>
      <c r="N20" s="1854"/>
      <c r="O20" s="1861"/>
      <c r="P20" s="3933"/>
      <c r="Q20" s="1382" t="str">
        <f>B20</f>
        <v>自然及人文环境</v>
      </c>
      <c r="R20" s="1383" t="s">
        <v>5</v>
      </c>
      <c r="S20" s="1384">
        <f>F20</f>
        <v>100</v>
      </c>
      <c r="T20" s="1383" t="s">
        <v>5</v>
      </c>
      <c r="U20" s="1384">
        <f>H20</f>
        <v>105</v>
      </c>
      <c r="V20" s="1383" t="s">
        <v>5</v>
      </c>
      <c r="W20" s="1384">
        <f>J20</f>
        <v>105</v>
      </c>
      <c r="X20" s="1377"/>
      <c r="Y20" s="3933"/>
      <c r="Z20" s="1385" t="str">
        <f>Q20</f>
        <v>自然及人文环境</v>
      </c>
      <c r="AA20" s="1386">
        <f t="shared" si="3"/>
        <v>1</v>
      </c>
      <c r="AB20" s="1386">
        <f t="shared" si="4"/>
        <v>0.95238095238095233</v>
      </c>
      <c r="AC20" s="1386">
        <f t="shared" si="5"/>
        <v>0.95238095238095233</v>
      </c>
    </row>
    <row r="21" spans="1:29" ht="15">
      <c r="A21" s="484"/>
      <c r="B21" s="535"/>
      <c r="C21" s="545" t="str">
        <f>'比较法-住宅、综合'!C28</f>
        <v>一般</v>
      </c>
      <c r="D21" s="524"/>
      <c r="E21" s="545" t="str">
        <f>'比较法-住宅、综合'!E28</f>
        <v>一般</v>
      </c>
      <c r="F21" s="526"/>
      <c r="G21" s="545" t="s">
        <v>3412</v>
      </c>
      <c r="H21" s="524"/>
      <c r="I21" s="545" t="s">
        <v>3412</v>
      </c>
      <c r="J21" s="524"/>
      <c r="K21" s="859"/>
      <c r="L21" s="1862"/>
      <c r="M21" s="1854"/>
      <c r="N21" s="1854"/>
      <c r="O21" s="1861"/>
      <c r="P21" s="3933"/>
      <c r="Q21" s="1382"/>
      <c r="R21" s="1383"/>
      <c r="S21" s="1384"/>
      <c r="T21" s="1383"/>
      <c r="U21" s="1384"/>
      <c r="V21" s="1383"/>
      <c r="W21" s="1384"/>
      <c r="X21" s="1377"/>
      <c r="Y21" s="3933"/>
      <c r="Z21" s="1385"/>
      <c r="AA21" s="1386">
        <v>1</v>
      </c>
      <c r="AB21" s="1386">
        <v>1</v>
      </c>
      <c r="AC21" s="1386">
        <v>1</v>
      </c>
    </row>
    <row r="22" spans="1:29" ht="15.75" thickBot="1">
      <c r="A22" s="484"/>
      <c r="B22" s="529" t="s">
        <v>745</v>
      </c>
      <c r="C22" s="552" t="s">
        <v>3255</v>
      </c>
      <c r="D22" s="528">
        <v>100</v>
      </c>
      <c r="E22" s="552" t="s">
        <v>3255</v>
      </c>
      <c r="F22" s="544">
        <f>SUMIF(71:71,E22,72:72)-SUMIF(71:71,C22,72:72)+100</f>
        <v>100</v>
      </c>
      <c r="G22" s="552" t="s">
        <v>3255</v>
      </c>
      <c r="H22" s="509">
        <f>SUMIF(71:71,G22,72:72)-SUMIF(71:71,C22,72:72)+100</f>
        <v>100</v>
      </c>
      <c r="I22" s="552" t="s">
        <v>3255</v>
      </c>
      <c r="J22" s="509">
        <f>SUMIF(71:71,I22,72:72)-SUMIF(71:71,C22,72:72)+100</f>
        <v>100</v>
      </c>
      <c r="K22" s="553">
        <v>2</v>
      </c>
      <c r="L22" s="1862"/>
      <c r="M22" s="1854"/>
      <c r="N22" s="1854"/>
      <c r="O22" s="1861"/>
      <c r="P22" s="3933"/>
      <c r="Q22" s="1382" t="str">
        <f>B22</f>
        <v>楼层</v>
      </c>
      <c r="R22" s="1383" t="s">
        <v>5</v>
      </c>
      <c r="S22" s="1384">
        <f>F22</f>
        <v>100</v>
      </c>
      <c r="T22" s="1383" t="s">
        <v>5</v>
      </c>
      <c r="U22" s="1384">
        <f>H22</f>
        <v>100</v>
      </c>
      <c r="V22" s="1383" t="s">
        <v>5</v>
      </c>
      <c r="W22" s="1384">
        <f>J22</f>
        <v>100</v>
      </c>
      <c r="X22" s="1377"/>
      <c r="Y22" s="3933"/>
      <c r="Z22" s="1385" t="str">
        <f>Q22</f>
        <v>楼层</v>
      </c>
      <c r="AA22" s="1386">
        <f t="shared" si="3"/>
        <v>1</v>
      </c>
      <c r="AB22" s="1386">
        <f t="shared" si="4"/>
        <v>1</v>
      </c>
      <c r="AC22" s="1386">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33"/>
      <c r="Q23" s="1382">
        <f>B23</f>
        <v>111</v>
      </c>
      <c r="R23" s="1383" t="s">
        <v>5</v>
      </c>
      <c r="S23" s="1384">
        <f>F23</f>
        <v>100</v>
      </c>
      <c r="T23" s="1383" t="s">
        <v>5</v>
      </c>
      <c r="U23" s="1384">
        <f>H23</f>
        <v>100</v>
      </c>
      <c r="V23" s="1383" t="s">
        <v>5</v>
      </c>
      <c r="W23" s="1384">
        <f>J23</f>
        <v>100</v>
      </c>
      <c r="X23" s="1377"/>
      <c r="Y23" s="3933"/>
      <c r="Z23" s="1385">
        <f>Q23</f>
        <v>111</v>
      </c>
      <c r="AA23" s="1386">
        <f t="shared" si="3"/>
        <v>1</v>
      </c>
      <c r="AB23" s="1386">
        <f t="shared" si="4"/>
        <v>1</v>
      </c>
      <c r="AC23" s="1386">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33"/>
      <c r="Q24" s="1382">
        <f t="shared" ref="Q24:Q36" si="8">B24</f>
        <v>111</v>
      </c>
      <c r="R24" s="1383" t="s">
        <v>5</v>
      </c>
      <c r="S24" s="1384">
        <f>F24</f>
        <v>100</v>
      </c>
      <c r="T24" s="1383" t="s">
        <v>5</v>
      </c>
      <c r="U24" s="1384">
        <f>H24</f>
        <v>100</v>
      </c>
      <c r="V24" s="1383" t="s">
        <v>5</v>
      </c>
      <c r="W24" s="1384">
        <f>J24</f>
        <v>100</v>
      </c>
      <c r="X24" s="1377"/>
      <c r="Y24" s="3933"/>
      <c r="Z24" s="1385">
        <f>Q24</f>
        <v>111</v>
      </c>
      <c r="AA24" s="1386">
        <f t="shared" si="3"/>
        <v>1</v>
      </c>
      <c r="AB24" s="1386">
        <f t="shared" si="4"/>
        <v>1</v>
      </c>
      <c r="AC24" s="1386">
        <f t="shared" si="5"/>
        <v>1</v>
      </c>
    </row>
    <row r="25" spans="1:29" s="1115" customFormat="1" ht="15.75"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5"/>
      <c r="M25" s="1856"/>
      <c r="N25" s="1856"/>
      <c r="O25" s="1857"/>
      <c r="P25" s="3933"/>
      <c r="Q25" s="1047">
        <f t="shared" si="8"/>
        <v>111</v>
      </c>
      <c r="R25" s="1378" t="s">
        <v>5</v>
      </c>
      <c r="S25" s="1379">
        <f>F25</f>
        <v>100</v>
      </c>
      <c r="T25" s="1378" t="s">
        <v>5</v>
      </c>
      <c r="U25" s="1379">
        <f>H25</f>
        <v>100</v>
      </c>
      <c r="V25" s="1378" t="s">
        <v>5</v>
      </c>
      <c r="W25" s="1379">
        <f>J25</f>
        <v>100</v>
      </c>
      <c r="X25" s="1380"/>
      <c r="Y25" s="3933"/>
      <c r="Z25" s="1046">
        <f>Q25</f>
        <v>111</v>
      </c>
      <c r="AA25" s="1386">
        <f>D25/F25</f>
        <v>1</v>
      </c>
      <c r="AB25" s="1386">
        <f>D25/H25</f>
        <v>1</v>
      </c>
      <c r="AC25" s="1386">
        <f>D25/J25</f>
        <v>1</v>
      </c>
    </row>
    <row r="26" spans="1:29" ht="15">
      <c r="A26" s="2384" t="s">
        <v>2037</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2</v>
      </c>
      <c r="L26" s="1862"/>
      <c r="M26" s="1854"/>
      <c r="N26" s="1854"/>
      <c r="O26" s="1861"/>
      <c r="P26" s="3934"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35" t="s">
        <v>499</v>
      </c>
      <c r="Z26" s="1385" t="str">
        <f t="shared" ref="Z26:Z36" si="12">Q26</f>
        <v>配套类型</v>
      </c>
      <c r="AA26" s="1386">
        <f t="shared" si="3"/>
        <v>1</v>
      </c>
      <c r="AB26" s="1386">
        <f t="shared" si="4"/>
        <v>1</v>
      </c>
      <c r="AC26" s="1386">
        <f t="shared" si="5"/>
        <v>1</v>
      </c>
    </row>
    <row r="27" spans="1:29" s="1197" customFormat="1" ht="15" hidden="1">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60"/>
      <c r="M27" s="1890"/>
      <c r="N27" s="1890"/>
      <c r="O27" s="1863"/>
      <c r="P27" s="3935"/>
      <c r="Q27" s="1411" t="str">
        <f t="shared" si="8"/>
        <v>项目停车位配比</v>
      </c>
      <c r="R27" s="1387" t="s">
        <v>5</v>
      </c>
      <c r="S27" s="1388">
        <f t="shared" si="9"/>
        <v>100</v>
      </c>
      <c r="T27" s="1387" t="s">
        <v>5</v>
      </c>
      <c r="U27" s="1388">
        <f t="shared" si="10"/>
        <v>100</v>
      </c>
      <c r="V27" s="1387" t="s">
        <v>5</v>
      </c>
      <c r="W27" s="1388">
        <f t="shared" si="11"/>
        <v>100</v>
      </c>
      <c r="X27" s="1389"/>
      <c r="Y27" s="3935"/>
      <c r="Z27" s="1390" t="str">
        <f t="shared" si="12"/>
        <v>项目停车位配比</v>
      </c>
      <c r="AA27" s="1386">
        <f t="shared" si="3"/>
        <v>1</v>
      </c>
      <c r="AB27" s="1386">
        <f t="shared" si="4"/>
        <v>1</v>
      </c>
      <c r="AC27" s="1386">
        <f t="shared" si="5"/>
        <v>1</v>
      </c>
    </row>
    <row r="28" spans="1:29" ht="15">
      <c r="A28" s="891"/>
      <c r="B28" s="551" t="s">
        <v>748</v>
      </c>
      <c r="C28" s="543" t="s">
        <v>3481</v>
      </c>
      <c r="D28" s="509">
        <v>100</v>
      </c>
      <c r="E28" s="543" t="s">
        <v>3481</v>
      </c>
      <c r="F28" s="544">
        <f>SUMIF(83:83,E28,84:84)-SUMIF(83:83,C28,84:84)+100</f>
        <v>100</v>
      </c>
      <c r="G28" s="543" t="s">
        <v>3481</v>
      </c>
      <c r="H28" s="509">
        <f>SUMIF(83:83,G28,84:84)-SUMIF(83:83,C28,84:84)+100</f>
        <v>100</v>
      </c>
      <c r="I28" s="543" t="s">
        <v>3481</v>
      </c>
      <c r="J28" s="509">
        <f>SUMIF(83:83,I28,84:84)-SUMIF(83:83,C28,84:84)+100</f>
        <v>100</v>
      </c>
      <c r="K28" s="553">
        <f>'不动产比较法-住宅'!K36</f>
        <v>2</v>
      </c>
      <c r="L28" s="1862"/>
      <c r="M28" s="1854"/>
      <c r="N28" s="1854"/>
      <c r="O28" s="1861"/>
      <c r="P28" s="3935"/>
      <c r="Q28" s="1382" t="str">
        <f t="shared" si="8"/>
        <v>公共部分装修</v>
      </c>
      <c r="R28" s="1383" t="s">
        <v>5</v>
      </c>
      <c r="S28" s="1384">
        <f t="shared" si="9"/>
        <v>100</v>
      </c>
      <c r="T28" s="1383" t="s">
        <v>5</v>
      </c>
      <c r="U28" s="1384">
        <f t="shared" si="10"/>
        <v>100</v>
      </c>
      <c r="V28" s="1383" t="s">
        <v>5</v>
      </c>
      <c r="W28" s="1384">
        <f t="shared" si="11"/>
        <v>100</v>
      </c>
      <c r="X28" s="1377"/>
      <c r="Y28" s="3935"/>
      <c r="Z28" s="1385" t="str">
        <f t="shared" si="12"/>
        <v>公共部分装修</v>
      </c>
      <c r="AA28" s="1386">
        <f t="shared" si="3"/>
        <v>1</v>
      </c>
      <c r="AB28" s="1386">
        <f t="shared" si="4"/>
        <v>1</v>
      </c>
      <c r="AC28" s="1386">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f>'不动产比较法-住宅'!K37</f>
        <v>1</v>
      </c>
      <c r="L29" s="1862"/>
      <c r="M29" s="1854"/>
      <c r="N29" s="1854"/>
      <c r="O29" s="1861"/>
      <c r="P29" s="3935"/>
      <c r="Q29" s="1382" t="str">
        <f t="shared" si="8"/>
        <v>成新率</v>
      </c>
      <c r="R29" s="1383" t="s">
        <v>5</v>
      </c>
      <c r="S29" s="1384">
        <f t="shared" si="9"/>
        <v>100</v>
      </c>
      <c r="T29" s="1383" t="s">
        <v>5</v>
      </c>
      <c r="U29" s="1384">
        <f t="shared" si="10"/>
        <v>100</v>
      </c>
      <c r="V29" s="1383" t="s">
        <v>5</v>
      </c>
      <c r="W29" s="1384">
        <f t="shared" si="11"/>
        <v>100</v>
      </c>
      <c r="X29" s="1377"/>
      <c r="Y29" s="3935"/>
      <c r="Z29" s="1385" t="str">
        <f t="shared" si="12"/>
        <v>成新率</v>
      </c>
      <c r="AA29" s="1386">
        <f t="shared" si="3"/>
        <v>1</v>
      </c>
      <c r="AB29" s="1386">
        <f t="shared" si="4"/>
        <v>1</v>
      </c>
      <c r="AC29" s="1386">
        <f t="shared" si="5"/>
        <v>1</v>
      </c>
    </row>
    <row r="30" spans="1:29" ht="15">
      <c r="A30" s="891"/>
      <c r="B30" s="551" t="s">
        <v>750</v>
      </c>
      <c r="C30" s="892" t="s">
        <v>3420</v>
      </c>
      <c r="D30" s="509">
        <v>100</v>
      </c>
      <c r="E30" s="892" t="s">
        <v>3420</v>
      </c>
      <c r="F30" s="544">
        <f>SUMIF(88:88,E30,89:89)-SUMIF(88:88,C30,89:89)+100</f>
        <v>100</v>
      </c>
      <c r="G30" s="892" t="s">
        <v>3420</v>
      </c>
      <c r="H30" s="509">
        <f>SUMIF(88:88,E30,89:89)-SUMIF(88:88,C30,89:89)+100</f>
        <v>100</v>
      </c>
      <c r="I30" s="892" t="s">
        <v>3420</v>
      </c>
      <c r="J30" s="509">
        <f>SUMIF(88:88,E30,89:89)-SUMIF(88:88,C30,89:89)+100</f>
        <v>100</v>
      </c>
      <c r="K30" s="553">
        <f>'不动产比较法-住宅'!K38</f>
        <v>2</v>
      </c>
      <c r="L30" s="1862"/>
      <c r="M30" s="1854"/>
      <c r="N30" s="1854"/>
      <c r="O30" s="1861"/>
      <c r="P30" s="3935"/>
      <c r="Q30" s="1382" t="str">
        <f t="shared" si="8"/>
        <v>物业等级</v>
      </c>
      <c r="R30" s="1383" t="s">
        <v>5</v>
      </c>
      <c r="S30" s="1384">
        <f t="shared" si="9"/>
        <v>100</v>
      </c>
      <c r="T30" s="1383" t="s">
        <v>5</v>
      </c>
      <c r="U30" s="1384">
        <f t="shared" si="10"/>
        <v>100</v>
      </c>
      <c r="V30" s="1383" t="s">
        <v>5</v>
      </c>
      <c r="W30" s="1384">
        <f t="shared" si="11"/>
        <v>100</v>
      </c>
      <c r="X30" s="1377"/>
      <c r="Y30" s="3935"/>
      <c r="Z30" s="1385" t="str">
        <f t="shared" si="12"/>
        <v>物业等级</v>
      </c>
      <c r="AA30" s="1386">
        <f t="shared" si="3"/>
        <v>1</v>
      </c>
      <c r="AB30" s="1386">
        <f t="shared" si="4"/>
        <v>1</v>
      </c>
      <c r="AC30" s="1386">
        <f t="shared" si="5"/>
        <v>1</v>
      </c>
    </row>
    <row r="31" spans="1:29" s="1115" customFormat="1" ht="15">
      <c r="A31" s="893"/>
      <c r="B31" s="551" t="s">
        <v>751</v>
      </c>
      <c r="C31" s="842">
        <f>经济技术指标!H32</f>
        <v>16.48</v>
      </c>
      <c r="D31" s="245">
        <v>100</v>
      </c>
      <c r="E31" s="842">
        <f>销售案例!P9</f>
        <v>30</v>
      </c>
      <c r="F31" s="544">
        <f>LOOKUP(E31,91:91,92:92)-LOOKUP(C31,91:91,92:92)+100</f>
        <v>104</v>
      </c>
      <c r="G31" s="842">
        <f>销售案例!P18</f>
        <v>34.5</v>
      </c>
      <c r="H31" s="509">
        <f>LOOKUP(G31,91:91,92:92)-LOOKUP(C31,91:91,92:92)+100</f>
        <v>104</v>
      </c>
      <c r="I31" s="842">
        <f>销售案例!P25</f>
        <v>35.75</v>
      </c>
      <c r="J31" s="509">
        <f>LOOKUP(I31,91:91,92:92)-LOOKUP(C31,91:91,92:92)+100</f>
        <v>104</v>
      </c>
      <c r="K31" s="553">
        <v>3</v>
      </c>
      <c r="L31" s="1855"/>
      <c r="M31" s="1856"/>
      <c r="N31" s="1856"/>
      <c r="O31" s="1857"/>
      <c r="P31" s="3935"/>
      <c r="Q31" s="1047" t="str">
        <f t="shared" si="8"/>
        <v>停车位面积</v>
      </c>
      <c r="R31" s="1378" t="s">
        <v>5</v>
      </c>
      <c r="S31" s="1379">
        <f t="shared" si="9"/>
        <v>104</v>
      </c>
      <c r="T31" s="1378" t="s">
        <v>5</v>
      </c>
      <c r="U31" s="1379">
        <f t="shared" si="10"/>
        <v>104</v>
      </c>
      <c r="V31" s="1378" t="s">
        <v>5</v>
      </c>
      <c r="W31" s="1379">
        <f t="shared" si="11"/>
        <v>104</v>
      </c>
      <c r="X31" s="1380"/>
      <c r="Y31" s="3935"/>
      <c r="Z31" s="1046" t="str">
        <f t="shared" si="12"/>
        <v>停车位面积</v>
      </c>
      <c r="AA31" s="1381">
        <f t="shared" si="3"/>
        <v>0.96153846153846156</v>
      </c>
      <c r="AB31" s="1381">
        <f t="shared" si="4"/>
        <v>0.96153846153846156</v>
      </c>
      <c r="AC31" s="1381">
        <f t="shared" si="5"/>
        <v>0.96153846153846156</v>
      </c>
    </row>
    <row r="32" spans="1:29" ht="15">
      <c r="A32" s="891"/>
      <c r="B32" s="551" t="s">
        <v>752</v>
      </c>
      <c r="C32" s="543" t="s">
        <v>3422</v>
      </c>
      <c r="D32" s="509">
        <v>100</v>
      </c>
      <c r="E32" s="543" t="s">
        <v>3422</v>
      </c>
      <c r="F32" s="544">
        <f>SUMIF(93:93,E32,94:94)-SUMIF(93:93,C32,94:94)+100</f>
        <v>100</v>
      </c>
      <c r="G32" s="543" t="s">
        <v>3422</v>
      </c>
      <c r="H32" s="509">
        <f>SUMIF(93:93,G32,94:94)-SUMIF(93:93,C32,94:94)+100</f>
        <v>100</v>
      </c>
      <c r="I32" s="543" t="s">
        <v>3422</v>
      </c>
      <c r="J32" s="509">
        <f>SUMIF(93:93,I32,94:94)-SUMIF(93:93,C32,94:94)+100</f>
        <v>100</v>
      </c>
      <c r="K32" s="553">
        <v>2</v>
      </c>
      <c r="L32" s="1862"/>
      <c r="M32" s="1854"/>
      <c r="N32" s="1854"/>
      <c r="O32" s="1861"/>
      <c r="P32" s="3935" t="s">
        <v>499</v>
      </c>
      <c r="Q32" s="1382" t="str">
        <f t="shared" si="8"/>
        <v>车位类型</v>
      </c>
      <c r="R32" s="1383" t="s">
        <v>5</v>
      </c>
      <c r="S32" s="1384">
        <f t="shared" si="9"/>
        <v>100</v>
      </c>
      <c r="T32" s="1383" t="s">
        <v>5</v>
      </c>
      <c r="U32" s="1384">
        <f t="shared" si="10"/>
        <v>100</v>
      </c>
      <c r="V32" s="1383" t="s">
        <v>5</v>
      </c>
      <c r="W32" s="1384">
        <f t="shared" si="11"/>
        <v>100</v>
      </c>
      <c r="X32" s="1377"/>
      <c r="Y32" s="3935" t="s">
        <v>499</v>
      </c>
      <c r="Z32" s="1385" t="str">
        <f t="shared" si="12"/>
        <v>车位类型</v>
      </c>
      <c r="AA32" s="1386">
        <f t="shared" si="3"/>
        <v>1</v>
      </c>
      <c r="AB32" s="1386">
        <f t="shared" si="4"/>
        <v>1</v>
      </c>
      <c r="AC32" s="1386">
        <f t="shared" si="5"/>
        <v>1</v>
      </c>
    </row>
    <row r="33" spans="1:29" ht="15.75" thickBot="1">
      <c r="A33" s="891"/>
      <c r="B33" s="551" t="s">
        <v>753</v>
      </c>
      <c r="C33" s="543" t="s">
        <v>3424</v>
      </c>
      <c r="D33" s="509">
        <v>100</v>
      </c>
      <c r="E33" s="543" t="s">
        <v>3424</v>
      </c>
      <c r="F33" s="544">
        <f>SUMIF(95:95,E33,96:96)-SUMIF(95:95,C33,96:96)+100</f>
        <v>100</v>
      </c>
      <c r="G33" s="543" t="s">
        <v>3424</v>
      </c>
      <c r="H33" s="509">
        <f>SUMIF(95:95,G33,96:96)-SUMIF(95:95,C33,96:96)+100</f>
        <v>100</v>
      </c>
      <c r="I33" s="543" t="s">
        <v>3424</v>
      </c>
      <c r="J33" s="509">
        <f>SUMIF(95:95,I33,96:96)-SUMIF(95:95,C33,96:96)+100</f>
        <v>100</v>
      </c>
      <c r="K33" s="553">
        <v>2</v>
      </c>
      <c r="L33" s="1862"/>
      <c r="M33" s="1854"/>
      <c r="N33" s="1854"/>
      <c r="O33" s="1861"/>
      <c r="P33" s="3935"/>
      <c r="Q33" s="1382" t="str">
        <f t="shared" si="8"/>
        <v>是否直接入户</v>
      </c>
      <c r="R33" s="1383" t="s">
        <v>5</v>
      </c>
      <c r="S33" s="1384">
        <f t="shared" si="9"/>
        <v>100</v>
      </c>
      <c r="T33" s="1383" t="s">
        <v>5</v>
      </c>
      <c r="U33" s="1384">
        <f t="shared" si="10"/>
        <v>100</v>
      </c>
      <c r="V33" s="1383" t="s">
        <v>5</v>
      </c>
      <c r="W33" s="1384">
        <f t="shared" si="11"/>
        <v>100</v>
      </c>
      <c r="X33" s="1377"/>
      <c r="Y33" s="3935"/>
      <c r="Z33" s="1385" t="str">
        <f t="shared" si="12"/>
        <v>是否直接入户</v>
      </c>
      <c r="AA33" s="1386">
        <f t="shared" si="3"/>
        <v>1</v>
      </c>
      <c r="AB33" s="1386">
        <f t="shared" si="4"/>
        <v>1</v>
      </c>
      <c r="AC33" s="1386">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2"/>
      <c r="M34" s="1854"/>
      <c r="N34" s="1854"/>
      <c r="O34" s="1861"/>
      <c r="P34" s="3935"/>
      <c r="Q34" s="1382">
        <f t="shared" si="8"/>
        <v>111</v>
      </c>
      <c r="R34" s="1383" t="s">
        <v>5</v>
      </c>
      <c r="S34" s="1384">
        <f t="shared" si="9"/>
        <v>100</v>
      </c>
      <c r="T34" s="1383" t="s">
        <v>5</v>
      </c>
      <c r="U34" s="1384">
        <f t="shared" si="10"/>
        <v>100</v>
      </c>
      <c r="V34" s="1383" t="s">
        <v>5</v>
      </c>
      <c r="W34" s="1384">
        <f t="shared" si="11"/>
        <v>100</v>
      </c>
      <c r="X34" s="1377"/>
      <c r="Y34" s="3935"/>
      <c r="Z34" s="1385">
        <f t="shared" si="12"/>
        <v>111</v>
      </c>
      <c r="AA34" s="1386">
        <f t="shared" si="3"/>
        <v>1</v>
      </c>
      <c r="AB34" s="1386">
        <f t="shared" si="4"/>
        <v>1</v>
      </c>
      <c r="AC34" s="1386">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35"/>
      <c r="Q35" s="1411">
        <f t="shared" si="8"/>
        <v>111</v>
      </c>
      <c r="R35" s="1387" t="s">
        <v>5</v>
      </c>
      <c r="S35" s="1388">
        <f t="shared" si="9"/>
        <v>100</v>
      </c>
      <c r="T35" s="1387" t="s">
        <v>5</v>
      </c>
      <c r="U35" s="1388">
        <f t="shared" si="10"/>
        <v>100</v>
      </c>
      <c r="V35" s="1387" t="s">
        <v>5</v>
      </c>
      <c r="W35" s="1388">
        <f t="shared" si="11"/>
        <v>100</v>
      </c>
      <c r="X35" s="1389"/>
      <c r="Y35" s="3935"/>
      <c r="Z35" s="1390">
        <f t="shared" si="12"/>
        <v>111</v>
      </c>
      <c r="AA35" s="1386">
        <f t="shared" si="3"/>
        <v>1</v>
      </c>
      <c r="AB35" s="1386">
        <f t="shared" si="4"/>
        <v>1</v>
      </c>
      <c r="AC35" s="1386">
        <f t="shared" si="5"/>
        <v>1</v>
      </c>
    </row>
    <row r="36" spans="1:29" ht="15.75"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35"/>
      <c r="Q36" s="1382">
        <f t="shared" si="8"/>
        <v>111</v>
      </c>
      <c r="R36" s="1383" t="s">
        <v>5</v>
      </c>
      <c r="S36" s="1384">
        <f t="shared" si="9"/>
        <v>100</v>
      </c>
      <c r="T36" s="1383" t="s">
        <v>5</v>
      </c>
      <c r="U36" s="1384">
        <f t="shared" si="10"/>
        <v>100</v>
      </c>
      <c r="V36" s="1383" t="s">
        <v>5</v>
      </c>
      <c r="W36" s="1384">
        <f t="shared" si="11"/>
        <v>100</v>
      </c>
      <c r="X36" s="1377"/>
      <c r="Y36" s="3935"/>
      <c r="Z36" s="1385">
        <f t="shared" si="12"/>
        <v>111</v>
      </c>
      <c r="AA36" s="1386">
        <f t="shared" si="3"/>
        <v>1</v>
      </c>
      <c r="AB36" s="1386">
        <f t="shared" si="4"/>
        <v>1</v>
      </c>
      <c r="AC36" s="1386">
        <f t="shared" si="5"/>
        <v>1</v>
      </c>
    </row>
    <row r="37" spans="1:29" ht="15">
      <c r="A37" s="1629" t="s">
        <v>1595</v>
      </c>
      <c r="B37" s="1630" t="s">
        <v>1596</v>
      </c>
      <c r="C37" s="2231" t="s">
        <v>0</v>
      </c>
      <c r="D37" s="2232"/>
      <c r="E37" s="2233">
        <f>销售案例!O9</f>
        <v>3535</v>
      </c>
      <c r="F37" s="2234"/>
      <c r="G37" s="2235">
        <f>销售案例!O18</f>
        <v>3833</v>
      </c>
      <c r="H37" s="2236"/>
      <c r="I37" s="2233">
        <f>销售案例!O25</f>
        <v>4237</v>
      </c>
      <c r="J37" s="2236"/>
      <c r="K37" s="1416"/>
      <c r="L37" s="1864"/>
      <c r="M37" s="1865"/>
      <c r="N37" s="1854"/>
      <c r="O37" s="1865"/>
      <c r="P37" s="3898" t="str">
        <f>A37</f>
        <v>成交单价</v>
      </c>
      <c r="Q37" s="3898"/>
      <c r="R37" s="4004">
        <f>E37</f>
        <v>3535</v>
      </c>
      <c r="S37" s="4004"/>
      <c r="T37" s="4004">
        <f>G37</f>
        <v>3833</v>
      </c>
      <c r="U37" s="4004"/>
      <c r="V37" s="4004">
        <f>I37</f>
        <v>4237</v>
      </c>
      <c r="W37" s="4004"/>
      <c r="X37" s="1372"/>
      <c r="Y37" s="1391"/>
      <c r="Z37" s="1372"/>
      <c r="AA37" s="1372"/>
      <c r="AB37" s="1372"/>
      <c r="AC37" s="1372"/>
    </row>
    <row r="38" spans="1:29" ht="15.75" thickBot="1">
      <c r="A38" s="584" t="s">
        <v>2042</v>
      </c>
      <c r="B38" s="848"/>
      <c r="C38" s="2237">
        <f>R39</f>
        <v>3367</v>
      </c>
      <c r="D38" s="2754" t="s">
        <v>2251</v>
      </c>
      <c r="E38" s="2238">
        <f>R38</f>
        <v>3399</v>
      </c>
      <c r="F38" s="2755"/>
      <c r="G38" s="2237">
        <f>T38</f>
        <v>3184</v>
      </c>
      <c r="H38" s="2755"/>
      <c r="I38" s="2238">
        <f>V38</f>
        <v>3519</v>
      </c>
      <c r="J38" s="2755"/>
      <c r="K38" s="2763">
        <f>F38+H38+J38</f>
        <v>0</v>
      </c>
      <c r="L38" s="1864"/>
      <c r="M38" s="1865"/>
      <c r="N38" s="1865"/>
      <c r="O38" s="1865"/>
      <c r="P38" s="3898" t="str">
        <f>A38</f>
        <v>比较价格（元/平方米）</v>
      </c>
      <c r="Q38" s="3898"/>
      <c r="R38" s="4004">
        <f>IF(F1="售价",ROUND(PRODUCT(R37,AA7:AA36),0),ROUND(PRODUCT(R37,AA7:AA36),1))</f>
        <v>3399</v>
      </c>
      <c r="S38" s="4004"/>
      <c r="T38" s="4004">
        <f>IF(F1="售价",ROUND(PRODUCT(T37,AB7:AB36),0),ROUND(PRODUCT(T37,AB7:AB36),1))</f>
        <v>3184</v>
      </c>
      <c r="U38" s="4004"/>
      <c r="V38" s="4004">
        <f>IF(F1="售价",ROUND(PRODUCT(V37,AC7:AC36),0),ROUND(PRODUCT(V37,AC7:AC36),1))</f>
        <v>3519</v>
      </c>
      <c r="W38" s="4004"/>
      <c r="X38" s="1372"/>
      <c r="Y38" s="1372"/>
      <c r="Z38" s="1372"/>
      <c r="AA38" s="1372"/>
      <c r="AB38" s="1372"/>
      <c r="AC38" s="1372"/>
    </row>
    <row r="39" spans="1:29" ht="15.75" thickBot="1">
      <c r="A39" s="588" t="s">
        <v>2188</v>
      </c>
      <c r="B39" s="589"/>
      <c r="C39" s="2239">
        <f>R39</f>
        <v>3367</v>
      </c>
      <c r="D39" s="2239"/>
      <c r="E39" s="2239"/>
      <c r="F39" s="2239"/>
      <c r="G39" s="2239"/>
      <c r="H39" s="2239"/>
      <c r="I39" s="2239"/>
      <c r="J39" s="2239"/>
      <c r="K39" s="1417"/>
      <c r="L39" s="1864"/>
      <c r="M39" s="1865"/>
      <c r="N39" s="1865"/>
      <c r="O39" s="1865"/>
      <c r="P39" s="3936" t="str">
        <f>A39</f>
        <v>估价对象XX用房的比较价格（楼面单价，元/平方米）</v>
      </c>
      <c r="Q39" s="3937"/>
      <c r="R39" s="4003">
        <f>IF(F1="售价",ROUND(IF(D38="简单平均",AVERAGE(R38:W38),R38*F38+T38*H38+V38*J38),0),ROUND(IF(D38="简单平均",AVERAGE(R38:V38),R38*F38+T38*H38+V38*J38),1))</f>
        <v>3367</v>
      </c>
      <c r="S39" s="4003"/>
      <c r="T39" s="4003"/>
      <c r="U39" s="4003"/>
      <c r="V39" s="4003"/>
      <c r="W39" s="4003"/>
      <c r="X39" s="1372"/>
      <c r="Y39" s="1372"/>
      <c r="Z39" s="1372"/>
      <c r="AA39" s="1372"/>
      <c r="AB39" s="1372"/>
      <c r="AC39" s="1372"/>
    </row>
    <row r="40" spans="1:29">
      <c r="A40" s="2954"/>
      <c r="B40" s="2954"/>
      <c r="C40" s="2954"/>
      <c r="D40" s="2954"/>
      <c r="E40" s="2954"/>
      <c r="F40" s="2954"/>
      <c r="G40" s="2956"/>
      <c r="H40" s="2954"/>
      <c r="I40" s="2954"/>
      <c r="J40" s="2954"/>
      <c r="K40" s="2957"/>
      <c r="L40" s="1869"/>
      <c r="M40" s="1865"/>
      <c r="N40" s="1865"/>
      <c r="O40" s="1865"/>
      <c r="P40" s="1865"/>
      <c r="Q40" s="1865"/>
      <c r="R40" s="1865"/>
      <c r="S40" s="1865"/>
      <c r="T40" s="1865"/>
      <c r="U40" s="1865"/>
      <c r="V40" s="1865"/>
      <c r="W40" s="1865"/>
      <c r="X40" s="1865"/>
      <c r="Y40" s="1865"/>
      <c r="Z40" s="1865"/>
      <c r="AA40" s="1865"/>
      <c r="AB40" s="1865"/>
      <c r="AC40" s="1865"/>
    </row>
    <row r="41" spans="1:29">
      <c r="A41" s="2954"/>
      <c r="B41" s="2954"/>
      <c r="C41" s="2954"/>
      <c r="D41" s="2954"/>
      <c r="E41" s="2954"/>
      <c r="F41" s="2954"/>
      <c r="G41" s="2954"/>
      <c r="H41" s="2954"/>
      <c r="I41" s="2954"/>
      <c r="J41" s="2954"/>
      <c r="K41" s="2957"/>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4"/>
      <c r="B42" s="2954"/>
      <c r="C42" s="591" t="s">
        <v>506</v>
      </c>
      <c r="D42" s="592"/>
      <c r="E42" s="593">
        <f>IF(E37&lt;E38,E38/E37-1,E37/E38-1)</f>
        <v>4.0011768167107942E-2</v>
      </c>
      <c r="F42" s="594" t="str">
        <f>IF(OR(E42&gt;=0.3,E42&lt;=-0.3),"超过30%","")</f>
        <v/>
      </c>
      <c r="G42" s="593">
        <f>IF(G37&lt;G38,G38/G37-1,G37/G38-1)</f>
        <v>0.20383165829145722</v>
      </c>
      <c r="H42" s="594" t="str">
        <f>IF(OR(G42&gt;=0.3,G42&lt;=-0.3),"超过30%","")</f>
        <v/>
      </c>
      <c r="I42" s="593">
        <f>IF(I37&lt;I38,I38/I37-1,I37/I38-1)</f>
        <v>0.20403523728331918</v>
      </c>
      <c r="J42" s="594" t="str">
        <f>IF(OR(I42&gt;=0.3,I42&lt;=-0.3),"超过30%","")</f>
        <v/>
      </c>
      <c r="K42" s="2957"/>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4"/>
      <c r="B43" s="2954"/>
      <c r="C43" s="591" t="s">
        <v>507</v>
      </c>
      <c r="D43" s="595"/>
      <c r="E43" s="593">
        <f>IF(E38&lt;G38,G38/E38-1,E38/G38-1)</f>
        <v>6.7525125628140614E-2</v>
      </c>
      <c r="F43" s="594" t="str">
        <f>IF(OR(E43&gt;=0.2,E43&lt;=-0.2),"超过20%","")</f>
        <v/>
      </c>
      <c r="G43" s="593">
        <f>IF(G38&lt;I38,I38/G38-1,G38/I38-1)</f>
        <v>0.10521356783919589</v>
      </c>
      <c r="H43" s="594" t="str">
        <f>IF(OR(G43&gt;=0.2,G43&lt;=-0.2),"超过20%","")</f>
        <v/>
      </c>
      <c r="I43" s="593">
        <f>IF(I38&lt;E38,E38/I38-1,I38/E38-1)</f>
        <v>3.5304501323918824E-2</v>
      </c>
      <c r="J43" s="594" t="str">
        <f>IF(OR(I43&gt;=0.2,I43&lt;=-0.2),"超过20%","")</f>
        <v/>
      </c>
      <c r="K43" s="2957"/>
      <c r="L43" s="1869"/>
      <c r="M43" s="1865"/>
      <c r="N43" s="1865"/>
      <c r="O43" s="1865"/>
      <c r="P43" s="1865"/>
      <c r="Q43" s="1865"/>
      <c r="R43" s="1865"/>
      <c r="S43" s="1865"/>
      <c r="T43" s="1865"/>
      <c r="U43" s="1865"/>
      <c r="V43" s="1865"/>
      <c r="W43" s="1865"/>
      <c r="X43" s="1865"/>
      <c r="Y43" s="1865"/>
      <c r="Z43" s="1865"/>
      <c r="AA43" s="1865"/>
      <c r="AB43" s="1865"/>
      <c r="AC43" s="1865"/>
    </row>
    <row r="44" spans="1:29" s="1202" customFormat="1" ht="13.5" customHeight="1">
      <c r="A44" s="2955"/>
      <c r="B44" s="2955"/>
      <c r="C44" s="591" t="s">
        <v>508</v>
      </c>
      <c r="D44" s="595"/>
      <c r="E44" s="593">
        <f>IF(E37&lt;G37,G37/E37-1,E37/G37-1)</f>
        <v>8.429985855728428E-2</v>
      </c>
      <c r="F44" s="594" t="str">
        <f>IF(OR(E44&gt;=0.3,E44&lt;=-0.3),"超过30%","")</f>
        <v/>
      </c>
      <c r="G44" s="593">
        <f>IF(G37&lt;I37,I37/G37-1,G37/I37-1)</f>
        <v>0.10540046960605265</v>
      </c>
      <c r="H44" s="594" t="str">
        <f>IF(OR(G44&gt;=0.3,G44&lt;=-0.3),"超过30%","")</f>
        <v/>
      </c>
      <c r="I44" s="593">
        <f>IF(I37&lt;E37,E37/I37-1,I37/E37-1)</f>
        <v>0.1985855728429986</v>
      </c>
      <c r="J44" s="594" t="str">
        <f>IF(OR(I44&gt;=0.3,I44&lt;=-0.3),"超过30%","")</f>
        <v/>
      </c>
      <c r="K44" s="2958"/>
      <c r="L44" s="1872"/>
      <c r="M44" s="1866"/>
      <c r="N44" s="1866"/>
      <c r="O44" s="1866"/>
      <c r="P44" s="1866"/>
      <c r="Q44" s="1866"/>
      <c r="R44" s="1866"/>
      <c r="S44" s="1866"/>
      <c r="T44" s="1866"/>
      <c r="U44" s="1866"/>
      <c r="V44" s="1866"/>
      <c r="W44" s="1866"/>
      <c r="X44" s="1866"/>
      <c r="Y44" s="1866"/>
      <c r="Z44" s="1866"/>
      <c r="AA44" s="1866"/>
      <c r="AB44" s="1866"/>
      <c r="AC44" s="1866"/>
    </row>
    <row r="45" spans="1:29" s="1202"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4" customFormat="1" ht="15">
      <c r="A48" s="612" t="s">
        <v>478</v>
      </c>
      <c r="B48" s="613"/>
      <c r="C48" s="2279" t="str">
        <f>YEAR(C7)&amp;"-"&amp;MONTH(C7)</f>
        <v>2023-7</v>
      </c>
      <c r="D48" s="2281">
        <f>EDATE(C48,-1)</f>
        <v>45078</v>
      </c>
      <c r="E48" s="2281">
        <f t="shared" ref="E48:O48" si="13">EDATE(D48,-1)</f>
        <v>45047</v>
      </c>
      <c r="F48" s="2281">
        <f t="shared" si="13"/>
        <v>45017</v>
      </c>
      <c r="G48" s="2281">
        <f t="shared" si="13"/>
        <v>44986</v>
      </c>
      <c r="H48" s="2281">
        <f t="shared" si="13"/>
        <v>44958</v>
      </c>
      <c r="I48" s="2281">
        <f t="shared" si="13"/>
        <v>44927</v>
      </c>
      <c r="J48" s="2281">
        <f t="shared" si="13"/>
        <v>44896</v>
      </c>
      <c r="K48" s="2281">
        <f t="shared" si="13"/>
        <v>44866</v>
      </c>
      <c r="L48" s="2281">
        <f t="shared" si="13"/>
        <v>44835</v>
      </c>
      <c r="M48" s="2281">
        <f t="shared" si="13"/>
        <v>44805</v>
      </c>
      <c r="N48" s="2281">
        <f t="shared" si="13"/>
        <v>44774</v>
      </c>
      <c r="O48" s="2281">
        <f t="shared" si="13"/>
        <v>44743</v>
      </c>
      <c r="P48" s="1879"/>
      <c r="Q48" s="1880"/>
      <c r="R48" s="1880"/>
      <c r="S48" s="1880"/>
      <c r="T48" s="1880"/>
      <c r="U48" s="1880"/>
      <c r="V48" s="1880"/>
      <c r="W48" s="1880"/>
      <c r="X48" s="1880"/>
      <c r="Y48" s="1880"/>
      <c r="Z48" s="1880"/>
      <c r="AA48" s="1880"/>
      <c r="AB48" s="1880"/>
      <c r="AC48" s="1880"/>
    </row>
    <row r="49" spans="1:29" s="1115" customFormat="1" ht="15">
      <c r="A49" s="614"/>
      <c r="B49" s="615"/>
      <c r="C49" s="2280">
        <v>100</v>
      </c>
      <c r="D49" s="617">
        <v>100</v>
      </c>
      <c r="E49" s="617">
        <v>100</v>
      </c>
      <c r="F49" s="617">
        <v>99.5</v>
      </c>
      <c r="G49" s="617">
        <v>99.5</v>
      </c>
      <c r="H49" s="617"/>
      <c r="I49" s="617"/>
      <c r="J49" s="617"/>
      <c r="K49" s="617"/>
      <c r="L49" s="617"/>
      <c r="M49" s="618"/>
      <c r="N49" s="617"/>
      <c r="O49" s="619"/>
      <c r="P49" s="1877"/>
      <c r="Q49" s="1743"/>
      <c r="R49" s="1743"/>
      <c r="S49" s="1743"/>
      <c r="T49" s="1743"/>
      <c r="U49" s="1743"/>
      <c r="V49" s="1743"/>
      <c r="W49" s="1743"/>
      <c r="X49" s="1743"/>
      <c r="Y49" s="1743"/>
      <c r="Z49" s="1743"/>
      <c r="AA49" s="1743"/>
      <c r="AB49" s="1743"/>
      <c r="AC49" s="1743"/>
    </row>
    <row r="50" spans="1:29" s="1115" customFormat="1" ht="15.7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5" customFormat="1" ht="15">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5" customFormat="1" ht="15.75"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c r="A53" s="631" t="s">
        <v>525</v>
      </c>
      <c r="B53" s="632" t="s">
        <v>483</v>
      </c>
      <c r="C53" s="671" t="str">
        <f>C9</f>
        <v>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5.75"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7.75"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5.75"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5.75" thickTop="1">
      <c r="A57" s="636"/>
      <c r="B57" s="895">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7" customFormat="1" ht="15.75"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7" customFormat="1" ht="15.75"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7" customFormat="1" ht="15.75"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7" customFormat="1" ht="15.75"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5.75"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46">
        <v>100</v>
      </c>
      <c r="D66" s="646">
        <f>C66-$K16</f>
        <v>95</v>
      </c>
      <c r="E66" s="646">
        <f>D66-$K16</f>
        <v>90</v>
      </c>
      <c r="F66" s="646">
        <f>E66-$K16</f>
        <v>85</v>
      </c>
      <c r="G66" s="646">
        <f>F66-$K16</f>
        <v>80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7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5.75" thickBot="1">
      <c r="A68" s="636"/>
      <c r="B68" s="648"/>
      <c r="C68" s="646">
        <v>100</v>
      </c>
      <c r="D68" s="646">
        <f>C68-$K18</f>
        <v>99</v>
      </c>
      <c r="E68" s="646">
        <f>D68-$K18</f>
        <v>98</v>
      </c>
      <c r="F68" s="646">
        <f>E68-$K18</f>
        <v>97</v>
      </c>
      <c r="G68" s="646">
        <f>F68-$K18</f>
        <v>96</v>
      </c>
      <c r="H68" s="895"/>
      <c r="I68" s="895"/>
      <c r="J68" s="895"/>
      <c r="K68" s="895"/>
      <c r="L68" s="895"/>
      <c r="M68" s="528"/>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C70-$K20</f>
        <v>95</v>
      </c>
      <c r="E70" s="646">
        <f>D70-$K20</f>
        <v>90</v>
      </c>
      <c r="F70" s="646">
        <f>E70-$K20</f>
        <v>85</v>
      </c>
      <c r="G70" s="646">
        <f>F70-$K20</f>
        <v>80</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75" thickTop="1">
      <c r="A71" s="636"/>
      <c r="B71" s="640" t="s">
        <v>685</v>
      </c>
      <c r="C71" s="3675" t="s">
        <v>3414</v>
      </c>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5.75" thickBot="1">
      <c r="A72" s="636"/>
      <c r="B72" s="645"/>
      <c r="C72" s="646">
        <v>100</v>
      </c>
      <c r="D72" s="646">
        <f>C72-$K22</f>
        <v>98</v>
      </c>
      <c r="E72" s="646">
        <f>D72-$K22</f>
        <v>96</v>
      </c>
      <c r="F72" s="646">
        <f>E72-$K22</f>
        <v>94</v>
      </c>
      <c r="G72" s="646">
        <f>F72-$K22</f>
        <v>92</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5" customFormat="1" ht="15.75" thickTop="1">
      <c r="A73" s="676"/>
      <c r="B73" s="640">
        <f>B23</f>
        <v>111</v>
      </c>
      <c r="C73" s="510"/>
      <c r="D73" s="510"/>
      <c r="E73" s="510"/>
      <c r="F73" s="510"/>
      <c r="G73" s="655"/>
      <c r="H73" s="655"/>
      <c r="I73" s="655"/>
      <c r="J73" s="655"/>
      <c r="K73" s="655"/>
      <c r="L73" s="850"/>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5" customFormat="1" ht="15.75" thickTop="1">
      <c r="A75" s="676"/>
      <c r="B75" s="640">
        <f>B24</f>
        <v>111</v>
      </c>
      <c r="C75" s="510"/>
      <c r="D75" s="510"/>
      <c r="E75" s="510"/>
      <c r="F75" s="510"/>
      <c r="G75" s="655"/>
      <c r="H75" s="655"/>
      <c r="I75" s="655"/>
      <c r="J75" s="655"/>
      <c r="K75" s="655"/>
      <c r="L75" s="655"/>
      <c r="M75" s="851"/>
      <c r="N75" s="1881"/>
      <c r="O75" s="1881"/>
      <c r="P75" s="1884"/>
      <c r="Q75" s="1877"/>
      <c r="R75" s="1743"/>
      <c r="S75" s="1743"/>
      <c r="T75" s="1743"/>
      <c r="U75" s="1743"/>
      <c r="V75" s="1743"/>
      <c r="W75" s="1743"/>
      <c r="X75" s="1743"/>
      <c r="Y75" s="1743"/>
      <c r="Z75" s="1743"/>
      <c r="AA75" s="1743"/>
      <c r="AB75" s="1743"/>
      <c r="AC75" s="1743"/>
    </row>
    <row r="76" spans="1:29" s="1115" customFormat="1" ht="15.75"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7" customFormat="1" ht="15.75"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7" customFormat="1" ht="15.75"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7.75" thickTop="1">
      <c r="A79" s="631" t="s">
        <v>500</v>
      </c>
      <c r="B79" s="632" t="s">
        <v>754</v>
      </c>
      <c r="C79" s="671" t="str">
        <f>C26</f>
        <v>住宅</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5"/>
      <c r="O80" s="1885"/>
      <c r="P80" s="1884"/>
      <c r="Q80" s="1877"/>
      <c r="R80" s="1865"/>
      <c r="S80" s="1865"/>
      <c r="T80" s="1865"/>
      <c r="U80" s="1865"/>
      <c r="V80" s="1865"/>
      <c r="W80" s="1865"/>
      <c r="X80" s="1865"/>
      <c r="Y80" s="1865"/>
      <c r="Z80" s="1865"/>
      <c r="AA80" s="1865"/>
      <c r="AB80" s="1865"/>
      <c r="AC80" s="1865"/>
    </row>
    <row r="81" spans="1:29" ht="15.75" thickTop="1">
      <c r="A81" s="636"/>
      <c r="B81" s="640" t="s">
        <v>755</v>
      </c>
      <c r="C81" s="896"/>
      <c r="D81" s="896"/>
      <c r="E81" s="896"/>
      <c r="F81" s="896"/>
      <c r="G81" s="896"/>
      <c r="H81" s="896"/>
      <c r="I81" s="896"/>
      <c r="J81" s="896"/>
      <c r="K81" s="897"/>
      <c r="L81" s="898"/>
      <c r="M81" s="899"/>
      <c r="N81" s="1881"/>
      <c r="O81" s="1881"/>
      <c r="P81" s="1884"/>
      <c r="Q81" s="1877"/>
      <c r="R81" s="1865"/>
      <c r="S81" s="1865"/>
      <c r="T81" s="1865"/>
      <c r="U81" s="1865"/>
      <c r="V81" s="1865"/>
      <c r="W81" s="1865"/>
      <c r="X81" s="1865"/>
      <c r="Y81" s="1865"/>
      <c r="Z81" s="1865"/>
      <c r="AA81" s="1865"/>
      <c r="AB81" s="1865"/>
      <c r="AC81" s="1865"/>
    </row>
    <row r="82" spans="1:29" s="1197" customFormat="1" ht="15.75"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75" t="s">
        <v>3416</v>
      </c>
      <c r="D83" s="3675" t="s">
        <v>3417</v>
      </c>
      <c r="E83" s="3676" t="s">
        <v>3418</v>
      </c>
      <c r="F83" s="3676" t="s">
        <v>3419</v>
      </c>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4">
        <v>0.5</v>
      </c>
      <c r="D86" s="854">
        <v>0.6</v>
      </c>
      <c r="E86" s="854">
        <v>0.7</v>
      </c>
      <c r="F86" s="854">
        <v>0.8</v>
      </c>
      <c r="G86" s="854">
        <v>0.9</v>
      </c>
      <c r="H86" s="854">
        <v>1.0001</v>
      </c>
      <c r="I86" s="865"/>
      <c r="J86" s="865"/>
      <c r="K86" s="866"/>
      <c r="L86" s="867"/>
      <c r="M86" s="868"/>
      <c r="N86" s="1883"/>
      <c r="O86" s="1883"/>
      <c r="P86" s="1884"/>
      <c r="Q86" s="1877"/>
      <c r="R86" s="1865"/>
      <c r="S86" s="1865"/>
      <c r="T86" s="1865"/>
      <c r="U86" s="1865"/>
      <c r="V86" s="1865"/>
      <c r="W86" s="1865"/>
      <c r="X86" s="1865"/>
      <c r="Y86" s="1865"/>
      <c r="Z86" s="1865"/>
      <c r="AA86" s="1865"/>
      <c r="AB86" s="1865"/>
      <c r="AC86" s="1865"/>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77" t="s">
        <v>3421</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5"/>
      <c r="O89" s="1885"/>
      <c r="P89" s="1884"/>
      <c r="Q89" s="1877"/>
      <c r="R89" s="1865"/>
      <c r="S89" s="1865"/>
      <c r="T89" s="1865"/>
      <c r="U89" s="1865"/>
      <c r="V89" s="1865"/>
      <c r="W89" s="1865"/>
      <c r="X89" s="1865"/>
      <c r="Y89" s="1865"/>
      <c r="Z89" s="1865"/>
      <c r="AA89" s="1865"/>
      <c r="AB89" s="1865"/>
      <c r="AC89" s="1865"/>
    </row>
    <row r="90" spans="1:29" s="1197" customFormat="1" ht="15" thickTop="1">
      <c r="A90" s="695"/>
      <c r="B90" s="640" t="s">
        <v>758</v>
      </c>
      <c r="C90" s="675" t="str">
        <f>C91&amp;"(含)"&amp;"-"&amp;D91</f>
        <v>0(含)-20</v>
      </c>
      <c r="D90" s="675" t="str">
        <f t="shared" ref="D90:L90" si="18">D91&amp;"(含)"&amp;"-"&amp;E91</f>
        <v>20(含)-30</v>
      </c>
      <c r="E90" s="675" t="str">
        <f t="shared" si="18"/>
        <v>30(含)-40</v>
      </c>
      <c r="F90" s="675" t="str">
        <f t="shared" si="18"/>
        <v>40(含)-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7" customFormat="1">
      <c r="A91" s="695"/>
      <c r="B91" s="648"/>
      <c r="C91" s="697">
        <v>0</v>
      </c>
      <c r="D91" s="697">
        <v>20</v>
      </c>
      <c r="E91" s="697">
        <v>30</v>
      </c>
      <c r="F91" s="697">
        <v>40</v>
      </c>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4"/>
      <c r="B92" s="645"/>
      <c r="C92" s="659">
        <v>100</v>
      </c>
      <c r="D92" s="638">
        <f>C92+2</f>
        <v>102</v>
      </c>
      <c r="E92" s="638">
        <f t="shared" ref="E92:F92" si="19">D92+2</f>
        <v>104</v>
      </c>
      <c r="F92" s="638">
        <f t="shared" si="19"/>
        <v>106</v>
      </c>
      <c r="G92" s="638"/>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75" t="s">
        <v>3423</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77" t="s">
        <v>3425</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C96-$K33</f>
        <v>98</v>
      </c>
      <c r="E96" s="646">
        <f>D96-$K33</f>
        <v>96</v>
      </c>
      <c r="F96" s="646">
        <f>E96-$K33</f>
        <v>94</v>
      </c>
      <c r="G96" s="646">
        <f>F96-$K33</f>
        <v>92</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5" thickTop="1">
      <c r="A97" s="702"/>
      <c r="B97" s="877">
        <f>B34</f>
        <v>111</v>
      </c>
      <c r="C97" s="510"/>
      <c r="D97" s="510"/>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5.75" thickBot="1">
      <c r="A98" s="636"/>
      <c r="B98" s="645"/>
      <c r="C98" s="659"/>
      <c r="D98" s="638"/>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7" customFormat="1" ht="15"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7" customFormat="1" ht="15.75"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5"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5.75"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55" sqref="K55"/>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2733</v>
      </c>
      <c r="C1" s="473" t="s">
        <v>732</v>
      </c>
      <c r="D1" s="813" t="s">
        <v>851</v>
      </c>
      <c r="E1" s="475"/>
      <c r="F1" s="2284" t="s">
        <v>3405</v>
      </c>
      <c r="G1" s="1407" t="s">
        <v>733</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734</v>
      </c>
      <c r="B2" s="814" t="e">
        <f>ROUND(B3*D3/10000,0)</f>
        <v>#N/A</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735</v>
      </c>
      <c r="B3" s="479" t="e">
        <f>C37</f>
        <v>#N/A</v>
      </c>
      <c r="C3" s="816" t="s">
        <v>736</v>
      </c>
      <c r="D3" s="815">
        <f>SUMIF('数据-汇总表'!$C19:$C33,D1,'数据-汇总表'!$E19:$E33)</f>
        <v>50858.83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5">
      <c r="A4" s="481" t="s">
        <v>737</v>
      </c>
      <c r="B4" s="482"/>
      <c r="C4" s="3904" t="s">
        <v>738</v>
      </c>
      <c r="D4" s="3905"/>
      <c r="E4" s="3940" t="s">
        <v>739</v>
      </c>
      <c r="F4" s="3941"/>
      <c r="G4" s="3904" t="s">
        <v>740</v>
      </c>
      <c r="H4" s="3905"/>
      <c r="I4" s="3904" t="s">
        <v>741</v>
      </c>
      <c r="J4" s="3905"/>
      <c r="K4" s="483" t="s">
        <v>742</v>
      </c>
      <c r="L4" s="1853"/>
      <c r="M4" s="1854"/>
      <c r="N4" s="1854"/>
      <c r="O4" s="1854"/>
      <c r="P4" s="3906" t="s">
        <v>743</v>
      </c>
      <c r="Q4" s="3907"/>
      <c r="R4" s="3912" t="s">
        <v>739</v>
      </c>
      <c r="S4" s="3913"/>
      <c r="T4" s="3912" t="s">
        <v>740</v>
      </c>
      <c r="U4" s="3913"/>
      <c r="V4" s="3899" t="s">
        <v>741</v>
      </c>
      <c r="W4" s="3899"/>
      <c r="X4" s="1377"/>
      <c r="Y4" s="3912" t="s">
        <v>743</v>
      </c>
      <c r="Z4" s="3913"/>
      <c r="AA4" s="3901" t="s">
        <v>739</v>
      </c>
      <c r="AB4" s="3902" t="s">
        <v>740</v>
      </c>
      <c r="AC4" s="3901" t="s">
        <v>741</v>
      </c>
    </row>
    <row r="5" spans="1:29" ht="15">
      <c r="A5" s="484"/>
      <c r="B5" s="485"/>
      <c r="C5" s="3920" t="str">
        <f>'比较法-住宅、综合'!C7:D7</f>
        <v>禧悦首府</v>
      </c>
      <c r="D5" s="3921"/>
      <c r="E5" s="4032" t="s">
        <v>3470</v>
      </c>
      <c r="F5" s="3943"/>
      <c r="G5" s="3922" t="s">
        <v>3471</v>
      </c>
      <c r="H5" s="3921"/>
      <c r="I5" s="3922" t="s">
        <v>3472</v>
      </c>
      <c r="J5" s="3921"/>
      <c r="K5" s="483"/>
      <c r="L5" s="1853"/>
      <c r="M5" s="1854"/>
      <c r="N5" s="1854"/>
      <c r="O5" s="1854"/>
      <c r="P5" s="3908"/>
      <c r="Q5" s="3909"/>
      <c r="R5" s="3914"/>
      <c r="S5" s="3915"/>
      <c r="T5" s="3914"/>
      <c r="U5" s="3915"/>
      <c r="V5" s="3899"/>
      <c r="W5" s="3899"/>
      <c r="X5" s="1377"/>
      <c r="Y5" s="3914"/>
      <c r="Z5" s="3915"/>
      <c r="AA5" s="3902"/>
      <c r="AB5" s="3902"/>
      <c r="AC5" s="3902"/>
    </row>
    <row r="6" spans="1:29" ht="15.75" thickBot="1">
      <c r="A6" s="486"/>
      <c r="B6" s="487"/>
      <c r="C6" s="3918" t="s">
        <v>2186</v>
      </c>
      <c r="D6" s="3919"/>
      <c r="E6" s="3938" t="s">
        <v>2186</v>
      </c>
      <c r="F6" s="3939"/>
      <c r="G6" s="3918" t="s">
        <v>2186</v>
      </c>
      <c r="H6" s="3919"/>
      <c r="I6" s="3918" t="s">
        <v>2186</v>
      </c>
      <c r="J6" s="3919"/>
      <c r="K6" s="483" t="s">
        <v>477</v>
      </c>
      <c r="L6" s="1853"/>
      <c r="M6" s="1854"/>
      <c r="N6" s="1854"/>
      <c r="O6" s="1854"/>
      <c r="P6" s="3910"/>
      <c r="Q6" s="3911"/>
      <c r="R6" s="3914"/>
      <c r="S6" s="3915"/>
      <c r="T6" s="3916"/>
      <c r="U6" s="3917"/>
      <c r="V6" s="3899"/>
      <c r="W6" s="3899"/>
      <c r="X6" s="1377"/>
      <c r="Y6" s="3916"/>
      <c r="Z6" s="3917"/>
      <c r="AA6" s="3903"/>
      <c r="AB6" s="3903"/>
      <c r="AC6" s="3903"/>
    </row>
    <row r="7" spans="1:29" s="1115" customFormat="1" ht="15.75" thickBot="1">
      <c r="A7" s="2389"/>
      <c r="B7" s="2396" t="s">
        <v>478</v>
      </c>
      <c r="C7" s="488">
        <f>'数据-取费表'!B2</f>
        <v>45138</v>
      </c>
      <c r="D7" s="489">
        <v>100</v>
      </c>
      <c r="E7" s="490">
        <v>44927</v>
      </c>
      <c r="F7" s="491">
        <f>SUMIF(46:46,YEAR(E7)&amp;"-"&amp;MONTH(E7),47:47)</f>
        <v>99</v>
      </c>
      <c r="G7" s="492">
        <v>44774</v>
      </c>
      <c r="H7" s="489">
        <f>SUMIF(46:46,YEAR(G7)&amp;"-"&amp;MONTH(G7),47:47)</f>
        <v>0</v>
      </c>
      <c r="I7" s="492">
        <v>44835</v>
      </c>
      <c r="J7" s="489">
        <f>SUMIF(46:46,YEAR(I7)&amp;"-"&amp;MONTH(I7),47:47)</f>
        <v>0</v>
      </c>
      <c r="K7" s="493"/>
      <c r="L7" s="1855"/>
      <c r="M7" s="1856"/>
      <c r="N7" s="1856"/>
      <c r="O7" s="1856"/>
      <c r="P7" s="3929" t="s">
        <v>479</v>
      </c>
      <c r="Q7" s="3931"/>
      <c r="R7" s="1378" t="s">
        <v>5</v>
      </c>
      <c r="S7" s="1379">
        <f t="shared" ref="S7:S14" si="0">F7</f>
        <v>99</v>
      </c>
      <c r="T7" s="1378" t="s">
        <v>5</v>
      </c>
      <c r="U7" s="1379">
        <f t="shared" ref="U7:U14" si="1">H7</f>
        <v>0</v>
      </c>
      <c r="V7" s="1378" t="s">
        <v>5</v>
      </c>
      <c r="W7" s="1379">
        <f t="shared" ref="W7:W14" si="2">J7</f>
        <v>0</v>
      </c>
      <c r="X7" s="1380"/>
      <c r="Y7" s="3929" t="s">
        <v>479</v>
      </c>
      <c r="Z7" s="3930"/>
      <c r="AA7" s="1381">
        <f>D7/F7</f>
        <v>1.0101010101010102</v>
      </c>
      <c r="AB7" s="1381" t="e">
        <f>D7/H7</f>
        <v>#DIV/0!</v>
      </c>
      <c r="AC7" s="1381" t="e">
        <f>D7/J7</f>
        <v>#DIV/0!</v>
      </c>
    </row>
    <row r="8" spans="1:29" s="1115" customFormat="1" ht="15.75" thickBot="1">
      <c r="A8" s="2390"/>
      <c r="B8" s="2397" t="s">
        <v>480</v>
      </c>
      <c r="C8" s="494" t="s">
        <v>524</v>
      </c>
      <c r="D8" s="489">
        <v>100</v>
      </c>
      <c r="E8" s="494" t="s">
        <v>3409</v>
      </c>
      <c r="F8" s="491">
        <f>SUMIF(49:49,E8,50:50)-SUMIF(49:49,C8,50:50)+100</f>
        <v>100</v>
      </c>
      <c r="G8" s="494" t="s">
        <v>3409</v>
      </c>
      <c r="H8" s="489">
        <f>SUMIF(49:49,G8,50:50)-SUMIF(49:49,C8,50:50)+100</f>
        <v>100</v>
      </c>
      <c r="I8" s="494" t="s">
        <v>3409</v>
      </c>
      <c r="J8" s="489">
        <f>SUMIF(49:49,I8,50:50)-SUMIF(49:49,C8,50:50)+100</f>
        <v>100</v>
      </c>
      <c r="K8" s="493"/>
      <c r="L8" s="1855"/>
      <c r="M8" s="1856"/>
      <c r="N8" s="1856"/>
      <c r="O8" s="1856"/>
      <c r="P8" s="3929" t="s">
        <v>482</v>
      </c>
      <c r="Q8" s="3930"/>
      <c r="R8" s="1378" t="s">
        <v>5</v>
      </c>
      <c r="S8" s="1379">
        <f t="shared" si="0"/>
        <v>100</v>
      </c>
      <c r="T8" s="1378" t="s">
        <v>5</v>
      </c>
      <c r="U8" s="1379">
        <f t="shared" si="1"/>
        <v>100</v>
      </c>
      <c r="V8" s="1378" t="s">
        <v>5</v>
      </c>
      <c r="W8" s="1379">
        <f t="shared" si="2"/>
        <v>100</v>
      </c>
      <c r="X8" s="1380"/>
      <c r="Y8" s="3929" t="s">
        <v>482</v>
      </c>
      <c r="Z8" s="3930"/>
      <c r="AA8" s="1381">
        <f t="shared" ref="AA8:AA34" si="3">D8/F8</f>
        <v>1</v>
      </c>
      <c r="AB8" s="1381">
        <f t="shared" ref="AB8:AB34" si="4">D8/H8</f>
        <v>1</v>
      </c>
      <c r="AC8" s="1381">
        <f t="shared" ref="AC8:AC34" si="5">D8/J8</f>
        <v>1</v>
      </c>
    </row>
    <row r="9" spans="1:29" s="1115" customFormat="1" ht="15">
      <c r="A9" s="2391"/>
      <c r="B9" s="2398" t="s">
        <v>2038</v>
      </c>
      <c r="C9" s="3674" t="s">
        <v>3455</v>
      </c>
      <c r="D9" s="244">
        <v>100</v>
      </c>
      <c r="E9" s="824" t="s">
        <v>2733</v>
      </c>
      <c r="F9" s="244">
        <f>SUMIF(51:51,E9,52:52)-SUMIF(51:51,C9,52:52)+100</f>
        <v>100</v>
      </c>
      <c r="G9" s="824" t="s">
        <v>2733</v>
      </c>
      <c r="H9" s="244">
        <f>SUMIF(51:51,G9,52:52)-SUMIF(51:51,C9,52:52)+100</f>
        <v>100</v>
      </c>
      <c r="I9" s="824" t="s">
        <v>2733</v>
      </c>
      <c r="J9" s="244">
        <f>SUMIF(51:51,I9,52:52)-SUMIF(51:51,C9,52:52)+100</f>
        <v>100</v>
      </c>
      <c r="K9" s="493"/>
      <c r="L9" s="1855"/>
      <c r="M9" s="1856"/>
      <c r="N9" s="1856"/>
      <c r="O9" s="1857"/>
      <c r="P9" s="3898" t="s">
        <v>484</v>
      </c>
      <c r="Q9" s="1047" t="str">
        <f t="shared" ref="Q9:Q14" si="6">B9</f>
        <v>用途</v>
      </c>
      <c r="R9" s="1378" t="s">
        <v>5</v>
      </c>
      <c r="S9" s="1379">
        <f t="shared" si="0"/>
        <v>100</v>
      </c>
      <c r="T9" s="1378" t="s">
        <v>5</v>
      </c>
      <c r="U9" s="1379">
        <f t="shared" si="1"/>
        <v>100</v>
      </c>
      <c r="V9" s="1378" t="s">
        <v>5</v>
      </c>
      <c r="W9" s="1379">
        <f t="shared" si="2"/>
        <v>100</v>
      </c>
      <c r="X9" s="1380"/>
      <c r="Y9" s="3842" t="s">
        <v>485</v>
      </c>
      <c r="Z9" s="1046" t="str">
        <f t="shared" ref="Z9:Z14" si="7">Q9</f>
        <v>用途</v>
      </c>
      <c r="AA9" s="1381">
        <f t="shared" si="3"/>
        <v>1</v>
      </c>
      <c r="AB9" s="1381">
        <f t="shared" si="4"/>
        <v>1</v>
      </c>
      <c r="AC9" s="1381">
        <f t="shared" si="5"/>
        <v>1</v>
      </c>
    </row>
    <row r="10" spans="1:29" s="1196" customFormat="1" ht="27.75" thickBot="1">
      <c r="A10" s="2392"/>
      <c r="B10" s="2397" t="s">
        <v>2039</v>
      </c>
      <c r="C10" s="3657" t="s">
        <v>3467</v>
      </c>
      <c r="D10" s="245">
        <v>100</v>
      </c>
      <c r="E10" s="3657" t="s">
        <v>3467</v>
      </c>
      <c r="F10" s="245">
        <f>SUMIF(53:53,E10,54:54)-SUMIF(53:53,C10,54:54)+100</f>
        <v>100</v>
      </c>
      <c r="G10" s="3657" t="s">
        <v>3467</v>
      </c>
      <c r="H10" s="245">
        <f>SUMIF(53:53,G10,54:54)-SUMIF(53:53,C10,54:54)+100</f>
        <v>100</v>
      </c>
      <c r="I10" s="3657" t="s">
        <v>3467</v>
      </c>
      <c r="J10" s="245">
        <f>SUMIF(53:53,I10,54:54)-SUMIF(53:53,C10,54:54)+100</f>
        <v>100</v>
      </c>
      <c r="K10" s="493"/>
      <c r="L10" s="1858"/>
      <c r="M10" s="1897"/>
      <c r="N10" s="1897"/>
      <c r="O10" s="1859"/>
      <c r="P10" s="3898"/>
      <c r="Q10" s="1047" t="str">
        <f t="shared" si="6"/>
        <v>土地使用年限（年）</v>
      </c>
      <c r="R10" s="1378" t="s">
        <v>5</v>
      </c>
      <c r="S10" s="1379">
        <f t="shared" si="0"/>
        <v>100</v>
      </c>
      <c r="T10" s="1378" t="s">
        <v>5</v>
      </c>
      <c r="U10" s="1379">
        <f t="shared" si="1"/>
        <v>100</v>
      </c>
      <c r="V10" s="1378" t="s">
        <v>5</v>
      </c>
      <c r="W10" s="1379">
        <f t="shared" si="2"/>
        <v>100</v>
      </c>
      <c r="X10" s="1380"/>
      <c r="Y10" s="3842"/>
      <c r="Z10" s="1046" t="str">
        <f t="shared" si="7"/>
        <v>土地使用年限（年）</v>
      </c>
      <c r="AA10" s="1381">
        <f t="shared" si="3"/>
        <v>1</v>
      </c>
      <c r="AB10" s="1381">
        <f t="shared" si="4"/>
        <v>1</v>
      </c>
      <c r="AC10" s="1381">
        <f t="shared" si="5"/>
        <v>1</v>
      </c>
    </row>
    <row r="11" spans="1:29" ht="15" hidden="1">
      <c r="A11" s="2394"/>
      <c r="B11" s="2400">
        <v>111</v>
      </c>
      <c r="C11" s="497"/>
      <c r="D11" s="245">
        <v>100</v>
      </c>
      <c r="E11" s="842"/>
      <c r="F11" s="245">
        <f>SUMIF(55:55,E11,56:56)-SUMIF(55:55,C11,56:56)+100</f>
        <v>100</v>
      </c>
      <c r="G11" s="842"/>
      <c r="H11" s="245">
        <f>SUMIF(55:55,G11,56:56)-SUMIF(55:55,C11,56:56)+100</f>
        <v>100</v>
      </c>
      <c r="I11" s="842"/>
      <c r="J11" s="245">
        <f>SUMIF(55:55,I11,56:56)-SUMIF(55:55,C11,56:56)+100</f>
        <v>100</v>
      </c>
      <c r="K11" s="550"/>
      <c r="L11" s="1860"/>
      <c r="M11" s="1854"/>
      <c r="N11" s="1854"/>
      <c r="O11" s="1861"/>
      <c r="P11" s="3898"/>
      <c r="Q11" s="1047">
        <f t="shared" si="6"/>
        <v>111</v>
      </c>
      <c r="R11" s="1378" t="s">
        <v>5</v>
      </c>
      <c r="S11" s="1379">
        <f t="shared" si="0"/>
        <v>100</v>
      </c>
      <c r="T11" s="1378" t="s">
        <v>5</v>
      </c>
      <c r="U11" s="1379">
        <f t="shared" si="1"/>
        <v>100</v>
      </c>
      <c r="V11" s="1378" t="s">
        <v>5</v>
      </c>
      <c r="W11" s="1379">
        <f t="shared" si="2"/>
        <v>100</v>
      </c>
      <c r="X11" s="1380"/>
      <c r="Y11" s="3842"/>
      <c r="Z11" s="1046">
        <f t="shared" si="7"/>
        <v>111</v>
      </c>
      <c r="AA11" s="1381">
        <f t="shared" si="3"/>
        <v>1</v>
      </c>
      <c r="AB11" s="1381">
        <f t="shared" si="4"/>
        <v>1</v>
      </c>
      <c r="AC11" s="1381">
        <f t="shared" si="5"/>
        <v>1</v>
      </c>
    </row>
    <row r="12" spans="1:29" s="1115" customFormat="1" ht="15" hidden="1">
      <c r="A12" s="2394"/>
      <c r="B12" s="2400">
        <v>111</v>
      </c>
      <c r="C12" s="497"/>
      <c r="D12" s="507">
        <v>100</v>
      </c>
      <c r="E12" s="842"/>
      <c r="F12" s="245">
        <f>SUMIF(57:57,E12,58:58)-SUMIF(57:57,C12,58:58)+100</f>
        <v>100</v>
      </c>
      <c r="G12" s="842"/>
      <c r="H12" s="245">
        <f>SUMIF(57:57,G12,58:58)-SUMIF(57:57,C12,58:58)+100</f>
        <v>100</v>
      </c>
      <c r="I12" s="842"/>
      <c r="J12" s="245">
        <f>SUMIF(57:57,I12,58:58)-SUMIF(57:57,C12,58:58)+100</f>
        <v>100</v>
      </c>
      <c r="K12" s="550"/>
      <c r="L12" s="1855"/>
      <c r="M12" s="1856"/>
      <c r="N12" s="1856"/>
      <c r="O12" s="1857"/>
      <c r="P12" s="3898"/>
      <c r="Q12" s="1047">
        <f t="shared" si="6"/>
        <v>111</v>
      </c>
      <c r="R12" s="1378" t="s">
        <v>5</v>
      </c>
      <c r="S12" s="1379">
        <f t="shared" si="0"/>
        <v>100</v>
      </c>
      <c r="T12" s="1378" t="s">
        <v>5</v>
      </c>
      <c r="U12" s="1379">
        <f t="shared" si="1"/>
        <v>100</v>
      </c>
      <c r="V12" s="1378" t="s">
        <v>5</v>
      </c>
      <c r="W12" s="1379">
        <f t="shared" si="2"/>
        <v>100</v>
      </c>
      <c r="X12" s="1380"/>
      <c r="Y12" s="3842"/>
      <c r="Z12" s="1046">
        <f t="shared" si="7"/>
        <v>111</v>
      </c>
      <c r="AA12" s="1381">
        <f>D12/F12</f>
        <v>1</v>
      </c>
      <c r="AB12" s="1381">
        <f>D12/H12</f>
        <v>1</v>
      </c>
      <c r="AC12" s="1381">
        <f>D12/J12</f>
        <v>1</v>
      </c>
    </row>
    <row r="13" spans="1:29" ht="15.75" hidden="1" thickBot="1">
      <c r="A13" s="2395"/>
      <c r="B13" s="2401">
        <v>111</v>
      </c>
      <c r="C13" s="508"/>
      <c r="D13" s="509">
        <v>100</v>
      </c>
      <c r="E13" s="842"/>
      <c r="F13" s="245">
        <f>SUMIF(59:59,E13,60:60)-SUMIF(59:59,C13,60:60)+100</f>
        <v>100</v>
      </c>
      <c r="G13" s="842"/>
      <c r="H13" s="509">
        <f>SUMIF(59:59,G13,60:60)-SUMIF(59:59,C13,60:60)+100</f>
        <v>100</v>
      </c>
      <c r="I13" s="842"/>
      <c r="J13" s="509">
        <f>SUMIF(59:59,I13,60:60)-SUMIF(59:59,C13,60:60)+100</f>
        <v>100</v>
      </c>
      <c r="K13" s="550"/>
      <c r="L13" s="1862"/>
      <c r="M13" s="1854"/>
      <c r="N13" s="1854"/>
      <c r="O13" s="1861"/>
      <c r="P13" s="3898"/>
      <c r="Q13" s="1047">
        <f t="shared" si="6"/>
        <v>111</v>
      </c>
      <c r="R13" s="1378" t="s">
        <v>5</v>
      </c>
      <c r="S13" s="1379">
        <f t="shared" si="0"/>
        <v>100</v>
      </c>
      <c r="T13" s="1378" t="s">
        <v>5</v>
      </c>
      <c r="U13" s="1379">
        <f t="shared" si="1"/>
        <v>100</v>
      </c>
      <c r="V13" s="1378" t="s">
        <v>5</v>
      </c>
      <c r="W13" s="1379">
        <f t="shared" si="2"/>
        <v>100</v>
      </c>
      <c r="X13" s="1380"/>
      <c r="Y13" s="3842"/>
      <c r="Z13" s="1046">
        <f t="shared" si="7"/>
        <v>111</v>
      </c>
      <c r="AA13" s="1381">
        <f t="shared" si="3"/>
        <v>1</v>
      </c>
      <c r="AB13" s="1381">
        <f t="shared" si="4"/>
        <v>1</v>
      </c>
      <c r="AC13" s="1381">
        <f t="shared" si="5"/>
        <v>1</v>
      </c>
    </row>
    <row r="14" spans="1:29" ht="15">
      <c r="A14" s="2387" t="s">
        <v>2036</v>
      </c>
      <c r="B14" s="159" t="s">
        <v>492</v>
      </c>
      <c r="C14" s="881">
        <f>IF(B1="工业",估价对象房地状况!G4,估价对象房地状况!C6)</f>
        <v>0</v>
      </c>
      <c r="D14" s="518">
        <v>100</v>
      </c>
      <c r="E14" s="519"/>
      <c r="F14" s="520">
        <f>SUMIF(61:61,E15,62:62)-SUMIF(61:61,C15,62:62)+100</f>
        <v>105</v>
      </c>
      <c r="G14" s="521"/>
      <c r="H14" s="518">
        <f>SUMIF(61:61,G15,62:62)-SUMIF(61:61,C15,62:62)+100</f>
        <v>105</v>
      </c>
      <c r="I14" s="519"/>
      <c r="J14" s="518">
        <f>SUMIF(61:61,I15,62:62)-SUMIF(61:61,C15,62:62)+100</f>
        <v>100</v>
      </c>
      <c r="K14" s="858">
        <f>'不动产比较法-住宅'!K17</f>
        <v>5</v>
      </c>
      <c r="L14" s="1862"/>
      <c r="M14" s="1854"/>
      <c r="N14" s="1854"/>
      <c r="O14" s="1861"/>
      <c r="P14" s="3932" t="s">
        <v>489</v>
      </c>
      <c r="Q14" s="1382" t="str">
        <f t="shared" si="6"/>
        <v>交通便捷度</v>
      </c>
      <c r="R14" s="1383" t="s">
        <v>5</v>
      </c>
      <c r="S14" s="1384">
        <f t="shared" si="0"/>
        <v>105</v>
      </c>
      <c r="T14" s="1383" t="s">
        <v>5</v>
      </c>
      <c r="U14" s="1384">
        <f t="shared" si="1"/>
        <v>105</v>
      </c>
      <c r="V14" s="1383" t="s">
        <v>5</v>
      </c>
      <c r="W14" s="1384">
        <f t="shared" si="2"/>
        <v>100</v>
      </c>
      <c r="X14" s="1377"/>
      <c r="Y14" s="3932" t="s">
        <v>489</v>
      </c>
      <c r="Z14" s="1385" t="str">
        <f t="shared" si="7"/>
        <v>交通便捷度</v>
      </c>
      <c r="AA14" s="1386">
        <f t="shared" si="3"/>
        <v>0.95238095238095233</v>
      </c>
      <c r="AB14" s="1386">
        <f t="shared" si="4"/>
        <v>0.95238095238095233</v>
      </c>
      <c r="AC14" s="1386">
        <f t="shared" si="5"/>
        <v>1</v>
      </c>
    </row>
    <row r="15" spans="1:29" ht="15">
      <c r="A15" s="501"/>
      <c r="B15" s="831"/>
      <c r="C15" s="545" t="str">
        <f>'比较法-住宅、综合'!C18</f>
        <v>一般</v>
      </c>
      <c r="D15" s="524"/>
      <c r="E15" s="545" t="s">
        <v>3412</v>
      </c>
      <c r="F15" s="526"/>
      <c r="G15" s="545" t="s">
        <v>3412</v>
      </c>
      <c r="H15" s="528"/>
      <c r="I15" s="545" t="s">
        <v>3411</v>
      </c>
      <c r="J15" s="524"/>
      <c r="K15" s="859"/>
      <c r="L15" s="1862"/>
      <c r="M15" s="1854"/>
      <c r="N15" s="1854"/>
      <c r="O15" s="1861"/>
      <c r="P15" s="3933"/>
      <c r="Q15" s="1382"/>
      <c r="R15" s="1383"/>
      <c r="S15" s="1384"/>
      <c r="T15" s="1383"/>
      <c r="U15" s="1384"/>
      <c r="V15" s="1383"/>
      <c r="W15" s="1384"/>
      <c r="X15" s="1377"/>
      <c r="Y15" s="3933"/>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100</v>
      </c>
      <c r="G16" s="541"/>
      <c r="H16" s="534">
        <f>SUMIF(63:63,G17,64:64)-SUMIF(63:63,C17,64:64)+100</f>
        <v>100</v>
      </c>
      <c r="I16" s="539"/>
      <c r="J16" s="534">
        <f>SUMIF(63:63,I17,64:64)-SUMIF(63:63,C17,64:64)+100</f>
        <v>100</v>
      </c>
      <c r="K16" s="858">
        <f>'不动产比较法-住宅'!K19</f>
        <v>3</v>
      </c>
      <c r="L16" s="1862"/>
      <c r="M16" s="1854"/>
      <c r="N16" s="1854"/>
      <c r="O16" s="1861"/>
      <c r="P16" s="3933"/>
      <c r="Q16" s="1382" t="str">
        <f>B16</f>
        <v>公共配套设施</v>
      </c>
      <c r="R16" s="1383" t="s">
        <v>5</v>
      </c>
      <c r="S16" s="1384">
        <f>F16</f>
        <v>100</v>
      </c>
      <c r="T16" s="1383" t="s">
        <v>5</v>
      </c>
      <c r="U16" s="1384">
        <f>H16</f>
        <v>100</v>
      </c>
      <c r="V16" s="1383" t="s">
        <v>5</v>
      </c>
      <c r="W16" s="1384">
        <f>J16</f>
        <v>100</v>
      </c>
      <c r="X16" s="1377"/>
      <c r="Y16" s="3933"/>
      <c r="Z16" s="1385" t="str">
        <f>Q16</f>
        <v>公共配套设施</v>
      </c>
      <c r="AA16" s="1386">
        <f t="shared" si="3"/>
        <v>1</v>
      </c>
      <c r="AB16" s="1386">
        <f t="shared" si="4"/>
        <v>1</v>
      </c>
      <c r="AC16" s="1386">
        <f t="shared" si="5"/>
        <v>1</v>
      </c>
    </row>
    <row r="17" spans="1:29" ht="15">
      <c r="A17" s="501"/>
      <c r="B17" s="535"/>
      <c r="C17" s="835" t="str">
        <f>'比较法-住宅、综合'!C30</f>
        <v>一般</v>
      </c>
      <c r="D17" s="524"/>
      <c r="E17" s="545" t="s">
        <v>3411</v>
      </c>
      <c r="F17" s="526"/>
      <c r="G17" s="545" t="s">
        <v>3411</v>
      </c>
      <c r="H17" s="524"/>
      <c r="I17" s="545" t="s">
        <v>3411</v>
      </c>
      <c r="J17" s="524"/>
      <c r="K17" s="859"/>
      <c r="L17" s="1862"/>
      <c r="M17" s="1854"/>
      <c r="N17" s="1854"/>
      <c r="O17" s="1861"/>
      <c r="P17" s="3933"/>
      <c r="Q17" s="1382"/>
      <c r="R17" s="1383"/>
      <c r="S17" s="1384"/>
      <c r="T17" s="1383"/>
      <c r="U17" s="1384"/>
      <c r="V17" s="1383"/>
      <c r="W17" s="1384"/>
      <c r="X17" s="1377"/>
      <c r="Y17" s="3933"/>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8">
        <f>'不动产比较法-住宅'!K21</f>
        <v>1</v>
      </c>
      <c r="L18" s="1862"/>
      <c r="M18" s="1854"/>
      <c r="N18" s="1854"/>
      <c r="O18" s="1861"/>
      <c r="P18" s="3933"/>
      <c r="Q18" s="2190" t="str">
        <f>B18</f>
        <v>基础设施水平</v>
      </c>
      <c r="R18" s="1383" t="s">
        <v>5</v>
      </c>
      <c r="S18" s="1384">
        <f>F18</f>
        <v>100</v>
      </c>
      <c r="T18" s="1383" t="s">
        <v>5</v>
      </c>
      <c r="U18" s="1384">
        <f>H18</f>
        <v>100</v>
      </c>
      <c r="V18" s="1383" t="s">
        <v>5</v>
      </c>
      <c r="W18" s="1384">
        <f>J18</f>
        <v>100</v>
      </c>
      <c r="X18" s="2192"/>
      <c r="Y18" s="3933"/>
      <c r="Z18" s="2191" t="str">
        <f>Q18</f>
        <v>基础设施水平</v>
      </c>
      <c r="AA18" s="1386">
        <f>D18/F18</f>
        <v>1</v>
      </c>
      <c r="AB18" s="1386">
        <f>D18/H18</f>
        <v>1</v>
      </c>
      <c r="AC18" s="1386">
        <f>D18/J18</f>
        <v>1</v>
      </c>
    </row>
    <row r="19" spans="1:29" ht="15">
      <c r="A19" s="501"/>
      <c r="B19" s="547"/>
      <c r="C19" s="835" t="str">
        <f>'比较法-住宅、综合'!C32</f>
        <v>七通</v>
      </c>
      <c r="D19" s="528"/>
      <c r="E19" s="835" t="s">
        <v>3413</v>
      </c>
      <c r="F19" s="532"/>
      <c r="G19" s="835" t="s">
        <v>3413</v>
      </c>
      <c r="H19" s="524"/>
      <c r="I19" s="545" t="s">
        <v>3413</v>
      </c>
      <c r="J19" s="524"/>
      <c r="K19" s="2207"/>
      <c r="L19" s="1862"/>
      <c r="M19" s="1854"/>
      <c r="N19" s="1854"/>
      <c r="O19" s="1861"/>
      <c r="P19" s="3933"/>
      <c r="Q19" s="2190"/>
      <c r="R19" s="1383"/>
      <c r="S19" s="1384"/>
      <c r="T19" s="1383"/>
      <c r="U19" s="1384"/>
      <c r="V19" s="1383"/>
      <c r="W19" s="1384"/>
      <c r="X19" s="2192"/>
      <c r="Y19" s="3933"/>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8">
        <f>'不动产比较法-住宅'!K23</f>
        <v>2</v>
      </c>
      <c r="L20" s="1862"/>
      <c r="M20" s="1854"/>
      <c r="N20" s="1854"/>
      <c r="O20" s="1861"/>
      <c r="P20" s="3933"/>
      <c r="Q20" s="1382" t="str">
        <f>B20</f>
        <v>自然及人文环境</v>
      </c>
      <c r="R20" s="1383" t="s">
        <v>5</v>
      </c>
      <c r="S20" s="1384">
        <f>F20</f>
        <v>100</v>
      </c>
      <c r="T20" s="1383" t="s">
        <v>5</v>
      </c>
      <c r="U20" s="1384">
        <f>H20</f>
        <v>100</v>
      </c>
      <c r="V20" s="1383" t="s">
        <v>5</v>
      </c>
      <c r="W20" s="1384">
        <f>J20</f>
        <v>100</v>
      </c>
      <c r="X20" s="1377"/>
      <c r="Y20" s="3933"/>
      <c r="Z20" s="1385" t="str">
        <f>Q20</f>
        <v>自然及人文环境</v>
      </c>
      <c r="AA20" s="1386">
        <f t="shared" si="3"/>
        <v>1</v>
      </c>
      <c r="AB20" s="1386">
        <f t="shared" si="4"/>
        <v>1</v>
      </c>
      <c r="AC20" s="1386">
        <f t="shared" si="5"/>
        <v>1</v>
      </c>
    </row>
    <row r="21" spans="1:29" ht="15">
      <c r="A21" s="501"/>
      <c r="B21" s="564"/>
      <c r="C21" s="545" t="str">
        <f>'比较法-住宅、综合'!C28</f>
        <v>一般</v>
      </c>
      <c r="D21" s="524"/>
      <c r="E21" s="545" t="s">
        <v>3411</v>
      </c>
      <c r="F21" s="526"/>
      <c r="G21" s="545" t="s">
        <v>3411</v>
      </c>
      <c r="H21" s="524"/>
      <c r="I21" s="545" t="s">
        <v>3411</v>
      </c>
      <c r="J21" s="524"/>
      <c r="K21" s="859"/>
      <c r="L21" s="1862"/>
      <c r="M21" s="1854"/>
      <c r="N21" s="1854"/>
      <c r="O21" s="1861"/>
      <c r="P21" s="3933"/>
      <c r="Q21" s="1382"/>
      <c r="R21" s="1383"/>
      <c r="S21" s="1384"/>
      <c r="T21" s="1383"/>
      <c r="U21" s="1384"/>
      <c r="V21" s="1383"/>
      <c r="W21" s="1384"/>
      <c r="X21" s="1377"/>
      <c r="Y21" s="3933"/>
      <c r="Z21" s="1385"/>
      <c r="AA21" s="1386">
        <v>1</v>
      </c>
      <c r="AB21" s="1386">
        <v>1</v>
      </c>
      <c r="AC21" s="1386">
        <v>1</v>
      </c>
    </row>
    <row r="22" spans="1:29" ht="15.75" thickBot="1">
      <c r="A22" s="501"/>
      <c r="B22" s="833" t="s">
        <v>745</v>
      </c>
      <c r="C22" s="552" t="s">
        <v>3255</v>
      </c>
      <c r="D22" s="528">
        <v>100</v>
      </c>
      <c r="E22" s="552" t="s">
        <v>3255</v>
      </c>
      <c r="F22" s="544">
        <f>SUMIF(69:69,E22,70:70)-SUMIF(69:69,C22,70:70)+100</f>
        <v>100</v>
      </c>
      <c r="G22" s="552" t="s">
        <v>3255</v>
      </c>
      <c r="H22" s="509">
        <f>SUMIF(69:69,G22,70:70)-SUMIF(69:69,C22,70:70)+100</f>
        <v>100</v>
      </c>
      <c r="I22" s="552" t="s">
        <v>3255</v>
      </c>
      <c r="J22" s="509">
        <f>SUMIF(69:69,I22,70:70)-SUMIF(69:69,C22,70:70)+100</f>
        <v>100</v>
      </c>
      <c r="K22" s="553">
        <v>2</v>
      </c>
      <c r="L22" s="1862"/>
      <c r="M22" s="1854"/>
      <c r="N22" s="1854"/>
      <c r="O22" s="1861"/>
      <c r="P22" s="3933"/>
      <c r="Q22" s="1382" t="str">
        <f>B22</f>
        <v>楼层</v>
      </c>
      <c r="R22" s="1383" t="s">
        <v>5</v>
      </c>
      <c r="S22" s="1384">
        <f>F22</f>
        <v>100</v>
      </c>
      <c r="T22" s="1383" t="s">
        <v>5</v>
      </c>
      <c r="U22" s="1384">
        <f>H22</f>
        <v>100</v>
      </c>
      <c r="V22" s="1383" t="s">
        <v>5</v>
      </c>
      <c r="W22" s="1384">
        <f>J22</f>
        <v>100</v>
      </c>
      <c r="X22" s="1377"/>
      <c r="Y22" s="3933"/>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33"/>
      <c r="Q23" s="1382">
        <f>B23</f>
        <v>111</v>
      </c>
      <c r="R23" s="1383" t="s">
        <v>5</v>
      </c>
      <c r="S23" s="1384">
        <f>F23</f>
        <v>100</v>
      </c>
      <c r="T23" s="1383" t="s">
        <v>5</v>
      </c>
      <c r="U23" s="1384">
        <f>H23</f>
        <v>100</v>
      </c>
      <c r="V23" s="1383" t="s">
        <v>5</v>
      </c>
      <c r="W23" s="1384">
        <f>J23</f>
        <v>100</v>
      </c>
      <c r="X23" s="1377"/>
      <c r="Y23" s="3933"/>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33"/>
      <c r="Q24" s="1382">
        <f t="shared" ref="Q24:Q34" si="8">B24</f>
        <v>111</v>
      </c>
      <c r="R24" s="1383" t="s">
        <v>5</v>
      </c>
      <c r="S24" s="1384">
        <f>F24</f>
        <v>100</v>
      </c>
      <c r="T24" s="1383" t="s">
        <v>5</v>
      </c>
      <c r="U24" s="1384">
        <f>H24</f>
        <v>100</v>
      </c>
      <c r="V24" s="1383" t="s">
        <v>5</v>
      </c>
      <c r="W24" s="1384">
        <f>J24</f>
        <v>100</v>
      </c>
      <c r="X24" s="1377"/>
      <c r="Y24" s="3933"/>
      <c r="Z24" s="1385">
        <f>Q24</f>
        <v>111</v>
      </c>
      <c r="AA24" s="1386">
        <f t="shared" si="3"/>
        <v>1</v>
      </c>
      <c r="AB24" s="1386">
        <f t="shared" si="4"/>
        <v>1</v>
      </c>
      <c r="AC24" s="1386">
        <f t="shared" si="5"/>
        <v>1</v>
      </c>
    </row>
    <row r="25" spans="1:29" s="1115" customFormat="1" ht="15.75" hidden="1"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5"/>
      <c r="M25" s="1856"/>
      <c r="N25" s="1856"/>
      <c r="O25" s="1857"/>
      <c r="P25" s="3933"/>
      <c r="Q25" s="1047">
        <f t="shared" si="8"/>
        <v>111</v>
      </c>
      <c r="R25" s="1378" t="s">
        <v>5</v>
      </c>
      <c r="S25" s="1379">
        <f>F25</f>
        <v>100</v>
      </c>
      <c r="T25" s="1378" t="s">
        <v>5</v>
      </c>
      <c r="U25" s="1379">
        <f>H25</f>
        <v>100</v>
      </c>
      <c r="V25" s="1378" t="s">
        <v>5</v>
      </c>
      <c r="W25" s="1379">
        <f>J25</f>
        <v>100</v>
      </c>
      <c r="X25" s="1380"/>
      <c r="Y25" s="3933"/>
      <c r="Z25" s="1046">
        <f>Q25</f>
        <v>111</v>
      </c>
      <c r="AA25" s="1386">
        <f>D25/F25</f>
        <v>1</v>
      </c>
      <c r="AB25" s="1386">
        <f>D25/H25</f>
        <v>1</v>
      </c>
      <c r="AC25" s="1386">
        <f>D25/J25</f>
        <v>1</v>
      </c>
    </row>
    <row r="26" spans="1:29" ht="15">
      <c r="A26" s="2384" t="s">
        <v>2037</v>
      </c>
      <c r="B26" s="165" t="s">
        <v>748</v>
      </c>
      <c r="C26" s="876" t="s">
        <v>3415</v>
      </c>
      <c r="D26" s="566">
        <v>100</v>
      </c>
      <c r="E26" s="876" t="s">
        <v>3415</v>
      </c>
      <c r="F26" s="903">
        <f>SUMIF(77:77,E26,78:78)-SUMIF(77:77,C26,78:78)+100</f>
        <v>100</v>
      </c>
      <c r="G26" s="876" t="s">
        <v>3415</v>
      </c>
      <c r="H26" s="566">
        <f>SUMIF(77:77,G26,78:78)-SUMIF(77:77,C26,78:78)+100</f>
        <v>100</v>
      </c>
      <c r="I26" s="876" t="s">
        <v>3415</v>
      </c>
      <c r="J26" s="566">
        <f>SUMIF(77:77,I26,78:78)-SUMIF(77:77,C26,78:78)+100</f>
        <v>100</v>
      </c>
      <c r="K26" s="553">
        <f>'不动产比较法-住宅'!K36</f>
        <v>2</v>
      </c>
      <c r="L26" s="1862"/>
      <c r="M26" s="1854"/>
      <c r="N26" s="1854"/>
      <c r="O26" s="1861"/>
      <c r="P26" s="3934"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35" t="s">
        <v>761</v>
      </c>
      <c r="Z26" s="1385" t="str">
        <f t="shared" ref="Z26:Z34" si="12">Q26</f>
        <v>公共部分装修</v>
      </c>
      <c r="AA26" s="1386">
        <f t="shared" si="3"/>
        <v>1</v>
      </c>
      <c r="AB26" s="1386">
        <f t="shared" si="4"/>
        <v>1</v>
      </c>
      <c r="AC26" s="1386">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f>'不动产比较法-住宅'!K37</f>
        <v>1</v>
      </c>
      <c r="L27" s="1860"/>
      <c r="M27" s="1890"/>
      <c r="N27" s="1890"/>
      <c r="O27" s="1863"/>
      <c r="P27" s="3935"/>
      <c r="Q27" s="1411" t="str">
        <f t="shared" si="8"/>
        <v>成新率</v>
      </c>
      <c r="R27" s="1387" t="s">
        <v>5</v>
      </c>
      <c r="S27" s="1388">
        <f t="shared" si="9"/>
        <v>100</v>
      </c>
      <c r="T27" s="1387" t="s">
        <v>5</v>
      </c>
      <c r="U27" s="1388">
        <f t="shared" si="10"/>
        <v>100</v>
      </c>
      <c r="V27" s="1387" t="s">
        <v>5</v>
      </c>
      <c r="W27" s="1388">
        <f t="shared" si="11"/>
        <v>100</v>
      </c>
      <c r="X27" s="1389"/>
      <c r="Y27" s="3935"/>
      <c r="Z27" s="1390" t="str">
        <f t="shared" si="12"/>
        <v>成新率</v>
      </c>
      <c r="AA27" s="1386">
        <f t="shared" si="3"/>
        <v>1</v>
      </c>
      <c r="AB27" s="1386">
        <f t="shared" si="4"/>
        <v>1</v>
      </c>
      <c r="AC27" s="1386">
        <f t="shared" si="5"/>
        <v>1</v>
      </c>
    </row>
    <row r="28" spans="1:29" ht="15">
      <c r="A28" s="563"/>
      <c r="B28" s="496" t="s">
        <v>750</v>
      </c>
      <c r="C28" s="543" t="s">
        <v>3420</v>
      </c>
      <c r="D28" s="509">
        <v>100</v>
      </c>
      <c r="E28" s="543" t="s">
        <v>3420</v>
      </c>
      <c r="F28" s="544">
        <f>SUMIF(82:82,E28,83:83)-SUMIF(82:82,C28,83:83)+100</f>
        <v>100</v>
      </c>
      <c r="G28" s="543" t="s">
        <v>3420</v>
      </c>
      <c r="H28" s="509">
        <f>SUMIF(82:82,G28,83:83)-SUMIF(82:82,C28,83:83)+100</f>
        <v>100</v>
      </c>
      <c r="I28" s="543" t="s">
        <v>3420</v>
      </c>
      <c r="J28" s="509">
        <f>SUMIF(82:82,I28,83:83)-SUMIF(82:82,C28,83:83)+100</f>
        <v>100</v>
      </c>
      <c r="K28" s="553">
        <f>'不动产比较法-住宅'!K38</f>
        <v>2</v>
      </c>
      <c r="L28" s="1862"/>
      <c r="M28" s="1854"/>
      <c r="N28" s="1854"/>
      <c r="O28" s="1861"/>
      <c r="P28" s="3935"/>
      <c r="Q28" s="1382" t="str">
        <f t="shared" si="8"/>
        <v>物业等级</v>
      </c>
      <c r="R28" s="1383" t="s">
        <v>5</v>
      </c>
      <c r="S28" s="1384">
        <f t="shared" si="9"/>
        <v>100</v>
      </c>
      <c r="T28" s="1383" t="s">
        <v>5</v>
      </c>
      <c r="U28" s="1384">
        <f t="shared" si="10"/>
        <v>100</v>
      </c>
      <c r="V28" s="1383" t="s">
        <v>5</v>
      </c>
      <c r="W28" s="1384">
        <f t="shared" si="11"/>
        <v>100</v>
      </c>
      <c r="X28" s="1377"/>
      <c r="Y28" s="3935"/>
      <c r="Z28" s="1385" t="str">
        <f t="shared" si="12"/>
        <v>物业等级</v>
      </c>
      <c r="AA28" s="1386">
        <f t="shared" si="3"/>
        <v>1</v>
      </c>
      <c r="AB28" s="1386">
        <f t="shared" si="4"/>
        <v>1</v>
      </c>
      <c r="AC28" s="1386">
        <f t="shared" si="5"/>
        <v>1</v>
      </c>
    </row>
    <row r="29" spans="1:29" ht="15">
      <c r="A29" s="563"/>
      <c r="B29" s="496" t="s">
        <v>762</v>
      </c>
      <c r="C29" s="892" t="s">
        <v>3447</v>
      </c>
      <c r="D29" s="509">
        <v>100</v>
      </c>
      <c r="E29" s="892" t="s">
        <v>3447</v>
      </c>
      <c r="F29" s="544">
        <f>SUMIF(84:84,E29,85:85)-SUMIF(84:84,C29,85:85)+100</f>
        <v>100</v>
      </c>
      <c r="G29" s="892" t="s">
        <v>3447</v>
      </c>
      <c r="H29" s="509">
        <f>SUMIF(84:84,G29,85:85)-SUMIF(84:84,C29,85:85)+100</f>
        <v>100</v>
      </c>
      <c r="I29" s="892" t="s">
        <v>3447</v>
      </c>
      <c r="J29" s="509">
        <f>SUMIF(84:84,I29,85:85)-SUMIF(84:84,C29,85:85)+100</f>
        <v>100</v>
      </c>
      <c r="K29" s="553">
        <v>1</v>
      </c>
      <c r="L29" s="1862"/>
      <c r="M29" s="1854"/>
      <c r="N29" s="1854"/>
      <c r="O29" s="1861"/>
      <c r="P29" s="3935"/>
      <c r="Q29" s="1382" t="str">
        <f t="shared" si="8"/>
        <v>有无电梯</v>
      </c>
      <c r="R29" s="1383" t="s">
        <v>5</v>
      </c>
      <c r="S29" s="1384">
        <f t="shared" si="9"/>
        <v>100</v>
      </c>
      <c r="T29" s="1383" t="s">
        <v>5</v>
      </c>
      <c r="U29" s="1384">
        <f t="shared" si="10"/>
        <v>100</v>
      </c>
      <c r="V29" s="1383" t="s">
        <v>5</v>
      </c>
      <c r="W29" s="1384">
        <f t="shared" si="11"/>
        <v>100</v>
      </c>
      <c r="X29" s="1377"/>
      <c r="Y29" s="3935"/>
      <c r="Z29" s="1385" t="str">
        <f t="shared" si="12"/>
        <v>有无电梯</v>
      </c>
      <c r="AA29" s="1386">
        <f t="shared" si="3"/>
        <v>1</v>
      </c>
      <c r="AB29" s="1386">
        <f t="shared" si="4"/>
        <v>1</v>
      </c>
      <c r="AC29" s="1386">
        <f t="shared" si="5"/>
        <v>1</v>
      </c>
    </row>
    <row r="30" spans="1:29" ht="15" hidden="1">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2"/>
      <c r="M30" s="1854"/>
      <c r="N30" s="1854"/>
      <c r="O30" s="1861"/>
      <c r="P30" s="3935"/>
      <c r="Q30" s="1382" t="str">
        <f t="shared" si="8"/>
        <v>建筑面积</v>
      </c>
      <c r="R30" s="1383" t="s">
        <v>5</v>
      </c>
      <c r="S30" s="1384" t="e">
        <f t="shared" si="9"/>
        <v>#N/A</v>
      </c>
      <c r="T30" s="1383" t="s">
        <v>5</v>
      </c>
      <c r="U30" s="1384" t="e">
        <f t="shared" si="10"/>
        <v>#N/A</v>
      </c>
      <c r="V30" s="1383" t="s">
        <v>5</v>
      </c>
      <c r="W30" s="1384" t="e">
        <f t="shared" si="11"/>
        <v>#N/A</v>
      </c>
      <c r="X30" s="1377"/>
      <c r="Y30" s="3935"/>
      <c r="Z30" s="1385" t="str">
        <f t="shared" si="12"/>
        <v>建筑面积</v>
      </c>
      <c r="AA30" s="1386" t="e">
        <f t="shared" si="3"/>
        <v>#N/A</v>
      </c>
      <c r="AB30" s="1386" t="e">
        <f t="shared" si="4"/>
        <v>#N/A</v>
      </c>
      <c r="AC30" s="1386" t="e">
        <f t="shared" si="5"/>
        <v>#N/A</v>
      </c>
    </row>
    <row r="31" spans="1:29" s="1115" customFormat="1" ht="15.75" thickBot="1">
      <c r="A31" s="569"/>
      <c r="B31" s="496" t="s">
        <v>764</v>
      </c>
      <c r="C31" s="892" t="s">
        <v>3256</v>
      </c>
      <c r="D31" s="245">
        <v>100</v>
      </c>
      <c r="E31" s="892" t="s">
        <v>3256</v>
      </c>
      <c r="F31" s="544">
        <f>SUMIF(89:89,E31,90:90)-SUMIF(89:89,C31,90:90)+100</f>
        <v>100</v>
      </c>
      <c r="G31" s="892" t="s">
        <v>3256</v>
      </c>
      <c r="H31" s="509">
        <f>SUMIF(89:89,G31,90:90)-SUMIF(89:89,C31,90:90)+100</f>
        <v>100</v>
      </c>
      <c r="I31" s="892" t="s">
        <v>3256</v>
      </c>
      <c r="J31" s="509">
        <f>SUMIF(89:89,I31,90:90)-SUMIF(89:89,C31,90:90)+100</f>
        <v>100</v>
      </c>
      <c r="K31" s="553">
        <v>2</v>
      </c>
      <c r="L31" s="1855"/>
      <c r="M31" s="1856"/>
      <c r="N31" s="1856"/>
      <c r="O31" s="1857"/>
      <c r="P31" s="3935"/>
      <c r="Q31" s="1047" t="str">
        <f t="shared" si="8"/>
        <v>是否封闭</v>
      </c>
      <c r="R31" s="1378" t="s">
        <v>5</v>
      </c>
      <c r="S31" s="1379">
        <f t="shared" si="9"/>
        <v>100</v>
      </c>
      <c r="T31" s="1378" t="s">
        <v>5</v>
      </c>
      <c r="U31" s="1379">
        <f t="shared" si="10"/>
        <v>100</v>
      </c>
      <c r="V31" s="1378" t="s">
        <v>5</v>
      </c>
      <c r="W31" s="1379">
        <f t="shared" si="11"/>
        <v>100</v>
      </c>
      <c r="X31" s="1380"/>
      <c r="Y31" s="3935"/>
      <c r="Z31" s="1046" t="str">
        <f t="shared" si="12"/>
        <v>是否封闭</v>
      </c>
      <c r="AA31" s="1381">
        <f t="shared" si="3"/>
        <v>1</v>
      </c>
      <c r="AB31" s="1381">
        <f t="shared" si="4"/>
        <v>1</v>
      </c>
      <c r="AC31" s="1381">
        <f t="shared" si="5"/>
        <v>1</v>
      </c>
    </row>
    <row r="32" spans="1:29" ht="15" hidden="1">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2"/>
      <c r="M32" s="1854"/>
      <c r="N32" s="1854"/>
      <c r="O32" s="1861"/>
      <c r="P32" s="3935" t="s">
        <v>499</v>
      </c>
      <c r="Q32" s="1382">
        <f t="shared" si="8"/>
        <v>111</v>
      </c>
      <c r="R32" s="1383" t="s">
        <v>5</v>
      </c>
      <c r="S32" s="1384">
        <f t="shared" si="9"/>
        <v>100</v>
      </c>
      <c r="T32" s="1383" t="s">
        <v>5</v>
      </c>
      <c r="U32" s="1384">
        <f t="shared" si="10"/>
        <v>100</v>
      </c>
      <c r="V32" s="1383" t="s">
        <v>5</v>
      </c>
      <c r="W32" s="1384">
        <f t="shared" si="11"/>
        <v>100</v>
      </c>
      <c r="X32" s="1377"/>
      <c r="Y32" s="3935" t="s">
        <v>499</v>
      </c>
      <c r="Z32" s="1385">
        <f t="shared" si="12"/>
        <v>111</v>
      </c>
      <c r="AA32" s="1386">
        <f t="shared" si="3"/>
        <v>1</v>
      </c>
      <c r="AB32" s="1386">
        <f t="shared" si="4"/>
        <v>1</v>
      </c>
      <c r="AC32" s="1386">
        <f t="shared" si="5"/>
        <v>1</v>
      </c>
    </row>
    <row r="33" spans="1:29" ht="15" hidden="1">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2"/>
      <c r="M33" s="1854"/>
      <c r="N33" s="1854"/>
      <c r="O33" s="1861"/>
      <c r="P33" s="3935"/>
      <c r="Q33" s="1382">
        <f t="shared" si="8"/>
        <v>111</v>
      </c>
      <c r="R33" s="1383" t="s">
        <v>5</v>
      </c>
      <c r="S33" s="1384">
        <f t="shared" si="9"/>
        <v>100</v>
      </c>
      <c r="T33" s="1383" t="s">
        <v>5</v>
      </c>
      <c r="U33" s="1384">
        <f t="shared" si="10"/>
        <v>100</v>
      </c>
      <c r="V33" s="1383" t="s">
        <v>5</v>
      </c>
      <c r="W33" s="1384">
        <f t="shared" si="11"/>
        <v>100</v>
      </c>
      <c r="X33" s="1377"/>
      <c r="Y33" s="3935"/>
      <c r="Z33" s="1385">
        <f t="shared" si="12"/>
        <v>111</v>
      </c>
      <c r="AA33" s="1386">
        <f t="shared" si="3"/>
        <v>1</v>
      </c>
      <c r="AB33" s="1386">
        <f t="shared" si="4"/>
        <v>1</v>
      </c>
      <c r="AC33" s="1386">
        <f t="shared" si="5"/>
        <v>1</v>
      </c>
    </row>
    <row r="34" spans="1:29" ht="15.75" hidden="1"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2"/>
      <c r="M34" s="1854"/>
      <c r="N34" s="1854"/>
      <c r="O34" s="1861"/>
      <c r="P34" s="3935"/>
      <c r="Q34" s="1382">
        <f t="shared" si="8"/>
        <v>111</v>
      </c>
      <c r="R34" s="1383" t="s">
        <v>5</v>
      </c>
      <c r="S34" s="1384">
        <f t="shared" si="9"/>
        <v>100</v>
      </c>
      <c r="T34" s="1383" t="s">
        <v>5</v>
      </c>
      <c r="U34" s="1384">
        <f t="shared" si="10"/>
        <v>100</v>
      </c>
      <c r="V34" s="1383" t="s">
        <v>5</v>
      </c>
      <c r="W34" s="1384">
        <f t="shared" si="11"/>
        <v>100</v>
      </c>
      <c r="X34" s="1377"/>
      <c r="Y34" s="3935"/>
      <c r="Z34" s="1385">
        <f t="shared" si="12"/>
        <v>111</v>
      </c>
      <c r="AA34" s="1386">
        <f t="shared" si="3"/>
        <v>1</v>
      </c>
      <c r="AB34" s="1386">
        <f t="shared" si="4"/>
        <v>1</v>
      </c>
      <c r="AC34" s="1386">
        <f t="shared" si="5"/>
        <v>1</v>
      </c>
    </row>
    <row r="35" spans="1:29" ht="15">
      <c r="A35" s="576" t="s">
        <v>683</v>
      </c>
      <c r="B35" s="847"/>
      <c r="C35" s="2231" t="s">
        <v>0</v>
      </c>
      <c r="D35" s="2232"/>
      <c r="E35" s="2233">
        <f>销售案例!O38</f>
        <v>0</v>
      </c>
      <c r="F35" s="2234"/>
      <c r="G35" s="2235">
        <v>5839</v>
      </c>
      <c r="H35" s="2236"/>
      <c r="I35" s="2233">
        <v>6000</v>
      </c>
      <c r="J35" s="2236"/>
      <c r="K35" s="1416"/>
      <c r="L35" s="1864"/>
      <c r="M35" s="1865"/>
      <c r="N35" s="1854"/>
      <c r="O35" s="1865"/>
      <c r="P35" s="3898" t="str">
        <f>A35</f>
        <v>成交单价（元/平方米）</v>
      </c>
      <c r="Q35" s="3898"/>
      <c r="R35" s="4004">
        <f>E35</f>
        <v>0</v>
      </c>
      <c r="S35" s="4004"/>
      <c r="T35" s="4004">
        <f>G35</f>
        <v>5839</v>
      </c>
      <c r="U35" s="4004"/>
      <c r="V35" s="4004">
        <f>I35</f>
        <v>6000</v>
      </c>
      <c r="W35" s="4004"/>
      <c r="X35" s="1372"/>
      <c r="Y35" s="1391"/>
      <c r="Z35" s="1372"/>
      <c r="AA35" s="1372"/>
      <c r="AB35" s="1372"/>
      <c r="AC35" s="1372"/>
    </row>
    <row r="36" spans="1:29" ht="15.75" thickBot="1">
      <c r="A36" s="584" t="s">
        <v>2042</v>
      </c>
      <c r="B36" s="848"/>
      <c r="C36" s="2237" t="e">
        <f>R37</f>
        <v>#N/A</v>
      </c>
      <c r="D36" s="2754" t="s">
        <v>2252</v>
      </c>
      <c r="E36" s="2238" t="e">
        <f>R36</f>
        <v>#N/A</v>
      </c>
      <c r="F36" s="2755"/>
      <c r="G36" s="2237" t="e">
        <f>T36</f>
        <v>#DIV/0!</v>
      </c>
      <c r="H36" s="2755"/>
      <c r="I36" s="2238" t="e">
        <f>V36</f>
        <v>#DIV/0!</v>
      </c>
      <c r="J36" s="2755"/>
      <c r="K36" s="2763">
        <f>F36+H36+J36</f>
        <v>0</v>
      </c>
      <c r="L36" s="1864"/>
      <c r="M36" s="1865"/>
      <c r="N36" s="1854"/>
      <c r="O36" s="1865"/>
      <c r="P36" s="3898" t="str">
        <f>A36</f>
        <v>比较价格（元/平方米）</v>
      </c>
      <c r="Q36" s="3898"/>
      <c r="R36" s="4004" t="e">
        <f>IF(F1="售价",ROUND(PRODUCT(R35,AA7:AA34),0),ROUND(PRODUCT(R35,AA7:AA34),1))</f>
        <v>#N/A</v>
      </c>
      <c r="S36" s="4004"/>
      <c r="T36" s="4004" t="e">
        <f>IF(F1="售价",ROUND(PRODUCT(T35,AB7:AB34),0),ROUND(PRODUCT(T35,AB7:AB34),1))</f>
        <v>#DIV/0!</v>
      </c>
      <c r="U36" s="4004"/>
      <c r="V36" s="4004" t="e">
        <f>IF(F1="售价",ROUND(PRODUCT(V35,AC7:AC34),0),ROUND(PRODUCT(V35,AC7:AC34),1))</f>
        <v>#DIV/0!</v>
      </c>
      <c r="W36" s="4004"/>
      <c r="X36" s="1372"/>
      <c r="Y36" s="1372"/>
      <c r="Z36" s="1372"/>
      <c r="AA36" s="1372"/>
      <c r="AB36" s="1372"/>
      <c r="AC36" s="1372"/>
    </row>
    <row r="37" spans="1:29" ht="15.75" thickBot="1">
      <c r="A37" s="588" t="s">
        <v>2188</v>
      </c>
      <c r="B37" s="589"/>
      <c r="C37" s="2239" t="e">
        <f>R37</f>
        <v>#N/A</v>
      </c>
      <c r="D37" s="2239"/>
      <c r="E37" s="2239"/>
      <c r="F37" s="2239"/>
      <c r="G37" s="2239"/>
      <c r="H37" s="2239"/>
      <c r="I37" s="2239"/>
      <c r="J37" s="2239"/>
      <c r="K37" s="1417"/>
      <c r="L37" s="1864"/>
      <c r="M37" s="1865"/>
      <c r="N37" s="1865"/>
      <c r="O37" s="1865"/>
      <c r="P37" s="3936" t="str">
        <f>A37</f>
        <v>估价对象XX用房的比较价格（楼面单价，元/平方米）</v>
      </c>
      <c r="Q37" s="3937"/>
      <c r="R37" s="4003" t="e">
        <f>IF(F1="售价",ROUND(IF(D36="简单平均",AVERAGE(R36:W36),R36*F36+T36*H36+V36*J36),0),ROUND(IF(D36="简单平均",AVERAGE(R36:V36),R36*F36+T36*H36+V36*J36),1))</f>
        <v>#N/A</v>
      </c>
      <c r="S37" s="4003"/>
      <c r="T37" s="4003"/>
      <c r="U37" s="4003"/>
      <c r="V37" s="4003"/>
      <c r="W37" s="4003"/>
      <c r="X37" s="1372"/>
      <c r="Y37" s="1372"/>
      <c r="Z37" s="1372"/>
      <c r="AA37" s="1372"/>
      <c r="AB37" s="1372"/>
      <c r="AC37" s="1372"/>
    </row>
    <row r="38" spans="1:29">
      <c r="A38" s="2954"/>
      <c r="B38" s="2954"/>
      <c r="C38" s="2954"/>
      <c r="D38" s="2954"/>
      <c r="E38" s="2954"/>
      <c r="F38" s="2954"/>
      <c r="G38" s="2956"/>
      <c r="H38" s="2954"/>
      <c r="I38" s="2954"/>
      <c r="J38" s="2954"/>
      <c r="K38" s="2957"/>
      <c r="L38" s="1869"/>
      <c r="M38" s="1865"/>
      <c r="N38" s="1865"/>
      <c r="O38" s="1865"/>
      <c r="P38" s="1865"/>
      <c r="Q38" s="1865"/>
      <c r="R38" s="1865"/>
      <c r="S38" s="1865"/>
      <c r="T38" s="1865"/>
      <c r="U38" s="1865"/>
      <c r="V38" s="1865"/>
      <c r="W38" s="1865"/>
      <c r="X38" s="1865"/>
      <c r="Y38" s="1865"/>
      <c r="Z38" s="1865"/>
      <c r="AA38" s="1865"/>
      <c r="AB38" s="1865"/>
      <c r="AC38" s="1865"/>
    </row>
    <row r="39" spans="1:29">
      <c r="A39" s="2954"/>
      <c r="B39" s="2954"/>
      <c r="C39" s="2954"/>
      <c r="D39" s="2954"/>
      <c r="E39" s="2954"/>
      <c r="F39" s="2954"/>
      <c r="G39" s="2954"/>
      <c r="H39" s="2954"/>
      <c r="I39" s="2954"/>
      <c r="J39" s="2954"/>
      <c r="K39" s="2957"/>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4"/>
      <c r="B40" s="2954"/>
      <c r="C40" s="591" t="s">
        <v>506</v>
      </c>
      <c r="D40" s="592"/>
      <c r="E40" s="593" t="e">
        <f>IF(E35&lt;E36,E36/E35-1,E35/E36-1)</f>
        <v>#N/A</v>
      </c>
      <c r="F40" s="594" t="e">
        <f>IF(OR(E40&gt;=0.3,E40&lt;=-0.3),"超过30%","")</f>
        <v>#N/A</v>
      </c>
      <c r="G40" s="593" t="e">
        <f>IF(G35&lt;G36,G36/G35-1,G35/G36-1)</f>
        <v>#DIV/0!</v>
      </c>
      <c r="H40" s="594" t="e">
        <f>IF(OR(G40&gt;=0.3,G40&lt;=-0.3),"超过30%","")</f>
        <v>#DIV/0!</v>
      </c>
      <c r="I40" s="593" t="e">
        <f>IF(I35&lt;I36,I36/I35-1,I35/I36-1)</f>
        <v>#DIV/0!</v>
      </c>
      <c r="J40" s="594" t="e">
        <f>IF(OR(I40&gt;=0.3,I40&lt;=-0.3),"超过30%","")</f>
        <v>#DIV/0!</v>
      </c>
      <c r="K40" s="2957"/>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4"/>
      <c r="B41" s="2954"/>
      <c r="C41" s="591" t="s">
        <v>507</v>
      </c>
      <c r="D41" s="595"/>
      <c r="E41" s="593" t="e">
        <f>IF(E36&lt;G36,G36/E36-1,E36/G36-1)</f>
        <v>#N/A</v>
      </c>
      <c r="F41" s="594" t="e">
        <f>IF(OR(E41&gt;=0.2,E41&lt;=-0.2),"超过20%","")</f>
        <v>#N/A</v>
      </c>
      <c r="G41" s="593" t="e">
        <f>IF(G36&lt;I36,I36/G36-1,G36/I36-1)</f>
        <v>#DIV/0!</v>
      </c>
      <c r="H41" s="594" t="e">
        <f>IF(OR(G41&gt;=0.2,G41&lt;=-0.2),"超过20%","")</f>
        <v>#DIV/0!</v>
      </c>
      <c r="I41" s="593" t="e">
        <f>IF(I36&lt;E36,E36/I36-1,I36/E36-1)</f>
        <v>#DIV/0!</v>
      </c>
      <c r="J41" s="594" t="e">
        <f>IF(OR(I41&gt;=0.2,I41&lt;=-0.2),"超过20%","")</f>
        <v>#DIV/0!</v>
      </c>
      <c r="K41" s="2957"/>
      <c r="L41" s="1869"/>
      <c r="M41" s="1865"/>
      <c r="N41" s="1865"/>
      <c r="O41" s="1865"/>
      <c r="P41" s="1865"/>
      <c r="Q41" s="1865"/>
      <c r="R41" s="1865"/>
      <c r="S41" s="1865"/>
      <c r="T41" s="1865"/>
      <c r="U41" s="1865"/>
      <c r="V41" s="1865"/>
      <c r="W41" s="1865"/>
      <c r="X41" s="1865"/>
      <c r="Y41" s="1865"/>
      <c r="Z41" s="1865"/>
      <c r="AA41" s="1865"/>
      <c r="AB41" s="1865"/>
      <c r="AC41" s="1865"/>
    </row>
    <row r="42" spans="1:29" s="1202" customFormat="1" ht="13.5" customHeight="1">
      <c r="A42" s="2955"/>
      <c r="B42" s="2955"/>
      <c r="C42" s="591" t="s">
        <v>508</v>
      </c>
      <c r="D42" s="595"/>
      <c r="E42" s="593" t="e">
        <f>IF(E35&lt;G35,G35/E35-1,E35/G35-1)</f>
        <v>#DIV/0!</v>
      </c>
      <c r="F42" s="594" t="e">
        <f>IF(OR(E42&gt;=0.3,E42&lt;=-0.3),"超过30%","")</f>
        <v>#DIV/0!</v>
      </c>
      <c r="G42" s="593">
        <f>IF(G35&lt;I35,I35/G35-1,G35/I35-1)</f>
        <v>2.7573214591539719E-2</v>
      </c>
      <c r="H42" s="594" t="str">
        <f>IF(OR(G42&gt;=0.3,G42&lt;=-0.3),"超过30%","")</f>
        <v/>
      </c>
      <c r="I42" s="593" t="e">
        <f>IF(I35&lt;E35,E35/I35-1,I35/E35-1)</f>
        <v>#DIV/0!</v>
      </c>
      <c r="J42" s="594" t="e">
        <f>IF(OR(I42&gt;=0.3,I42&lt;=-0.3),"超过30%","")</f>
        <v>#DIV/0!</v>
      </c>
      <c r="K42" s="2958"/>
      <c r="L42" s="1872"/>
      <c r="M42" s="1866"/>
      <c r="N42" s="1866"/>
      <c r="O42" s="1866"/>
      <c r="P42" s="1866"/>
      <c r="Q42" s="1866"/>
      <c r="R42" s="1866"/>
      <c r="S42" s="1866"/>
      <c r="T42" s="1866"/>
      <c r="U42" s="1866"/>
      <c r="V42" s="1866"/>
      <c r="W42" s="1866"/>
      <c r="X42" s="1866"/>
      <c r="Y42" s="1866"/>
      <c r="Z42" s="1866"/>
      <c r="AA42" s="1866"/>
      <c r="AB42" s="1866"/>
      <c r="AC42" s="1866"/>
    </row>
    <row r="43" spans="1:29" s="1202"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4" customFormat="1" ht="15">
      <c r="A46" s="612" t="s">
        <v>478</v>
      </c>
      <c r="B46" s="613"/>
      <c r="C46" s="2279" t="str">
        <f>YEAR(C7)&amp;"-"&amp;MONTH(C7)</f>
        <v>2023-7</v>
      </c>
      <c r="D46" s="2281">
        <f>EDATE(C46,-1)</f>
        <v>45078</v>
      </c>
      <c r="E46" s="2281">
        <f t="shared" ref="E46:O46" si="13">EDATE(D46,-1)</f>
        <v>45047</v>
      </c>
      <c r="F46" s="2281">
        <f t="shared" si="13"/>
        <v>45017</v>
      </c>
      <c r="G46" s="2281">
        <f t="shared" si="13"/>
        <v>44986</v>
      </c>
      <c r="H46" s="2281">
        <f t="shared" si="13"/>
        <v>44958</v>
      </c>
      <c r="I46" s="2281">
        <f t="shared" si="13"/>
        <v>44927</v>
      </c>
      <c r="J46" s="2281">
        <f t="shared" si="13"/>
        <v>44896</v>
      </c>
      <c r="K46" s="2281">
        <f t="shared" si="13"/>
        <v>44866</v>
      </c>
      <c r="L46" s="2281">
        <f t="shared" si="13"/>
        <v>44835</v>
      </c>
      <c r="M46" s="2281">
        <f t="shared" si="13"/>
        <v>44805</v>
      </c>
      <c r="N46" s="2281">
        <f t="shared" si="13"/>
        <v>44774</v>
      </c>
      <c r="O46" s="2281">
        <f t="shared" si="13"/>
        <v>44743</v>
      </c>
      <c r="P46" s="1879"/>
      <c r="Q46" s="1880"/>
      <c r="R46" s="1880"/>
      <c r="S46" s="1880"/>
      <c r="T46" s="1880"/>
      <c r="U46" s="1880"/>
      <c r="V46" s="1880"/>
      <c r="W46" s="1880"/>
      <c r="X46" s="1880"/>
      <c r="Y46" s="1880"/>
      <c r="Z46" s="1880"/>
      <c r="AA46" s="1880"/>
      <c r="AB46" s="1880"/>
      <c r="AC46" s="1880"/>
    </row>
    <row r="47" spans="1:29" s="1115" customFormat="1" ht="15">
      <c r="A47" s="614"/>
      <c r="B47" s="615"/>
      <c r="C47" s="616">
        <v>100</v>
      </c>
      <c r="D47" s="617">
        <v>100</v>
      </c>
      <c r="E47" s="617">
        <v>100</v>
      </c>
      <c r="F47" s="617">
        <v>99.5</v>
      </c>
      <c r="G47" s="617">
        <v>99.5</v>
      </c>
      <c r="H47" s="617">
        <v>99.5</v>
      </c>
      <c r="I47" s="617">
        <v>99</v>
      </c>
      <c r="J47" s="617">
        <v>99</v>
      </c>
      <c r="K47" s="617">
        <v>99</v>
      </c>
      <c r="L47" s="617"/>
      <c r="M47" s="618"/>
      <c r="N47" s="617"/>
      <c r="O47" s="619"/>
      <c r="P47" s="1877"/>
      <c r="Q47" s="1743"/>
      <c r="R47" s="1743"/>
      <c r="S47" s="1743"/>
      <c r="T47" s="1743"/>
      <c r="U47" s="1743"/>
      <c r="V47" s="1743"/>
      <c r="W47" s="1743"/>
      <c r="X47" s="1743"/>
      <c r="Y47" s="1743"/>
      <c r="Z47" s="1743"/>
      <c r="AA47" s="1743"/>
      <c r="AB47" s="1743"/>
      <c r="AC47" s="1743"/>
    </row>
    <row r="48" spans="1:29" s="1115" customFormat="1" ht="15.7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5" customFormat="1" ht="15">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5" customFormat="1" ht="15.75"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5.75"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7.75" thickTop="1">
      <c r="A53" s="636"/>
      <c r="B53" s="640" t="s">
        <v>486</v>
      </c>
      <c r="C53" s="685" t="s">
        <v>3456</v>
      </c>
      <c r="D53" s="685" t="s">
        <v>3457</v>
      </c>
      <c r="E53" s="685" t="s">
        <v>3458</v>
      </c>
      <c r="F53" s="685" t="s">
        <v>3459</v>
      </c>
      <c r="G53" s="685" t="s">
        <v>3460</v>
      </c>
      <c r="H53" s="685" t="s">
        <v>3461</v>
      </c>
      <c r="I53" s="685" t="s">
        <v>3462</v>
      </c>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5.75" thickBot="1">
      <c r="A54" s="636"/>
      <c r="B54" s="645"/>
      <c r="C54" s="638" t="s">
        <v>3463</v>
      </c>
      <c r="D54" s="638" t="s">
        <v>3463</v>
      </c>
      <c r="E54" s="638">
        <v>100</v>
      </c>
      <c r="F54" s="638">
        <v>99</v>
      </c>
      <c r="G54" s="638">
        <v>98</v>
      </c>
      <c r="H54" s="638">
        <v>97</v>
      </c>
      <c r="I54" s="638">
        <v>96</v>
      </c>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5.75" thickTop="1">
      <c r="A55" s="636"/>
      <c r="B55" s="895">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5.75"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7" customFormat="1" ht="15.75"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7" customFormat="1" ht="15.75"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7" customFormat="1" ht="15.75"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7" customFormat="1" ht="15.75"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5.75"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7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5.75" thickBot="1">
      <c r="A64" s="636"/>
      <c r="B64" s="645"/>
      <c r="C64" s="646">
        <v>100</v>
      </c>
      <c r="D64" s="646">
        <f>C64-$K16</f>
        <v>97</v>
      </c>
      <c r="E64" s="646">
        <f>D64-$K16</f>
        <v>94</v>
      </c>
      <c r="F64" s="646">
        <f>E64-$K16</f>
        <v>91</v>
      </c>
      <c r="G64" s="646">
        <f>F64-$K16</f>
        <v>88</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5.75" thickBot="1">
      <c r="A66" s="636"/>
      <c r="B66" s="648"/>
      <c r="C66" s="646">
        <v>100</v>
      </c>
      <c r="D66" s="646">
        <f>C66-$K18</f>
        <v>99</v>
      </c>
      <c r="E66" s="646">
        <f>D66-$K18</f>
        <v>98</v>
      </c>
      <c r="F66" s="646">
        <f>E66-$K18</f>
        <v>97</v>
      </c>
      <c r="G66" s="646">
        <f>F66-$K18</f>
        <v>96</v>
      </c>
      <c r="H66" s="895"/>
      <c r="I66" s="895"/>
      <c r="J66" s="895"/>
      <c r="K66" s="895"/>
      <c r="L66" s="895"/>
      <c r="M66" s="528"/>
      <c r="N66" s="1885"/>
      <c r="O66" s="1885"/>
      <c r="P66" s="1884"/>
      <c r="Q66" s="1877"/>
      <c r="R66" s="1865"/>
      <c r="S66" s="1865"/>
      <c r="T66" s="1865"/>
      <c r="U66" s="1865"/>
      <c r="V66" s="1865"/>
      <c r="W66" s="1865"/>
      <c r="X66" s="1865"/>
      <c r="Y66" s="1865"/>
      <c r="Z66" s="1865"/>
      <c r="AA66" s="1865"/>
      <c r="AB66" s="1865"/>
      <c r="AC66" s="1865"/>
    </row>
    <row r="67" spans="1:29" ht="15.7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5.75"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685</v>
      </c>
      <c r="C69" s="3675" t="s">
        <v>3468</v>
      </c>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C70-$K22</f>
        <v>98</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5" customFormat="1" ht="15.75" thickTop="1">
      <c r="A71" s="676"/>
      <c r="B71" s="640">
        <f>B23</f>
        <v>111</v>
      </c>
      <c r="C71" s="510"/>
      <c r="D71" s="510"/>
      <c r="E71" s="510"/>
      <c r="F71" s="510"/>
      <c r="G71" s="655"/>
      <c r="H71" s="655"/>
      <c r="I71" s="655"/>
      <c r="J71" s="655"/>
      <c r="K71" s="655"/>
      <c r="L71" s="850"/>
      <c r="M71" s="851"/>
      <c r="N71" s="1881"/>
      <c r="O71" s="1881"/>
      <c r="P71" s="1884"/>
      <c r="Q71" s="1877"/>
      <c r="R71" s="1743"/>
      <c r="S71" s="1743"/>
      <c r="T71" s="1743"/>
      <c r="U71" s="1743"/>
      <c r="V71" s="1743"/>
      <c r="W71" s="1743"/>
      <c r="X71" s="1743"/>
      <c r="Y71" s="1743"/>
      <c r="Z71" s="1743"/>
      <c r="AA71" s="1743"/>
      <c r="AB71" s="1743"/>
      <c r="AC71" s="1743"/>
    </row>
    <row r="72" spans="1:29" s="1115" customFormat="1" ht="15.75"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5" customFormat="1" ht="15.75" thickTop="1">
      <c r="A73" s="676"/>
      <c r="B73" s="640">
        <f>B24</f>
        <v>111</v>
      </c>
      <c r="C73" s="510"/>
      <c r="D73" s="510"/>
      <c r="E73" s="510"/>
      <c r="F73" s="510"/>
      <c r="G73" s="655"/>
      <c r="H73" s="655"/>
      <c r="I73" s="655"/>
      <c r="J73" s="655"/>
      <c r="K73" s="655"/>
      <c r="L73" s="655"/>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7" customFormat="1" ht="15.75"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7" customFormat="1" ht="15.75"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75" t="s">
        <v>3469</v>
      </c>
      <c r="D77" s="3675" t="s">
        <v>3464</v>
      </c>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5.75"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5"/>
      <c r="O78" s="1885"/>
      <c r="P78" s="1884"/>
      <c r="Q78" s="1877"/>
      <c r="R78" s="1865"/>
      <c r="S78" s="1865"/>
      <c r="T78" s="1865"/>
      <c r="U78" s="1865"/>
      <c r="V78" s="1865"/>
      <c r="W78" s="1865"/>
      <c r="X78" s="1865"/>
      <c r="Y78" s="1865"/>
      <c r="Z78" s="1865"/>
      <c r="AA78" s="1865"/>
      <c r="AB78" s="1865"/>
      <c r="AC78" s="1865"/>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ht="15">
      <c r="A80" s="636"/>
      <c r="B80" s="648"/>
      <c r="C80" s="854">
        <v>0.5</v>
      </c>
      <c r="D80" s="854">
        <v>0.6</v>
      </c>
      <c r="E80" s="854">
        <v>0.7</v>
      </c>
      <c r="F80" s="854">
        <v>0.8</v>
      </c>
      <c r="G80" s="854">
        <v>0.9</v>
      </c>
      <c r="H80" s="854">
        <v>1.0001</v>
      </c>
      <c r="I80" s="895"/>
      <c r="J80" s="895"/>
      <c r="K80" s="905"/>
      <c r="L80" s="906"/>
      <c r="M80" s="907"/>
      <c r="N80" s="1881"/>
      <c r="O80" s="1881"/>
      <c r="P80" s="1884"/>
      <c r="Q80" s="1877"/>
      <c r="R80" s="1865"/>
      <c r="S80" s="1865"/>
      <c r="T80" s="1865"/>
      <c r="U80" s="1865"/>
      <c r="V80" s="1865"/>
      <c r="W80" s="1865"/>
      <c r="X80" s="1865"/>
      <c r="Y80" s="1865"/>
      <c r="Z80" s="1865"/>
      <c r="AA80" s="1865"/>
      <c r="AB80" s="1865"/>
      <c r="AC80" s="1865"/>
    </row>
    <row r="81" spans="1:29" s="1197" customFormat="1" ht="15.75"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3675" t="s">
        <v>3420</v>
      </c>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5.75" thickBot="1">
      <c r="A83" s="636"/>
      <c r="B83" s="645"/>
      <c r="C83" s="646">
        <v>100</v>
      </c>
      <c r="D83" s="646">
        <f t="shared" ref="D83:M83" si="16">C83-$K28</f>
        <v>98</v>
      </c>
      <c r="E83" s="646">
        <f t="shared" si="16"/>
        <v>96</v>
      </c>
      <c r="F83" s="646">
        <f t="shared" si="16"/>
        <v>94</v>
      </c>
      <c r="G83" s="646">
        <f t="shared" si="16"/>
        <v>92</v>
      </c>
      <c r="H83" s="646">
        <f t="shared" si="16"/>
        <v>90</v>
      </c>
      <c r="I83" s="646">
        <f t="shared" si="16"/>
        <v>88</v>
      </c>
      <c r="J83" s="646">
        <f t="shared" si="16"/>
        <v>86</v>
      </c>
      <c r="K83" s="646">
        <f t="shared" si="16"/>
        <v>84</v>
      </c>
      <c r="L83" s="646">
        <f t="shared" si="16"/>
        <v>82</v>
      </c>
      <c r="M83" s="647">
        <f t="shared" si="16"/>
        <v>80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3675" t="s">
        <v>3465</v>
      </c>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79">
        <v>100</v>
      </c>
      <c r="D85" s="646">
        <f t="shared" ref="D85:M85" si="17">C85+$K29</f>
        <v>101</v>
      </c>
      <c r="E85" s="646">
        <f t="shared" si="17"/>
        <v>102</v>
      </c>
      <c r="F85" s="646">
        <f t="shared" si="17"/>
        <v>103</v>
      </c>
      <c r="G85" s="646">
        <f t="shared" si="17"/>
        <v>104</v>
      </c>
      <c r="H85" s="646">
        <f t="shared" si="17"/>
        <v>105</v>
      </c>
      <c r="I85" s="646">
        <f t="shared" si="17"/>
        <v>106</v>
      </c>
      <c r="J85" s="646">
        <f t="shared" si="17"/>
        <v>107</v>
      </c>
      <c r="K85" s="646">
        <f t="shared" si="17"/>
        <v>108</v>
      </c>
      <c r="L85" s="646">
        <f t="shared" si="17"/>
        <v>109</v>
      </c>
      <c r="M85" s="646">
        <f t="shared" si="17"/>
        <v>110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5.75"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7" customFormat="1" ht="15" thickTop="1">
      <c r="A89" s="695"/>
      <c r="B89" s="640" t="s">
        <v>767</v>
      </c>
      <c r="C89" s="3675" t="s">
        <v>3466</v>
      </c>
      <c r="D89" s="655"/>
      <c r="E89" s="655"/>
      <c r="F89" s="655"/>
      <c r="G89" s="655"/>
      <c r="H89" s="655"/>
      <c r="I89" s="655"/>
      <c r="J89" s="655"/>
      <c r="K89" s="655"/>
      <c r="L89" s="655"/>
      <c r="M89" s="851"/>
      <c r="N89" s="1886"/>
      <c r="O89" s="1886"/>
      <c r="P89" s="1887"/>
      <c r="Q89" s="1888"/>
      <c r="R89" s="1889"/>
      <c r="S89" s="1889"/>
      <c r="T89" s="1889"/>
      <c r="U89" s="1889"/>
      <c r="V89" s="1889"/>
      <c r="W89" s="1889"/>
      <c r="X89" s="1889"/>
      <c r="Y89" s="1889"/>
      <c r="Z89" s="1889"/>
      <c r="AA89" s="1889"/>
      <c r="AB89" s="1889"/>
      <c r="AC89" s="1889"/>
    </row>
    <row r="90" spans="1:29" s="1197" customFormat="1" ht="15.75" thickBot="1">
      <c r="A90" s="654"/>
      <c r="B90" s="645"/>
      <c r="C90" s="659">
        <v>100</v>
      </c>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5"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5"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5" thickTop="1">
      <c r="A95" s="702"/>
      <c r="B95" s="877">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5.75"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43" activeCellId="1" sqref="F20 M43"/>
      <selection pane="bottomLeft" activeCell="M43" activeCellId="1" sqref="F20 M43"/>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20"/>
    <col min="19" max="19" width="9" style="1116"/>
    <col min="20" max="35" width="9" style="247"/>
    <col min="36" max="16384" width="9" style="1116"/>
  </cols>
  <sheetData>
    <row r="1" spans="1:45" s="247" customFormat="1" ht="14.25" customHeight="1" thickBot="1">
      <c r="A1" s="355"/>
      <c r="B1" s="1950" t="s">
        <v>1660</v>
      </c>
      <c r="C1" s="4036" t="s">
        <v>1661</v>
      </c>
      <c r="D1" s="4037"/>
      <c r="E1" s="4037"/>
      <c r="F1" s="4037"/>
      <c r="G1" s="4037"/>
      <c r="H1" s="4037"/>
      <c r="I1" s="4037"/>
      <c r="J1" s="4037"/>
      <c r="K1" s="4037"/>
      <c r="L1" s="4037"/>
      <c r="M1" s="4037"/>
      <c r="N1" s="4037"/>
      <c r="O1" s="4037"/>
      <c r="P1" s="4037"/>
      <c r="Q1" s="4037"/>
      <c r="R1" s="4037"/>
      <c r="S1" s="4038"/>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1663</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2" t="str">
        <f>S3&amp;"(含)"&amp;"-"</f>
        <v>(含)-</v>
      </c>
      <c r="T2" s="911"/>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2"/>
      <c r="C3" s="913"/>
      <c r="D3" s="914"/>
      <c r="E3" s="914"/>
      <c r="F3" s="914"/>
      <c r="G3" s="914"/>
      <c r="H3" s="914"/>
      <c r="I3" s="914"/>
      <c r="J3" s="915"/>
      <c r="K3" s="915"/>
      <c r="L3" s="916"/>
      <c r="M3" s="1955"/>
      <c r="N3" s="1956"/>
      <c r="O3" s="914"/>
      <c r="P3" s="914"/>
      <c r="Q3" s="914"/>
      <c r="R3" s="914"/>
      <c r="S3" s="1957"/>
      <c r="T3" s="91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2181</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2180</v>
      </c>
      <c r="C7" s="1713"/>
      <c r="D7" s="1714"/>
      <c r="E7" s="1714"/>
      <c r="F7" s="1714"/>
      <c r="G7" s="1714"/>
      <c r="H7" s="1714"/>
      <c r="I7" s="1714"/>
      <c r="J7" s="1714"/>
      <c r="K7" s="1714"/>
      <c r="L7" s="1714"/>
      <c r="M7" s="1975"/>
      <c r="N7" s="1976"/>
      <c r="O7" s="1977"/>
      <c r="P7" s="1978"/>
      <c r="Q7" s="1979"/>
      <c r="R7" s="1980"/>
      <c r="S7" s="1981"/>
      <c r="T7" s="918"/>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2179</v>
      </c>
      <c r="C9" s="1713"/>
      <c r="D9" s="1714"/>
      <c r="E9" s="1714"/>
      <c r="F9" s="1714"/>
      <c r="G9" s="1714"/>
      <c r="H9" s="1714"/>
      <c r="I9" s="1714"/>
      <c r="J9" s="1714"/>
      <c r="K9" s="1714"/>
      <c r="L9" s="1715"/>
      <c r="M9" s="1975"/>
      <c r="N9" s="1976"/>
      <c r="O9" s="1977"/>
      <c r="P9" s="1978"/>
      <c r="Q9" s="1979"/>
      <c r="R9" s="1980"/>
      <c r="S9" s="1981"/>
      <c r="T9" s="918"/>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2192</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2178</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2177</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8"/>
      <c r="C19" s="1740"/>
      <c r="D19" s="1740"/>
      <c r="E19" s="1740"/>
      <c r="F19" s="1740"/>
      <c r="G19" s="1740"/>
      <c r="H19" s="1740"/>
      <c r="I19" s="1740"/>
      <c r="J19" s="1740"/>
      <c r="K19" s="1740"/>
      <c r="L19" s="1740"/>
      <c r="M19" s="1740"/>
      <c r="N19" s="1740"/>
      <c r="O19" s="1740"/>
      <c r="P19" s="1740"/>
      <c r="Q19" s="1740"/>
      <c r="R19" s="1941"/>
      <c r="S19" s="1749"/>
    </row>
    <row r="20" spans="1:45" ht="15.75">
      <c r="A20" s="919"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75">
      <c r="A21" s="919"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33" t="s">
        <v>14</v>
      </c>
      <c r="D22" s="4034"/>
      <c r="E22" s="4034"/>
      <c r="F22" s="4034"/>
      <c r="G22" s="4034"/>
      <c r="H22" s="4034"/>
      <c r="I22" s="4034"/>
      <c r="J22" s="4034"/>
      <c r="K22" s="4034"/>
      <c r="L22" s="4034"/>
      <c r="M22" s="4034"/>
      <c r="N22" s="4034"/>
      <c r="O22" s="4034"/>
      <c r="P22" s="4034"/>
      <c r="Q22" s="4035"/>
      <c r="R22" s="466" t="e">
        <f>ROUND(S22*10000/B22,0)</f>
        <v>#DIV/0!</v>
      </c>
      <c r="S22" s="51">
        <f>SUM(S24:S10000)</f>
        <v>0</v>
      </c>
    </row>
    <row r="23" spans="1:45" s="1418" customFormat="1" ht="24">
      <c r="A23" s="15" t="s">
        <v>770</v>
      </c>
      <c r="B23" s="2611" t="s">
        <v>2200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0" t="s">
        <v>774</v>
      </c>
      <c r="B24" s="920"/>
      <c r="C24" s="3015">
        <v>1</v>
      </c>
      <c r="D24" s="3016"/>
      <c r="E24" s="3015">
        <v>1</v>
      </c>
      <c r="F24" s="3016"/>
      <c r="G24" s="3015">
        <v>1</v>
      </c>
      <c r="H24" s="3016"/>
      <c r="I24" s="3015">
        <v>1</v>
      </c>
      <c r="J24" s="3016"/>
      <c r="K24" s="3015">
        <v>1</v>
      </c>
      <c r="L24" s="3016"/>
      <c r="M24" s="3015">
        <v>1</v>
      </c>
      <c r="N24" s="3016"/>
      <c r="O24" s="3015">
        <v>1</v>
      </c>
      <c r="P24" s="3016"/>
      <c r="Q24" s="3015">
        <v>1</v>
      </c>
      <c r="R24" s="923"/>
      <c r="S24" s="921">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43" activeCellId="1" sqref="F20 M43"/>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45138</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2</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2280</v>
      </c>
      <c r="C21" s="2468">
        <v>43697</v>
      </c>
      <c r="D21" s="3017">
        <v>4.25</v>
      </c>
      <c r="E21" s="3017">
        <v>4.25</v>
      </c>
      <c r="F21" s="3017">
        <v>4.25</v>
      </c>
      <c r="G21" s="3017">
        <v>4.25</v>
      </c>
      <c r="H21" s="3017">
        <v>4.8499999999999996</v>
      </c>
      <c r="I21" s="3017"/>
      <c r="J21" s="3017"/>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20"/>
      <c r="B22" s="3021"/>
      <c r="C22" s="3022">
        <v>42301</v>
      </c>
      <c r="D22" s="3023">
        <v>4.3499999999999996</v>
      </c>
      <c r="E22" s="3023">
        <v>4.3499999999999996</v>
      </c>
      <c r="F22" s="3023">
        <v>4.75</v>
      </c>
      <c r="G22" s="3023">
        <v>4.75</v>
      </c>
      <c r="H22" s="3023">
        <v>4.9000000000000004</v>
      </c>
      <c r="I22" s="3023"/>
      <c r="J22" s="3023"/>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
  <sheetViews>
    <sheetView zoomScale="85" zoomScaleNormal="85" workbookViewId="0">
      <selection activeCell="P47" sqref="P47"/>
    </sheetView>
  </sheetViews>
  <sheetFormatPr defaultRowHeight="12"/>
  <cols>
    <col min="1" max="1" width="42.375" style="3663" customWidth="1"/>
    <col min="2" max="2" width="21.375" style="3663" customWidth="1"/>
    <col min="3" max="4" width="6.5" style="3663" customWidth="1"/>
    <col min="5" max="5" width="11.875" style="3663" customWidth="1"/>
    <col min="6" max="6" width="9.875" style="3663" customWidth="1"/>
    <col min="7" max="7" width="10.25" style="3663" customWidth="1"/>
    <col min="8" max="8" width="16.375" style="3663" customWidth="1"/>
    <col min="9" max="9" width="10.875" style="3663" customWidth="1"/>
    <col min="10" max="10" width="9.625" style="3663" customWidth="1"/>
    <col min="11" max="11" width="5.875" style="3663" customWidth="1"/>
    <col min="12" max="12" width="11.25" style="3663" customWidth="1"/>
    <col min="13" max="13" width="24.125" style="3663" customWidth="1"/>
    <col min="14" max="14" width="9.625" style="3663" customWidth="1"/>
    <col min="15" max="15" width="11.875" style="3663" customWidth="1"/>
    <col min="16" max="17" width="10.875" style="3663" customWidth="1"/>
    <col min="18" max="18" width="10.625" style="3663" customWidth="1"/>
    <col min="19" max="19" width="8.25" style="3663" customWidth="1"/>
    <col min="20" max="20" width="20" style="3663" customWidth="1"/>
    <col min="21" max="21" width="11" style="3663" hidden="1" customWidth="1"/>
    <col min="22" max="22" width="9.5" style="3663" hidden="1" customWidth="1"/>
    <col min="23" max="23" width="11.875" style="3663" customWidth="1"/>
    <col min="24" max="24" width="9" style="3663" hidden="1" customWidth="1"/>
    <col min="25" max="25" width="9.75" style="3663" hidden="1" customWidth="1"/>
    <col min="26" max="26" width="13.875" style="3663" hidden="1" customWidth="1"/>
    <col min="27" max="27" width="20" style="3663" customWidth="1"/>
    <col min="28" max="16384" width="9" style="3663"/>
  </cols>
  <sheetData>
    <row r="1" spans="1:33">
      <c r="A1" s="3662" t="s">
        <v>3258</v>
      </c>
      <c r="B1" s="3662" t="s">
        <v>3259</v>
      </c>
      <c r="C1" s="3662" t="s">
        <v>3260</v>
      </c>
      <c r="D1" s="3662" t="s">
        <v>3261</v>
      </c>
      <c r="E1" s="3662" t="s">
        <v>3262</v>
      </c>
      <c r="F1" s="3662" t="s">
        <v>3263</v>
      </c>
      <c r="G1" s="3662" t="s">
        <v>1550</v>
      </c>
      <c r="H1" s="3662" t="s">
        <v>3264</v>
      </c>
      <c r="I1" s="3662" t="s">
        <v>3265</v>
      </c>
      <c r="J1" s="3662" t="s">
        <v>3266</v>
      </c>
      <c r="K1" s="3662" t="s">
        <v>3267</v>
      </c>
      <c r="L1" s="3662" t="s">
        <v>3268</v>
      </c>
      <c r="M1" s="3662" t="s">
        <v>3269</v>
      </c>
      <c r="N1" s="3662" t="s">
        <v>3270</v>
      </c>
      <c r="O1" s="3662" t="s">
        <v>3271</v>
      </c>
      <c r="P1" s="3662" t="s">
        <v>3272</v>
      </c>
      <c r="Q1" s="3662" t="s">
        <v>3273</v>
      </c>
      <c r="R1" s="3662" t="s">
        <v>3274</v>
      </c>
      <c r="S1" s="3662" t="s">
        <v>3275</v>
      </c>
      <c r="T1" s="3662" t="s">
        <v>3276</v>
      </c>
      <c r="U1" s="3662" t="s">
        <v>3277</v>
      </c>
      <c r="V1" s="3662" t="s">
        <v>3278</v>
      </c>
      <c r="W1" s="3662" t="s">
        <v>3279</v>
      </c>
      <c r="X1" s="3662" t="s">
        <v>3280</v>
      </c>
      <c r="Y1" s="3662" t="s">
        <v>3281</v>
      </c>
      <c r="Z1" s="3662" t="s">
        <v>3282</v>
      </c>
      <c r="AA1" s="3663" t="s">
        <v>3283</v>
      </c>
      <c r="AB1" s="3663" t="s">
        <v>3284</v>
      </c>
      <c r="AC1" s="3663" t="s">
        <v>3285</v>
      </c>
      <c r="AD1" s="3663" t="s">
        <v>3286</v>
      </c>
      <c r="AE1" s="3663" t="s">
        <v>3287</v>
      </c>
      <c r="AF1" s="3663" t="s">
        <v>3288</v>
      </c>
      <c r="AG1" s="3663" t="s">
        <v>3500</v>
      </c>
    </row>
    <row r="2" spans="1:33" s="3705" customFormat="1">
      <c r="A2" s="3703" t="s">
        <v>3289</v>
      </c>
      <c r="B2" s="3703" t="s">
        <v>3290</v>
      </c>
      <c r="C2" s="3703" t="s">
        <v>3291</v>
      </c>
      <c r="D2" s="3703" t="s">
        <v>3292</v>
      </c>
      <c r="E2" s="3703">
        <v>31231.38</v>
      </c>
      <c r="F2" s="3703">
        <v>78078.45</v>
      </c>
      <c r="G2" s="3703">
        <v>2.5</v>
      </c>
      <c r="H2" s="3703" t="s">
        <v>3293</v>
      </c>
      <c r="I2" s="3703" t="s">
        <v>3294</v>
      </c>
      <c r="J2" s="3703" t="s">
        <v>3295</v>
      </c>
      <c r="K2" s="3703">
        <v>0</v>
      </c>
      <c r="L2" s="3704">
        <v>44964.000497685185</v>
      </c>
      <c r="M2" s="3703" t="s">
        <v>3296</v>
      </c>
      <c r="N2" s="3703" t="s">
        <v>3297</v>
      </c>
      <c r="O2" s="3703" t="s">
        <v>3298</v>
      </c>
      <c r="P2" s="3703">
        <v>172000</v>
      </c>
      <c r="Q2" s="3703">
        <v>3671.52</v>
      </c>
      <c r="R2" s="3703">
        <v>22029</v>
      </c>
      <c r="S2" s="3703">
        <v>0</v>
      </c>
      <c r="T2" s="3703" t="s">
        <v>3299</v>
      </c>
      <c r="U2" s="3703">
        <v>197800</v>
      </c>
      <c r="V2" s="3703" t="s">
        <v>3300</v>
      </c>
      <c r="W2" s="3703">
        <v>45000</v>
      </c>
      <c r="X2" s="3703">
        <v>25333</v>
      </c>
      <c r="Y2" s="3703">
        <v>15</v>
      </c>
      <c r="Z2" s="3703">
        <v>22971</v>
      </c>
      <c r="AA2" s="3705" t="s">
        <v>3301</v>
      </c>
      <c r="AB2" s="3705" t="s">
        <v>3302</v>
      </c>
      <c r="AC2" s="3705" t="s">
        <v>3303</v>
      </c>
      <c r="AD2" s="3705" t="s">
        <v>3303</v>
      </c>
    </row>
    <row r="3" spans="1:33" s="3711" customFormat="1">
      <c r="A3" s="3710" t="s">
        <v>3304</v>
      </c>
      <c r="B3" s="3711" t="s">
        <v>3305</v>
      </c>
      <c r="C3" s="3711" t="s">
        <v>3291</v>
      </c>
      <c r="D3" s="3711" t="s">
        <v>3306</v>
      </c>
      <c r="E3" s="3711">
        <v>17779.03</v>
      </c>
      <c r="F3" s="3711">
        <v>18677</v>
      </c>
      <c r="G3" s="3711" t="s">
        <v>3307</v>
      </c>
      <c r="H3" s="3711" t="s">
        <v>3308</v>
      </c>
      <c r="I3" s="3711" t="s">
        <v>3309</v>
      </c>
      <c r="J3" s="3711" t="s">
        <v>3295</v>
      </c>
      <c r="K3" s="3711">
        <v>0</v>
      </c>
      <c r="L3" s="3712">
        <v>44826.000497685185</v>
      </c>
      <c r="M3" s="3711" t="s">
        <v>3310</v>
      </c>
      <c r="N3" s="3711" t="s">
        <v>3311</v>
      </c>
      <c r="O3" s="3711" t="s">
        <v>3312</v>
      </c>
      <c r="P3" s="3711">
        <v>43000</v>
      </c>
      <c r="Q3" s="3711">
        <v>1612.39</v>
      </c>
      <c r="R3" s="3711">
        <v>23023</v>
      </c>
      <c r="S3" s="3711">
        <v>0</v>
      </c>
      <c r="T3" s="3711" t="s">
        <v>3313</v>
      </c>
      <c r="U3" s="3711">
        <v>49450</v>
      </c>
      <c r="V3" s="3711" t="s">
        <v>3300</v>
      </c>
      <c r="W3" s="3711">
        <v>49000</v>
      </c>
      <c r="X3" s="3711">
        <v>26476</v>
      </c>
      <c r="Y3" s="3711">
        <v>15</v>
      </c>
      <c r="Z3" s="3711" t="s">
        <v>3295</v>
      </c>
      <c r="AA3" s="3711" t="s">
        <v>3314</v>
      </c>
      <c r="AB3" s="3711" t="s">
        <v>3315</v>
      </c>
    </row>
    <row r="4" spans="1:33" s="3707" customFormat="1">
      <c r="A4" s="3706" t="s">
        <v>3316</v>
      </c>
      <c r="B4" s="3706" t="s">
        <v>3317</v>
      </c>
      <c r="C4" s="3706" t="s">
        <v>3318</v>
      </c>
      <c r="D4" s="3706" t="s">
        <v>3319</v>
      </c>
      <c r="E4" s="3706">
        <v>48701.2</v>
      </c>
      <c r="F4" s="3706">
        <v>111831</v>
      </c>
      <c r="G4" s="3706" t="s">
        <v>3320</v>
      </c>
      <c r="H4" s="3706" t="s">
        <v>3308</v>
      </c>
      <c r="I4" s="3706" t="s">
        <v>3309</v>
      </c>
      <c r="J4" s="3706" t="s">
        <v>3295</v>
      </c>
      <c r="K4" s="3706">
        <v>0</v>
      </c>
      <c r="L4" s="3708">
        <v>44826.000497685185</v>
      </c>
      <c r="M4" s="3706" t="s">
        <v>3321</v>
      </c>
      <c r="N4" s="3706" t="s">
        <v>3322</v>
      </c>
      <c r="O4" s="3706" t="s">
        <v>3312</v>
      </c>
      <c r="P4" s="3706">
        <v>167000</v>
      </c>
      <c r="Q4" s="3706">
        <v>2286.0500000000002</v>
      </c>
      <c r="R4" s="3706">
        <v>14933</v>
      </c>
      <c r="S4" s="3706">
        <v>0</v>
      </c>
      <c r="T4" s="3706" t="s">
        <v>3313</v>
      </c>
      <c r="U4" s="3706">
        <v>192050</v>
      </c>
      <c r="V4" s="3706" t="s">
        <v>3300</v>
      </c>
      <c r="W4" s="3706">
        <v>45000</v>
      </c>
      <c r="X4" s="3706">
        <v>17173</v>
      </c>
      <c r="Y4" s="3706">
        <v>15</v>
      </c>
      <c r="Z4" s="3706" t="s">
        <v>3295</v>
      </c>
      <c r="AA4" s="3707" t="s">
        <v>3314</v>
      </c>
      <c r="AB4" s="3707" t="s">
        <v>3551</v>
      </c>
      <c r="AC4" s="3707">
        <v>2526</v>
      </c>
    </row>
    <row r="5" spans="1:33" s="3707" customFormat="1">
      <c r="A5" s="3706" t="s">
        <v>3324</v>
      </c>
      <c r="B5" s="3706" t="s">
        <v>3325</v>
      </c>
      <c r="C5" s="3706" t="s">
        <v>3291</v>
      </c>
      <c r="D5" s="3706" t="s">
        <v>3326</v>
      </c>
      <c r="E5" s="3706">
        <v>32057.19</v>
      </c>
      <c r="F5" s="3706">
        <v>51292</v>
      </c>
      <c r="G5" s="3706">
        <v>1.6</v>
      </c>
      <c r="H5" s="3706" t="s">
        <v>3293</v>
      </c>
      <c r="I5" s="3706" t="s">
        <v>3327</v>
      </c>
      <c r="J5" s="3706" t="s">
        <v>3295</v>
      </c>
      <c r="K5" s="3706">
        <v>0</v>
      </c>
      <c r="L5" s="3708">
        <v>44608.000497685185</v>
      </c>
      <c r="M5" s="3706" t="s">
        <v>3296</v>
      </c>
      <c r="N5" s="3706" t="s">
        <v>3297</v>
      </c>
      <c r="O5" s="3706" t="s">
        <v>3298</v>
      </c>
      <c r="P5" s="3706">
        <v>81000</v>
      </c>
      <c r="Q5" s="3706">
        <v>1684.49</v>
      </c>
      <c r="R5" s="3706">
        <v>15792</v>
      </c>
      <c r="S5" s="3706">
        <v>0</v>
      </c>
      <c r="T5" s="3706" t="s">
        <v>3328</v>
      </c>
      <c r="U5" s="3706">
        <v>93150</v>
      </c>
      <c r="V5" s="3706" t="s">
        <v>3300</v>
      </c>
      <c r="W5" s="3706">
        <v>45000</v>
      </c>
      <c r="X5" s="3706">
        <v>18161</v>
      </c>
      <c r="Y5" s="3706">
        <v>15</v>
      </c>
      <c r="Z5" s="3706">
        <v>29208</v>
      </c>
      <c r="AA5" s="3707" t="s">
        <v>3314</v>
      </c>
      <c r="AB5" s="3707" t="s">
        <v>3551</v>
      </c>
    </row>
    <row r="6" spans="1:33" s="3705" customFormat="1">
      <c r="A6" s="3703" t="s">
        <v>3329</v>
      </c>
      <c r="B6" s="3703" t="s">
        <v>3330</v>
      </c>
      <c r="C6" s="3703" t="s">
        <v>3291</v>
      </c>
      <c r="D6" s="3703" t="s">
        <v>3331</v>
      </c>
      <c r="E6" s="3703">
        <v>45509.77</v>
      </c>
      <c r="F6" s="3703">
        <v>113774</v>
      </c>
      <c r="G6" s="3703">
        <v>2.5</v>
      </c>
      <c r="H6" s="3703" t="s">
        <v>3293</v>
      </c>
      <c r="I6" s="3703" t="s">
        <v>3332</v>
      </c>
      <c r="J6" s="3703" t="s">
        <v>3333</v>
      </c>
      <c r="K6" s="3703">
        <v>0</v>
      </c>
      <c r="L6" s="3704">
        <v>44557.000497685185</v>
      </c>
      <c r="M6" s="3703" t="s">
        <v>3296</v>
      </c>
      <c r="N6" s="3703" t="s">
        <v>3297</v>
      </c>
      <c r="O6" s="3703" t="s">
        <v>3298</v>
      </c>
      <c r="P6" s="3703">
        <v>186300</v>
      </c>
      <c r="Q6" s="3703">
        <v>2729.08</v>
      </c>
      <c r="R6" s="3703">
        <v>16375</v>
      </c>
      <c r="S6" s="3703">
        <v>15</v>
      </c>
      <c r="T6" s="3703" t="s">
        <v>3334</v>
      </c>
      <c r="U6" s="3703">
        <v>186300</v>
      </c>
      <c r="V6" s="3703" t="s">
        <v>3335</v>
      </c>
      <c r="W6" s="3703">
        <v>45000</v>
      </c>
      <c r="X6" s="3703">
        <v>16375</v>
      </c>
      <c r="Y6" s="3703">
        <v>15</v>
      </c>
      <c r="Z6" s="3703">
        <v>30761</v>
      </c>
    </row>
    <row r="7" spans="1:33" s="3711" customFormat="1">
      <c r="A7" s="3710" t="s">
        <v>3336</v>
      </c>
      <c r="B7" s="3710" t="s">
        <v>3337</v>
      </c>
      <c r="C7" s="3710" t="s">
        <v>3291</v>
      </c>
      <c r="D7" s="3710" t="s">
        <v>3306</v>
      </c>
      <c r="E7" s="3710">
        <v>41530.480000000003</v>
      </c>
      <c r="F7" s="3710">
        <v>90206</v>
      </c>
      <c r="G7" s="3710" t="s">
        <v>3338</v>
      </c>
      <c r="H7" s="3710" t="s">
        <v>3339</v>
      </c>
      <c r="I7" s="3710" t="s">
        <v>3340</v>
      </c>
      <c r="J7" s="3710" t="s">
        <v>3333</v>
      </c>
      <c r="K7" s="3710">
        <v>0</v>
      </c>
      <c r="L7" s="3712">
        <v>44482.000497685185</v>
      </c>
      <c r="M7" s="3710" t="s">
        <v>3296</v>
      </c>
      <c r="N7" s="3710" t="s">
        <v>3297</v>
      </c>
      <c r="O7" s="3710" t="s">
        <v>3298</v>
      </c>
      <c r="P7" s="3710">
        <v>146000</v>
      </c>
      <c r="Q7" s="3710">
        <v>2343.66</v>
      </c>
      <c r="R7" s="3710">
        <v>16185</v>
      </c>
      <c r="S7" s="3710">
        <v>8.15</v>
      </c>
      <c r="T7" s="3710" t="s">
        <v>3341</v>
      </c>
      <c r="U7" s="3710">
        <v>155250</v>
      </c>
      <c r="V7" s="3710" t="s">
        <v>3300</v>
      </c>
      <c r="W7" s="3710">
        <v>45000</v>
      </c>
      <c r="X7" s="3710">
        <v>17211</v>
      </c>
      <c r="Y7" s="3710">
        <v>15</v>
      </c>
      <c r="Z7" s="3710">
        <v>30034</v>
      </c>
      <c r="AA7" s="3711" t="s">
        <v>3342</v>
      </c>
      <c r="AB7" s="3711" t="s">
        <v>3343</v>
      </c>
      <c r="AC7" s="3711">
        <v>4301</v>
      </c>
      <c r="AD7" s="3711">
        <v>21500</v>
      </c>
      <c r="AE7" s="3711">
        <v>8000</v>
      </c>
    </row>
    <row r="8" spans="1:33" s="3705" customFormat="1">
      <c r="A8" s="3703" t="s">
        <v>3344</v>
      </c>
      <c r="B8" s="3703" t="s">
        <v>3345</v>
      </c>
      <c r="C8" s="3703" t="s">
        <v>3346</v>
      </c>
      <c r="D8" s="3703" t="s">
        <v>3347</v>
      </c>
      <c r="E8" s="3703">
        <v>72250</v>
      </c>
      <c r="F8" s="3703">
        <v>79475</v>
      </c>
      <c r="G8" s="3703">
        <v>1.1000000000000001</v>
      </c>
      <c r="H8" s="3703" t="s">
        <v>3293</v>
      </c>
      <c r="I8" s="3703" t="s">
        <v>3340</v>
      </c>
      <c r="J8" s="3703" t="s">
        <v>3295</v>
      </c>
      <c r="K8" s="3703">
        <v>0</v>
      </c>
      <c r="L8" s="3704">
        <v>44481.000497685185</v>
      </c>
      <c r="M8" s="3703" t="s">
        <v>3348</v>
      </c>
      <c r="N8" s="3703" t="s">
        <v>3349</v>
      </c>
      <c r="O8" s="3703" t="s">
        <v>3312</v>
      </c>
      <c r="P8" s="3703">
        <v>98300</v>
      </c>
      <c r="Q8" s="3703">
        <v>907.04</v>
      </c>
      <c r="R8" s="3703">
        <v>12369</v>
      </c>
      <c r="S8" s="3703">
        <v>0</v>
      </c>
      <c r="T8" s="3703" t="s">
        <v>3328</v>
      </c>
      <c r="U8" s="3703">
        <v>103215</v>
      </c>
      <c r="V8" s="3703" t="s">
        <v>3300</v>
      </c>
      <c r="W8" s="3703">
        <v>27000</v>
      </c>
      <c r="X8" s="3703">
        <v>12987</v>
      </c>
      <c r="Y8" s="3703">
        <v>5</v>
      </c>
      <c r="Z8" s="3703">
        <v>14631</v>
      </c>
    </row>
    <row r="9" spans="1:33" s="3705" customFormat="1">
      <c r="A9" s="3703" t="s">
        <v>3350</v>
      </c>
      <c r="B9" s="3703" t="s">
        <v>3351</v>
      </c>
      <c r="C9" s="3703" t="s">
        <v>3352</v>
      </c>
      <c r="D9" s="3703" t="s">
        <v>3353</v>
      </c>
      <c r="E9" s="3703">
        <v>40514.839999999997</v>
      </c>
      <c r="F9" s="3703">
        <v>92680</v>
      </c>
      <c r="G9" s="3703" t="s">
        <v>3354</v>
      </c>
      <c r="H9" s="3703" t="s">
        <v>3355</v>
      </c>
      <c r="I9" s="3703" t="s">
        <v>3356</v>
      </c>
      <c r="J9" s="3703" t="s">
        <v>3357</v>
      </c>
      <c r="K9" s="3703">
        <v>25775.56</v>
      </c>
      <c r="L9" s="3704">
        <v>44308.000497685185</v>
      </c>
      <c r="M9" s="3703" t="s">
        <v>3358</v>
      </c>
      <c r="N9" s="3703" t="s">
        <v>3359</v>
      </c>
      <c r="O9" s="3703" t="s">
        <v>3312</v>
      </c>
      <c r="P9" s="3703">
        <v>75000</v>
      </c>
      <c r="Q9" s="3703">
        <v>1234.1199999999999</v>
      </c>
      <c r="R9" s="3703">
        <v>8092</v>
      </c>
      <c r="S9" s="3703">
        <v>0</v>
      </c>
      <c r="T9" s="3703" t="s">
        <v>3360</v>
      </c>
      <c r="U9" s="3703">
        <v>403700</v>
      </c>
      <c r="V9" s="3703" t="s">
        <v>3300</v>
      </c>
      <c r="W9" s="3703">
        <v>27000</v>
      </c>
      <c r="X9" s="3703">
        <v>43558</v>
      </c>
      <c r="Y9" s="3703" t="s">
        <v>3295</v>
      </c>
      <c r="Z9" s="3703" t="s">
        <v>3295</v>
      </c>
    </row>
    <row r="10" spans="1:33" s="3705" customFormat="1">
      <c r="A10" s="3703" t="s">
        <v>3361</v>
      </c>
      <c r="B10" s="3703" t="s">
        <v>3362</v>
      </c>
      <c r="C10" s="3703" t="s">
        <v>3318</v>
      </c>
      <c r="D10" s="3703" t="s">
        <v>3306</v>
      </c>
      <c r="E10" s="3703">
        <v>63474.94</v>
      </c>
      <c r="F10" s="3703">
        <v>97252.05</v>
      </c>
      <c r="G10" s="3703" t="s">
        <v>3363</v>
      </c>
      <c r="H10" s="3703" t="s">
        <v>3364</v>
      </c>
      <c r="I10" s="3703" t="s">
        <v>3365</v>
      </c>
      <c r="J10" s="3703" t="s">
        <v>3295</v>
      </c>
      <c r="K10" s="3703">
        <v>0</v>
      </c>
      <c r="L10" s="3704">
        <v>44209.000497685185</v>
      </c>
      <c r="M10" s="3703" t="s">
        <v>3366</v>
      </c>
      <c r="N10" s="3703" t="s">
        <v>3367</v>
      </c>
      <c r="O10" s="3703" t="s">
        <v>3368</v>
      </c>
      <c r="P10" s="3703">
        <v>182800</v>
      </c>
      <c r="Q10" s="3703">
        <v>1919.92</v>
      </c>
      <c r="R10" s="3703">
        <v>18797</v>
      </c>
      <c r="S10" s="3703">
        <v>9.26</v>
      </c>
      <c r="T10" s="3703" t="s">
        <v>3360</v>
      </c>
      <c r="U10" s="3703" t="s">
        <v>3323</v>
      </c>
      <c r="V10" s="3703" t="s">
        <v>3295</v>
      </c>
      <c r="W10" s="3703" t="s">
        <v>3323</v>
      </c>
      <c r="X10" s="3703" t="s">
        <v>3295</v>
      </c>
      <c r="Y10" s="3703" t="s">
        <v>3295</v>
      </c>
      <c r="Z10" s="3703" t="s">
        <v>3295</v>
      </c>
      <c r="AA10" s="3705" t="s">
        <v>3369</v>
      </c>
      <c r="AB10" s="3705" t="s">
        <v>3370</v>
      </c>
      <c r="AC10" s="3705">
        <v>3286</v>
      </c>
      <c r="AF10" s="3709">
        <v>0.11</v>
      </c>
      <c r="AG10" s="3709">
        <v>0.15</v>
      </c>
    </row>
    <row r="11" spans="1:33">
      <c r="A11" s="3662" t="s">
        <v>3371</v>
      </c>
      <c r="B11" s="3662" t="s">
        <v>3372</v>
      </c>
      <c r="C11" s="3662" t="s">
        <v>3352</v>
      </c>
      <c r="D11" s="3662" t="s">
        <v>3353</v>
      </c>
      <c r="E11" s="3662">
        <v>47054</v>
      </c>
      <c r="F11" s="3662">
        <v>112930</v>
      </c>
      <c r="G11" s="3662" t="s">
        <v>3373</v>
      </c>
      <c r="H11" s="3662" t="s">
        <v>3293</v>
      </c>
      <c r="I11" s="3662" t="s">
        <v>3365</v>
      </c>
      <c r="J11" s="3662" t="s">
        <v>3295</v>
      </c>
      <c r="K11" s="3662">
        <v>0</v>
      </c>
      <c r="L11" s="3670">
        <v>44026.000497685185</v>
      </c>
      <c r="M11" s="3662" t="s">
        <v>3374</v>
      </c>
      <c r="N11" s="3662" t="s">
        <v>3375</v>
      </c>
      <c r="O11" s="3662" t="s">
        <v>3298</v>
      </c>
      <c r="P11" s="3662">
        <v>400000</v>
      </c>
      <c r="Q11" s="3662">
        <v>5667.25</v>
      </c>
      <c r="R11" s="3662">
        <v>35420</v>
      </c>
      <c r="S11" s="3662">
        <v>41.34</v>
      </c>
      <c r="T11" s="3662" t="s">
        <v>3376</v>
      </c>
      <c r="U11" s="3662" t="s">
        <v>3323</v>
      </c>
      <c r="V11" s="3662" t="s">
        <v>3295</v>
      </c>
      <c r="W11" s="3662" t="s">
        <v>3323</v>
      </c>
      <c r="X11" s="3662" t="s">
        <v>3295</v>
      </c>
      <c r="Y11" s="3662" t="s">
        <v>3295</v>
      </c>
      <c r="Z11" s="3662" t="s">
        <v>3295</v>
      </c>
    </row>
    <row r="12" spans="1:33" s="3673" customFormat="1">
      <c r="A12" s="3671" t="s">
        <v>3377</v>
      </c>
      <c r="B12" s="3671" t="s">
        <v>3378</v>
      </c>
      <c r="C12" s="3671" t="s">
        <v>3291</v>
      </c>
      <c r="D12" s="3671" t="s">
        <v>3326</v>
      </c>
      <c r="E12" s="3671">
        <v>87651.29</v>
      </c>
      <c r="F12" s="3671">
        <v>140242</v>
      </c>
      <c r="G12" s="3671" t="s">
        <v>3379</v>
      </c>
      <c r="H12" s="3671" t="s">
        <v>3293</v>
      </c>
      <c r="I12" s="3671" t="s">
        <v>3365</v>
      </c>
      <c r="J12" s="3671" t="s">
        <v>3295</v>
      </c>
      <c r="K12" s="3671">
        <v>31882</v>
      </c>
      <c r="L12" s="3672">
        <v>43970.000497685185</v>
      </c>
      <c r="M12" s="3671" t="s">
        <v>3380</v>
      </c>
      <c r="N12" s="3671" t="s">
        <v>3297</v>
      </c>
      <c r="O12" s="3671" t="s">
        <v>3298</v>
      </c>
      <c r="P12" s="3671">
        <v>265000</v>
      </c>
      <c r="Q12" s="3671">
        <v>2015.56</v>
      </c>
      <c r="R12" s="3671">
        <v>18896</v>
      </c>
      <c r="S12" s="3671">
        <v>31.45</v>
      </c>
      <c r="T12" s="3671" t="s">
        <v>3376</v>
      </c>
      <c r="U12" s="3671" t="s">
        <v>3323</v>
      </c>
      <c r="V12" s="3671" t="s">
        <v>3295</v>
      </c>
      <c r="W12" s="3671">
        <v>28000</v>
      </c>
      <c r="X12" s="3671" t="s">
        <v>3295</v>
      </c>
      <c r="Y12" s="3671" t="s">
        <v>3295</v>
      </c>
      <c r="Z12" s="3671">
        <v>13625</v>
      </c>
    </row>
    <row r="13" spans="1:33" s="3668" customFormat="1">
      <c r="A13" s="3667" t="s">
        <v>3381</v>
      </c>
      <c r="B13" s="3667" t="s">
        <v>3382</v>
      </c>
      <c r="C13" s="3667" t="s">
        <v>3318</v>
      </c>
      <c r="D13" s="3667" t="s">
        <v>3383</v>
      </c>
      <c r="E13" s="3667">
        <v>56727.74</v>
      </c>
      <c r="F13" s="3667">
        <v>133882</v>
      </c>
      <c r="G13" s="3667" t="s">
        <v>3384</v>
      </c>
      <c r="H13" s="3667" t="s">
        <v>3385</v>
      </c>
      <c r="I13" s="3667" t="s">
        <v>3365</v>
      </c>
      <c r="J13" s="3667" t="s">
        <v>3295</v>
      </c>
      <c r="K13" s="3667">
        <v>0</v>
      </c>
      <c r="L13" s="3669">
        <v>43944.000497685185</v>
      </c>
      <c r="M13" s="3667" t="s">
        <v>3386</v>
      </c>
      <c r="N13" s="3667" t="s">
        <v>3387</v>
      </c>
      <c r="O13" s="3667" t="s">
        <v>3388</v>
      </c>
      <c r="P13" s="3667">
        <v>185000</v>
      </c>
      <c r="Q13" s="3667">
        <v>2174.13</v>
      </c>
      <c r="R13" s="3667">
        <v>13818</v>
      </c>
      <c r="S13" s="3667">
        <v>33.090000000000003</v>
      </c>
      <c r="T13" s="3667" t="s">
        <v>3360</v>
      </c>
      <c r="U13" s="3667" t="s">
        <v>3323</v>
      </c>
      <c r="V13" s="3667" t="s">
        <v>3295</v>
      </c>
      <c r="W13" s="3667">
        <v>35344</v>
      </c>
      <c r="X13" s="3667" t="s">
        <v>3295</v>
      </c>
      <c r="Y13" s="3667" t="s">
        <v>3295</v>
      </c>
      <c r="Z13" s="3667">
        <v>24962</v>
      </c>
      <c r="AA13" s="3668" t="s">
        <v>3552</v>
      </c>
      <c r="AB13" s="3668" t="s">
        <v>3551</v>
      </c>
      <c r="AG13" s="3713">
        <v>0.3</v>
      </c>
    </row>
    <row r="14" spans="1:33" s="3666" customFormat="1">
      <c r="A14" s="3664" t="s">
        <v>3389</v>
      </c>
      <c r="B14" s="3664" t="s">
        <v>3390</v>
      </c>
      <c r="C14" s="3664" t="s">
        <v>3318</v>
      </c>
      <c r="D14" s="3664" t="s">
        <v>3383</v>
      </c>
      <c r="E14" s="3664">
        <v>165793.17000000001</v>
      </c>
      <c r="F14" s="3664">
        <v>381104</v>
      </c>
      <c r="G14" s="3664" t="s">
        <v>3391</v>
      </c>
      <c r="H14" s="3664" t="s">
        <v>3392</v>
      </c>
      <c r="I14" s="3664" t="s">
        <v>3365</v>
      </c>
      <c r="J14" s="3664" t="s">
        <v>3295</v>
      </c>
      <c r="K14" s="3664">
        <v>0</v>
      </c>
      <c r="L14" s="3665">
        <v>43811.000497685185</v>
      </c>
      <c r="M14" s="3664" t="s">
        <v>3393</v>
      </c>
      <c r="N14" s="3664" t="s">
        <v>3394</v>
      </c>
      <c r="O14" s="3664" t="s">
        <v>3388</v>
      </c>
      <c r="P14" s="3664">
        <v>420000</v>
      </c>
      <c r="Q14" s="3664">
        <v>1688.85</v>
      </c>
      <c r="R14" s="3664">
        <v>11021</v>
      </c>
      <c r="S14" s="3664">
        <v>0</v>
      </c>
      <c r="T14" s="3664" t="s">
        <v>3360</v>
      </c>
      <c r="U14" s="3664" t="s">
        <v>3323</v>
      </c>
      <c r="V14" s="3664" t="s">
        <v>3295</v>
      </c>
      <c r="W14" s="3664">
        <v>35344</v>
      </c>
      <c r="X14" s="3664" t="s">
        <v>3295</v>
      </c>
      <c r="Y14" s="3664" t="s">
        <v>3295</v>
      </c>
      <c r="Z14" s="3664">
        <v>24323</v>
      </c>
      <c r="AA14" s="3666" t="s">
        <v>3552</v>
      </c>
      <c r="AB14" s="3666" t="s">
        <v>3551</v>
      </c>
      <c r="AC14" s="3666">
        <v>3200</v>
      </c>
    </row>
    <row r="15" spans="1:33">
      <c r="A15" s="3662" t="s">
        <v>3395</v>
      </c>
      <c r="B15" s="3662" t="s">
        <v>3396</v>
      </c>
      <c r="C15" s="3662" t="s">
        <v>3291</v>
      </c>
      <c r="D15" s="3662" t="s">
        <v>3326</v>
      </c>
      <c r="E15" s="3662">
        <v>35805</v>
      </c>
      <c r="F15" s="3662">
        <v>71581</v>
      </c>
      <c r="G15" s="3662" t="s">
        <v>3397</v>
      </c>
      <c r="H15" s="3662" t="s">
        <v>3308</v>
      </c>
      <c r="I15" s="3662" t="s">
        <v>3365</v>
      </c>
      <c r="J15" s="3662" t="s">
        <v>3295</v>
      </c>
      <c r="K15" s="3662">
        <v>68381</v>
      </c>
      <c r="L15" s="3670">
        <v>43787.000497685185</v>
      </c>
      <c r="M15" s="3662" t="s">
        <v>3398</v>
      </c>
      <c r="N15" s="3662" t="s">
        <v>3399</v>
      </c>
      <c r="O15" s="3662" t="s">
        <v>3388</v>
      </c>
      <c r="P15" s="3662">
        <v>85000</v>
      </c>
      <c r="Q15" s="3662">
        <v>1582.65</v>
      </c>
      <c r="R15" s="3662">
        <v>11875</v>
      </c>
      <c r="S15" s="3662">
        <v>10.39</v>
      </c>
      <c r="T15" s="3662" t="s">
        <v>3360</v>
      </c>
      <c r="U15" s="3662" t="s">
        <v>3323</v>
      </c>
      <c r="V15" s="3662" t="s">
        <v>3295</v>
      </c>
      <c r="W15" s="3662">
        <v>29000</v>
      </c>
      <c r="X15" s="3662" t="s">
        <v>3295</v>
      </c>
      <c r="Y15" s="3662" t="s">
        <v>3295</v>
      </c>
      <c r="Z15" s="3662">
        <v>18243</v>
      </c>
    </row>
    <row r="16" spans="1:33">
      <c r="A16" s="3662" t="s">
        <v>3400</v>
      </c>
      <c r="B16" s="3662" t="s">
        <v>3401</v>
      </c>
      <c r="C16" s="3662" t="s">
        <v>3291</v>
      </c>
      <c r="D16" s="3662" t="s">
        <v>3326</v>
      </c>
      <c r="E16" s="3662">
        <v>60622</v>
      </c>
      <c r="F16" s="3662">
        <v>157573</v>
      </c>
      <c r="G16" s="3662">
        <v>2.6</v>
      </c>
      <c r="H16" s="3662" t="s">
        <v>3402</v>
      </c>
      <c r="I16" s="3662" t="s">
        <v>3365</v>
      </c>
      <c r="J16" s="3662" t="s">
        <v>3295</v>
      </c>
      <c r="K16" s="3662">
        <v>0</v>
      </c>
      <c r="L16" s="3670">
        <v>43430.000497685185</v>
      </c>
      <c r="M16" s="3662" t="s">
        <v>3403</v>
      </c>
      <c r="N16" s="3662" t="s">
        <v>3404</v>
      </c>
      <c r="O16" s="3662" t="s">
        <v>3312</v>
      </c>
      <c r="P16" s="3662">
        <v>253350</v>
      </c>
      <c r="Q16" s="3662">
        <v>2786.12</v>
      </c>
      <c r="R16" s="3662">
        <v>16078</v>
      </c>
      <c r="S16" s="3662">
        <v>1.5</v>
      </c>
      <c r="T16" s="3662" t="s">
        <v>3360</v>
      </c>
      <c r="U16" s="3662" t="s">
        <v>3323</v>
      </c>
      <c r="V16" s="3662" t="s">
        <v>3295</v>
      </c>
      <c r="W16" s="3662">
        <v>42561</v>
      </c>
      <c r="X16" s="3662" t="s">
        <v>3295</v>
      </c>
      <c r="Y16" s="3662" t="s">
        <v>3295</v>
      </c>
      <c r="Z16" s="3662">
        <v>26721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40"/>
  <sheetViews>
    <sheetView workbookViewId="0">
      <selection activeCell="P31" sqref="P31"/>
    </sheetView>
  </sheetViews>
  <sheetFormatPr defaultRowHeight="13.5"/>
  <cols>
    <col min="12" max="12" width="18" style="3660" bestFit="1" customWidth="1"/>
    <col min="13" max="17" width="9" style="3660"/>
  </cols>
  <sheetData>
    <row r="1" spans="12:18">
      <c r="L1" s="3693" t="s">
        <v>3572</v>
      </c>
      <c r="M1" s="3691" t="s">
        <v>3573</v>
      </c>
      <c r="N1" s="3692" t="s">
        <v>3180</v>
      </c>
      <c r="O1" s="3692" t="s">
        <v>3574</v>
      </c>
      <c r="P1" s="3691" t="s">
        <v>3575</v>
      </c>
      <c r="Q1" s="3691"/>
    </row>
    <row r="2" spans="12:18">
      <c r="L2" s="3691" t="s">
        <v>3576</v>
      </c>
      <c r="M2" s="3691">
        <v>2023.6</v>
      </c>
      <c r="N2" s="3691" t="s">
        <v>851</v>
      </c>
      <c r="O2" s="3692">
        <v>23416</v>
      </c>
      <c r="P2" s="3692"/>
      <c r="Q2" s="3690"/>
    </row>
    <row r="3" spans="12:18">
      <c r="L3" s="3694" t="s">
        <v>3577</v>
      </c>
      <c r="M3" s="3691">
        <v>2023.5</v>
      </c>
      <c r="N3" s="3691" t="s">
        <v>3578</v>
      </c>
      <c r="O3" s="3691">
        <v>1000</v>
      </c>
      <c r="P3" s="3691"/>
      <c r="Q3" s="3690"/>
    </row>
    <row r="4" spans="12:18">
      <c r="L4" s="3694" t="s">
        <v>3579</v>
      </c>
      <c r="M4" s="3691">
        <v>2023.3</v>
      </c>
      <c r="N4" s="3691" t="s">
        <v>2731</v>
      </c>
      <c r="O4" s="3691">
        <v>12000</v>
      </c>
      <c r="P4" s="3691"/>
      <c r="Q4" s="3690"/>
    </row>
    <row r="5" spans="12:18">
      <c r="L5" s="3691"/>
      <c r="M5" s="3691"/>
      <c r="N5" s="3691"/>
      <c r="O5" s="3691"/>
      <c r="P5" s="3691"/>
      <c r="Q5" s="3690"/>
    </row>
    <row r="6" spans="12:18">
      <c r="L6" s="3693" t="s">
        <v>3580</v>
      </c>
      <c r="M6" s="3691" t="s">
        <v>3573</v>
      </c>
      <c r="N6" s="3692" t="s">
        <v>3180</v>
      </c>
      <c r="O6" s="3692" t="s">
        <v>3574</v>
      </c>
      <c r="P6" s="3691" t="s">
        <v>3575</v>
      </c>
      <c r="Q6" s="3690" t="s">
        <v>3581</v>
      </c>
      <c r="R6" s="3691" t="s">
        <v>3582</v>
      </c>
    </row>
    <row r="7" spans="12:18">
      <c r="L7" s="3691" t="s">
        <v>3583</v>
      </c>
      <c r="M7" s="3691">
        <v>2023.7</v>
      </c>
      <c r="N7" s="3691" t="s">
        <v>851</v>
      </c>
      <c r="O7" s="3702">
        <v>24777</v>
      </c>
      <c r="P7" s="3691"/>
      <c r="Q7" s="3690">
        <v>2017.2</v>
      </c>
      <c r="R7" s="3692">
        <v>17433</v>
      </c>
    </row>
    <row r="8" spans="12:18">
      <c r="L8" s="3694" t="s">
        <v>3584</v>
      </c>
      <c r="M8" s="3691">
        <v>2023.7</v>
      </c>
      <c r="N8" s="3691" t="s">
        <v>2733</v>
      </c>
      <c r="O8" s="3691">
        <v>5794</v>
      </c>
      <c r="P8" s="3691"/>
      <c r="Q8" s="3690"/>
    </row>
    <row r="9" spans="12:18">
      <c r="L9" s="3694" t="s">
        <v>3585</v>
      </c>
      <c r="M9" s="3691">
        <v>2023.7</v>
      </c>
      <c r="N9" s="3691" t="s">
        <v>2732</v>
      </c>
      <c r="O9" s="3691">
        <v>3535</v>
      </c>
      <c r="P9" s="3691">
        <v>30</v>
      </c>
      <c r="Q9" s="3717" t="s">
        <v>3586</v>
      </c>
    </row>
    <row r="10" spans="12:18">
      <c r="L10" s="3691"/>
      <c r="M10" s="3691"/>
      <c r="N10" s="3691"/>
      <c r="O10" s="3691"/>
      <c r="P10" s="3691"/>
      <c r="Q10" s="3690"/>
    </row>
    <row r="11" spans="12:18">
      <c r="L11" s="3694" t="s">
        <v>3587</v>
      </c>
      <c r="M11" s="3691" t="s">
        <v>3573</v>
      </c>
      <c r="N11" s="3692" t="s">
        <v>3180</v>
      </c>
      <c r="O11" s="3692" t="s">
        <v>3574</v>
      </c>
      <c r="P11" s="3691" t="s">
        <v>3575</v>
      </c>
      <c r="Q11" s="3690" t="s">
        <v>3581</v>
      </c>
      <c r="R11" s="3691" t="s">
        <v>3582</v>
      </c>
    </row>
    <row r="12" spans="12:18">
      <c r="L12" s="3691" t="s">
        <v>3588</v>
      </c>
      <c r="M12" s="3691">
        <v>2023.7</v>
      </c>
      <c r="N12" s="3691" t="s">
        <v>851</v>
      </c>
      <c r="O12" s="3702">
        <v>23800</v>
      </c>
      <c r="P12" s="3692"/>
      <c r="Q12" s="3690">
        <v>2020.4</v>
      </c>
      <c r="R12" s="3692">
        <v>13818</v>
      </c>
    </row>
    <row r="13" spans="12:18">
      <c r="L13" s="3694" t="s">
        <v>3589</v>
      </c>
      <c r="M13" s="3691"/>
      <c r="N13" s="3691"/>
      <c r="O13" s="3692"/>
      <c r="P13" s="3692"/>
      <c r="Q13" s="3690"/>
    </row>
    <row r="14" spans="12:18">
      <c r="L14" s="3694" t="s">
        <v>3590</v>
      </c>
      <c r="M14" s="3691"/>
      <c r="N14" s="3691"/>
      <c r="O14" s="3691"/>
      <c r="P14" s="3691"/>
      <c r="Q14" s="3690"/>
    </row>
    <row r="15" spans="12:18">
      <c r="L15" s="3694"/>
      <c r="M15" s="3691"/>
      <c r="N15" s="3691"/>
      <c r="O15" s="3691"/>
      <c r="P15" s="3691"/>
      <c r="Q15" s="3690"/>
    </row>
    <row r="16" spans="12:18">
      <c r="L16" s="3694" t="s">
        <v>3591</v>
      </c>
      <c r="M16" s="3691" t="s">
        <v>3573</v>
      </c>
      <c r="N16" s="3692" t="s">
        <v>3180</v>
      </c>
      <c r="O16" s="3692" t="s">
        <v>3574</v>
      </c>
      <c r="P16" s="3691" t="s">
        <v>3575</v>
      </c>
      <c r="Q16" s="3690" t="s">
        <v>3581</v>
      </c>
      <c r="R16" s="3691" t="s">
        <v>3582</v>
      </c>
    </row>
    <row r="17" spans="12:18">
      <c r="L17" s="3692" t="s">
        <v>3592</v>
      </c>
      <c r="M17" s="3691">
        <v>2023.6</v>
      </c>
      <c r="N17" s="3691" t="s">
        <v>851</v>
      </c>
      <c r="O17" s="3702">
        <v>27935</v>
      </c>
      <c r="P17" s="3691"/>
      <c r="Q17" s="3690">
        <v>2017.2</v>
      </c>
      <c r="R17" s="3692">
        <v>17830</v>
      </c>
    </row>
    <row r="18" spans="12:18">
      <c r="L18" s="3694" t="s">
        <v>3593</v>
      </c>
      <c r="M18" s="3691">
        <v>2023.6</v>
      </c>
      <c r="N18" s="3691" t="s">
        <v>2732</v>
      </c>
      <c r="O18" s="3691">
        <v>3833</v>
      </c>
      <c r="P18" s="3691">
        <v>34.5</v>
      </c>
      <c r="Q18" s="3717" t="s">
        <v>3594</v>
      </c>
    </row>
    <row r="19" spans="12:18">
      <c r="L19" s="3694" t="s">
        <v>3595</v>
      </c>
      <c r="M19" s="3691"/>
      <c r="N19" s="3691"/>
      <c r="O19" s="3691"/>
      <c r="P19" s="3691"/>
      <c r="Q19" s="3690"/>
    </row>
    <row r="20" spans="12:18">
      <c r="L20" s="3694"/>
      <c r="M20" s="3691"/>
      <c r="N20" s="3691"/>
      <c r="O20" s="3691"/>
      <c r="P20" s="3691"/>
      <c r="Q20" s="3690"/>
    </row>
    <row r="21" spans="12:18">
      <c r="L21" s="3694" t="s">
        <v>3596</v>
      </c>
      <c r="M21" s="3691" t="s">
        <v>3573</v>
      </c>
      <c r="N21" s="3692" t="s">
        <v>3180</v>
      </c>
      <c r="O21" s="3692" t="s">
        <v>3574</v>
      </c>
      <c r="P21" s="3691"/>
      <c r="Q21" s="3691"/>
    </row>
    <row r="22" spans="12:18">
      <c r="L22" s="3694"/>
      <c r="M22" s="3691">
        <v>2023.7</v>
      </c>
      <c r="N22" s="3691" t="s">
        <v>851</v>
      </c>
      <c r="O22" s="3691">
        <v>35803</v>
      </c>
      <c r="P22" s="3691"/>
      <c r="Q22" s="3690"/>
    </row>
    <row r="23" spans="12:18">
      <c r="L23" s="3694"/>
      <c r="M23" s="3691"/>
      <c r="N23" s="3691"/>
      <c r="O23" s="3691"/>
      <c r="P23" s="3691"/>
      <c r="Q23" s="3690"/>
    </row>
    <row r="24" spans="12:18">
      <c r="L24" s="3694" t="s">
        <v>3597</v>
      </c>
      <c r="M24" s="3691" t="s">
        <v>3598</v>
      </c>
      <c r="N24" s="3692" t="s">
        <v>3599</v>
      </c>
      <c r="O24" s="3692" t="s">
        <v>3600</v>
      </c>
      <c r="P24" s="3691" t="s">
        <v>3601</v>
      </c>
      <c r="Q24" s="3690" t="s">
        <v>3602</v>
      </c>
      <c r="R24" s="3691" t="s">
        <v>3603</v>
      </c>
    </row>
    <row r="25" spans="12:18">
      <c r="L25" s="3691"/>
      <c r="M25" s="3691">
        <v>2023.6</v>
      </c>
      <c r="N25" s="3691" t="s">
        <v>3604</v>
      </c>
      <c r="O25" s="3691">
        <v>4237</v>
      </c>
      <c r="P25" s="3691">
        <v>35.75</v>
      </c>
      <c r="Q25" s="3717" t="s">
        <v>3605</v>
      </c>
    </row>
    <row r="26" spans="12:18">
      <c r="L26" s="3691"/>
      <c r="M26" s="3691"/>
      <c r="N26" s="3691"/>
      <c r="O26" s="3691"/>
      <c r="P26" s="3692"/>
      <c r="Q26" s="3690"/>
    </row>
    <row r="27" spans="12:18">
      <c r="L27" s="3691"/>
      <c r="M27" s="3691"/>
      <c r="N27" s="3691"/>
      <c r="O27" s="3692"/>
      <c r="P27" s="3692"/>
      <c r="Q27" s="3690"/>
    </row>
    <row r="28" spans="12:18">
      <c r="L28" s="3691"/>
      <c r="M28" s="3691"/>
      <c r="N28" s="3691"/>
      <c r="O28" s="3691"/>
      <c r="P28" s="3692"/>
      <c r="Q28" s="3690"/>
    </row>
    <row r="29" spans="12:18">
      <c r="L29" s="3694"/>
      <c r="M29" s="3691"/>
      <c r="N29" s="3692"/>
      <c r="O29" s="3692"/>
      <c r="P29" s="3691"/>
      <c r="Q29" s="3690"/>
    </row>
    <row r="30" spans="12:18">
      <c r="L30" s="3694"/>
      <c r="M30" s="3691"/>
      <c r="N30" s="3691"/>
      <c r="O30" s="3691"/>
      <c r="P30" s="3692"/>
      <c r="Q30" s="3690"/>
    </row>
    <row r="31" spans="12:18">
      <c r="L31" s="3694"/>
      <c r="M31" s="3691"/>
      <c r="N31" s="3691"/>
      <c r="O31" s="3691"/>
      <c r="P31" s="3692"/>
      <c r="Q31" s="3690"/>
    </row>
    <row r="32" spans="12:18">
      <c r="L32" s="3694"/>
      <c r="M32" s="3691"/>
      <c r="N32" s="3692"/>
      <c r="O32" s="3692"/>
      <c r="P32" s="3691"/>
      <c r="Q32" s="3690"/>
    </row>
    <row r="33" spans="12:17">
      <c r="L33" s="3694"/>
      <c r="M33" s="3691"/>
      <c r="N33" s="3691"/>
      <c r="O33" s="3691"/>
      <c r="P33" s="3692"/>
      <c r="Q33" s="3690"/>
    </row>
    <row r="34" spans="12:17">
      <c r="L34" s="3690"/>
      <c r="M34" s="3690"/>
      <c r="N34" s="3690"/>
      <c r="O34" s="3690"/>
      <c r="P34" s="3690"/>
      <c r="Q34" s="3690"/>
    </row>
    <row r="35" spans="12:17">
      <c r="L35" s="3694"/>
      <c r="M35" s="3691"/>
      <c r="N35" s="3692"/>
      <c r="O35" s="3692"/>
      <c r="P35" s="3691"/>
      <c r="Q35" s="3690"/>
    </row>
    <row r="36" spans="12:17">
      <c r="L36" s="3690"/>
      <c r="M36" s="3690"/>
      <c r="N36" s="3691"/>
      <c r="O36" s="3690"/>
      <c r="P36" s="3690"/>
      <c r="Q36" s="3690"/>
    </row>
    <row r="37" spans="12:17">
      <c r="L37" s="3690"/>
      <c r="M37" s="3690"/>
      <c r="N37" s="3690"/>
      <c r="O37" s="3690"/>
      <c r="P37" s="3690"/>
      <c r="Q37" s="3690"/>
    </row>
    <row r="38" spans="12:17">
      <c r="L38" s="3690"/>
      <c r="M38" s="3690"/>
      <c r="N38" s="3690"/>
      <c r="O38" s="3690"/>
      <c r="P38" s="3690"/>
      <c r="Q38" s="3690"/>
    </row>
    <row r="39" spans="12:17">
      <c r="L39" s="3695"/>
      <c r="M39" s="3691"/>
      <c r="N39" s="3692"/>
      <c r="O39" s="3692"/>
      <c r="P39" s="3691"/>
      <c r="Q39" s="3690"/>
    </row>
    <row r="40" spans="12:17">
      <c r="L40" s="3690"/>
      <c r="M40" s="3690"/>
      <c r="N40" s="3690"/>
      <c r="O40" s="3690"/>
      <c r="P40" s="3690"/>
      <c r="Q40" s="3690"/>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2" t="s">
        <v>1556</v>
      </c>
      <c r="B1" s="3722"/>
      <c r="C1" s="3722"/>
      <c r="D1" s="3722"/>
      <c r="E1" s="3722"/>
      <c r="F1" s="3722"/>
      <c r="G1" s="3722"/>
      <c r="H1" s="3722"/>
      <c r="I1" s="3722"/>
      <c r="J1" s="3722"/>
      <c r="K1" s="3722"/>
      <c r="L1" s="3722"/>
      <c r="M1" s="3722"/>
      <c r="N1" s="3722"/>
      <c r="O1" s="3722"/>
      <c r="P1" s="3722"/>
      <c r="Q1" s="3722"/>
      <c r="R1" s="3722"/>
    </row>
    <row r="2" spans="1:18">
      <c r="A2" s="1592" t="s">
        <v>1558</v>
      </c>
      <c r="B2" s="1592"/>
      <c r="C2" s="1592"/>
      <c r="D2" s="1592"/>
      <c r="E2" s="1592"/>
      <c r="F2" s="1592"/>
      <c r="G2" s="1592"/>
      <c r="H2" s="1592"/>
      <c r="I2" s="1593"/>
      <c r="J2" s="1593"/>
      <c r="K2" s="1594" t="str">
        <f>"估价期日："&amp;TEXT(项目基本情况!D3,"yyyy年m月d日;;")</f>
        <v>估价期日：2023年7月31日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23" t="s">
        <v>1547</v>
      </c>
      <c r="B3" s="3723" t="s">
        <v>2013</v>
      </c>
      <c r="C3" s="3724" t="s">
        <v>1548</v>
      </c>
      <c r="D3" s="3723" t="s">
        <v>2017</v>
      </c>
      <c r="E3" s="3726" t="s">
        <v>1549</v>
      </c>
      <c r="F3" s="3726"/>
      <c r="G3" s="3726"/>
      <c r="H3" s="3726" t="s">
        <v>1550</v>
      </c>
      <c r="I3" s="3726"/>
      <c r="J3" s="3726"/>
      <c r="K3" s="3724" t="s">
        <v>1551</v>
      </c>
      <c r="L3" s="3724" t="s">
        <v>1552</v>
      </c>
      <c r="M3" s="3723" t="s">
        <v>2014</v>
      </c>
      <c r="N3" s="3725" t="str">
        <f>"（分摊）"&amp;项目基本情况!A17&amp;"国有建设用地使用权面积/㎡"</f>
        <v>（分摊）出让国有建设用地使用权面积/㎡</v>
      </c>
      <c r="O3" s="3723" t="s">
        <v>1581</v>
      </c>
      <c r="P3" s="3724" t="s">
        <v>1561</v>
      </c>
      <c r="Q3" s="3724" t="s">
        <v>1582</v>
      </c>
      <c r="R3" s="3724" t="s">
        <v>1553</v>
      </c>
    </row>
    <row r="4" spans="1:18" ht="36.75" customHeight="1">
      <c r="A4" s="3723"/>
      <c r="B4" s="3723"/>
      <c r="C4" s="3724"/>
      <c r="D4" s="3723"/>
      <c r="E4" s="2251" t="s">
        <v>1560</v>
      </c>
      <c r="F4" s="2251" t="s">
        <v>2026</v>
      </c>
      <c r="G4" s="2251" t="s">
        <v>1554</v>
      </c>
      <c r="H4" s="2251" t="s">
        <v>1555</v>
      </c>
      <c r="I4" s="2251" t="s">
        <v>2027</v>
      </c>
      <c r="J4" s="2251" t="s">
        <v>1554</v>
      </c>
      <c r="K4" s="3724"/>
      <c r="L4" s="3724"/>
      <c r="M4" s="3723"/>
      <c r="N4" s="3725"/>
      <c r="O4" s="3723"/>
      <c r="P4" s="3724"/>
      <c r="Q4" s="3724"/>
      <c r="R4" s="3724"/>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红线外七通、宗地红线内场地平整</v>
      </c>
      <c r="M5" s="1595">
        <f>IF(项目基本情况!A17="出让",项目基本情况!D20,"——")</f>
        <v>0</v>
      </c>
      <c r="N5" s="1595">
        <f>项目基本情况!C22</f>
        <v>23364.85</v>
      </c>
      <c r="O5" s="1595">
        <f>项目基本情况!C21</f>
        <v>68710.41</v>
      </c>
      <c r="P5" s="1595">
        <f ca="1">结果表!E42</f>
        <v>29105</v>
      </c>
      <c r="Q5" s="1595">
        <f ca="1">结果表!D42</f>
        <v>9897</v>
      </c>
      <c r="R5" s="1596">
        <f ca="1">结果表!C42</f>
        <v>68004</v>
      </c>
    </row>
    <row r="6" spans="1:18">
      <c r="A6" s="3727" t="str">
        <f>IF(项目基本情况!B9="市场价格","——","抵押价格")</f>
        <v>抵押价格</v>
      </c>
      <c r="B6" s="3728"/>
      <c r="C6" s="3728"/>
      <c r="D6" s="3728"/>
      <c r="E6" s="3728"/>
      <c r="F6" s="3728"/>
      <c r="G6" s="3728"/>
      <c r="H6" s="3728"/>
      <c r="I6" s="3728"/>
      <c r="J6" s="3728"/>
      <c r="K6" s="3728"/>
      <c r="L6" s="3728"/>
      <c r="M6" s="3728"/>
      <c r="N6" s="3728"/>
      <c r="O6" s="3728"/>
      <c r="P6" s="3728"/>
      <c r="Q6" s="3729"/>
      <c r="R6" s="1597">
        <f ca="1">结果表!O39</f>
        <v>67267</v>
      </c>
    </row>
    <row r="7" spans="1:18">
      <c r="A7" s="3727" t="str">
        <f>IF(项目基本情况!B9="市场价格","——",IF(项目基本情况!E8="已注销及未注销","抵押担保权已注销时的抵押价格","——"))</f>
        <v>——</v>
      </c>
      <c r="B7" s="3728"/>
      <c r="C7" s="3728"/>
      <c r="D7" s="3728"/>
      <c r="E7" s="3728"/>
      <c r="F7" s="3728"/>
      <c r="G7" s="3728"/>
      <c r="H7" s="3728"/>
      <c r="I7" s="3728"/>
      <c r="J7" s="3728"/>
      <c r="K7" s="3728"/>
      <c r="L7" s="3728"/>
      <c r="M7" s="3728"/>
      <c r="N7" s="3728"/>
      <c r="O7" s="3728"/>
      <c r="P7" s="3728"/>
      <c r="Q7" s="3729"/>
      <c r="R7" s="1597" t="str">
        <f>结果表!O40</f>
        <v>——</v>
      </c>
    </row>
    <row r="8" spans="1:18">
      <c r="A8" s="3727" t="str">
        <f>IF(项目基本情况!B9="市场价格","——",项目基本情况!E9)</f>
        <v>抵押净值</v>
      </c>
      <c r="B8" s="3728"/>
      <c r="C8" s="3728"/>
      <c r="D8" s="3728"/>
      <c r="E8" s="3728"/>
      <c r="F8" s="3728"/>
      <c r="G8" s="3728"/>
      <c r="H8" s="3728"/>
      <c r="I8" s="3728"/>
      <c r="J8" s="3728"/>
      <c r="K8" s="3728"/>
      <c r="L8" s="3728"/>
      <c r="M8" s="3728"/>
      <c r="N8" s="3728"/>
      <c r="O8" s="3728"/>
      <c r="P8" s="3728"/>
      <c r="Q8" s="3729"/>
      <c r="R8" s="1597">
        <f ca="1">结果表!O41</f>
        <v>61715</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31" t="s">
        <v>1583</v>
      </c>
      <c r="B1" s="3731"/>
      <c r="C1" s="3731"/>
      <c r="D1" s="3731"/>
    </row>
    <row r="2" spans="1:4" ht="47.25" customHeight="1">
      <c r="A2" s="3732" t="str">
        <f>"1.权利限制："&amp;项目基本情况!L24&amp;"未设定租赁等其他他项权利。"</f>
        <v>1.权利限制：根据估价对象《不动产权证书》原件、《国有土地使用权》复印件，截至估价期日，估价对象抵押权未见登记。未设定租赁等其他他项权利。</v>
      </c>
      <c r="B2" s="3732"/>
      <c r="C2" s="3732"/>
      <c r="D2" s="3732"/>
    </row>
    <row r="3" spans="1:4" ht="48" customHeight="1">
      <c r="A3" s="37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731"/>
      <c r="C3" s="3731"/>
      <c r="D3" s="3731"/>
    </row>
    <row r="4" spans="1:4" ht="36.75" customHeight="1">
      <c r="A4" s="3731" t="str">
        <f>"3.估价规划限制条件：详见"&amp;项目基本情况!E21&amp;"。"</f>
        <v>3.估价规划限制条件：详见《建设工程规划许可证》[]、《出让合同》[]。</v>
      </c>
      <c r="B4" s="3731"/>
      <c r="C4" s="3731"/>
      <c r="D4" s="3731"/>
    </row>
    <row r="5" spans="1:4">
      <c r="A5" s="3730" t="s">
        <v>1584</v>
      </c>
      <c r="B5" s="3730"/>
      <c r="C5" s="3730"/>
      <c r="D5" s="3730"/>
    </row>
    <row r="6" spans="1:4">
      <c r="A6" s="3731" t="s">
        <v>1562</v>
      </c>
      <c r="B6" s="3731"/>
      <c r="C6" s="3731"/>
      <c r="D6" s="3731"/>
    </row>
    <row r="7" spans="1:4" ht="33" customHeight="1">
      <c r="A7" s="3731" t="s">
        <v>1857</v>
      </c>
      <c r="B7" s="3731"/>
      <c r="C7" s="3731"/>
      <c r="D7" s="3731"/>
    </row>
    <row r="8" spans="1:4" ht="32.25" customHeight="1">
      <c r="A8" s="37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1"/>
      <c r="C8" s="3731"/>
      <c r="D8" s="3731"/>
    </row>
    <row r="9" spans="1:4" ht="33.75" customHeight="1">
      <c r="A9" s="37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1"/>
      <c r="C9" s="3731"/>
      <c r="D9" s="3731"/>
    </row>
    <row r="10" spans="1:4">
      <c r="A10" s="3731" t="str">
        <f>IF(项目基本情况!B8="抵押","4.估价师所知悉的法定优先受偿款情况为：","——")</f>
        <v>4.估价师所知悉的法定优先受偿款情况为：</v>
      </c>
      <c r="B10" s="3731"/>
      <c r="C10" s="3731"/>
      <c r="D10" s="3731"/>
    </row>
    <row r="11" spans="1:4" ht="37.5" customHeight="1">
      <c r="A11" s="37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3"/>
      <c r="C11" s="3733"/>
      <c r="D11" s="3733"/>
    </row>
    <row r="12" spans="1:4" ht="168" customHeight="1">
      <c r="A12" s="3730" t="s">
        <v>1586</v>
      </c>
      <c r="B12" s="3730"/>
      <c r="C12" s="3730"/>
      <c r="D12" s="3730"/>
    </row>
    <row r="13" spans="1:4">
      <c r="A13" s="3734" t="s">
        <v>2028</v>
      </c>
      <c r="B13" s="3734"/>
      <c r="C13" s="3734"/>
      <c r="D13" s="3734"/>
    </row>
    <row r="14" spans="1:4">
      <c r="A14" s="3733" t="str">
        <f>IF(项目基本情况!B8="抵押","综上，"&amp;结果表!K47,"——")</f>
        <v>综上，本次评估估价师知悉的法定优先受偿款为人民币737万元整。</v>
      </c>
      <c r="B14" s="3733"/>
      <c r="C14" s="3733"/>
      <c r="D14" s="3733"/>
    </row>
    <row r="15" spans="1:4" ht="58.5" customHeight="1">
      <c r="A15" s="37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1"/>
      <c r="C15" s="3731"/>
      <c r="D15" s="3731"/>
    </row>
    <row r="16" spans="1:4" ht="70.5" customHeight="1">
      <c r="A16" s="37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1"/>
      <c r="C16" s="3731"/>
      <c r="D16" s="3731"/>
    </row>
    <row r="17" spans="1:4">
      <c r="A17" s="3731" t="s">
        <v>1984</v>
      </c>
      <c r="B17" s="3731"/>
      <c r="C17" s="3731"/>
      <c r="D17" s="3731"/>
    </row>
    <row r="18" spans="1:4">
      <c r="A18" s="3731" t="s">
        <v>1976</v>
      </c>
      <c r="B18" s="3731"/>
      <c r="C18" s="3731"/>
      <c r="D18" s="3731"/>
    </row>
    <row r="19" spans="1:4">
      <c r="A19" s="2345" t="s">
        <v>1977</v>
      </c>
      <c r="B19" s="2345" t="s">
        <v>1978</v>
      </c>
      <c r="C19" s="2345" t="s">
        <v>1979</v>
      </c>
      <c r="D19" s="2345" t="s">
        <v>1980</v>
      </c>
    </row>
    <row r="20" spans="1:4">
      <c r="A20" s="2345" t="str">
        <f>项目基本情况!B4</f>
        <v>郑燚</v>
      </c>
      <c r="B20" s="2345">
        <f ca="1">项目基本情况!C4</f>
        <v>2014110011</v>
      </c>
      <c r="C20" s="2347"/>
      <c r="D20" s="1585" t="s">
        <v>1985</v>
      </c>
    </row>
    <row r="21" spans="1:4">
      <c r="A21" s="2345" t="str">
        <f>项目基本情况!D4</f>
        <v>崔锴</v>
      </c>
      <c r="B21" s="2345">
        <f ca="1">项目基本情况!E4</f>
        <v>2010110070</v>
      </c>
      <c r="C21" s="2347"/>
      <c r="D21" s="1585" t="s">
        <v>1986</v>
      </c>
    </row>
    <row r="23" spans="1:4">
      <c r="A23" s="3731" t="s">
        <v>1981</v>
      </c>
      <c r="B23" s="3731"/>
      <c r="C23" s="3731"/>
      <c r="D23" s="3731"/>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42" t="s">
        <v>27</v>
      </c>
      <c r="B15" s="3743" t="s">
        <v>784</v>
      </c>
      <c r="C15" s="3739"/>
    </row>
    <row r="16" spans="1:7" ht="14.25">
      <c r="A16" s="3742"/>
      <c r="B16" s="3740" t="s">
        <v>28</v>
      </c>
      <c r="C16" s="1067" t="s">
        <v>27</v>
      </c>
    </row>
    <row r="17" spans="1:3" ht="14.25">
      <c r="A17" s="3742"/>
      <c r="B17" s="3740"/>
      <c r="C17" s="1067" t="s">
        <v>29</v>
      </c>
    </row>
    <row r="18" spans="1:3" ht="14.25">
      <c r="A18" s="3742"/>
      <c r="B18" s="3740"/>
      <c r="C18" s="1067" t="s">
        <v>30</v>
      </c>
    </row>
    <row r="19" spans="1:3" ht="14.25">
      <c r="A19" s="3742"/>
      <c r="B19" s="3738" t="s">
        <v>31</v>
      </c>
      <c r="C19" s="3739"/>
    </row>
    <row r="20" spans="1:3" ht="14.25">
      <c r="A20" s="1068" t="s">
        <v>32</v>
      </c>
      <c r="B20" s="1069"/>
      <c r="C20" s="1070"/>
    </row>
    <row r="21" spans="1:3" ht="14.25">
      <c r="A21" s="3741" t="s">
        <v>33</v>
      </c>
      <c r="B21" s="3738" t="s">
        <v>34</v>
      </c>
      <c r="C21" s="3739"/>
    </row>
    <row r="22" spans="1:3" ht="14.25">
      <c r="A22" s="3741"/>
      <c r="B22" s="3738" t="s">
        <v>35</v>
      </c>
      <c r="C22" s="3739"/>
    </row>
    <row r="23" spans="1:3" ht="14.25">
      <c r="A23" s="3741"/>
      <c r="B23" s="3738" t="s">
        <v>36</v>
      </c>
      <c r="C23" s="3739"/>
    </row>
    <row r="24" spans="1:3" ht="14.25">
      <c r="A24" s="3741"/>
      <c r="B24" s="3744" t="s">
        <v>37</v>
      </c>
      <c r="C24" s="1071" t="s">
        <v>775</v>
      </c>
    </row>
    <row r="25" spans="1:3" ht="14.25">
      <c r="A25" s="3741"/>
      <c r="B25" s="3745"/>
      <c r="C25" s="1071" t="s">
        <v>776</v>
      </c>
    </row>
    <row r="26" spans="1:3" ht="14.25">
      <c r="A26" s="3741"/>
      <c r="B26" s="3745"/>
      <c r="C26" s="1071" t="s">
        <v>777</v>
      </c>
    </row>
    <row r="27" spans="1:3" ht="14.25">
      <c r="A27" s="3741"/>
      <c r="B27" s="3745"/>
      <c r="C27" s="1071" t="s">
        <v>778</v>
      </c>
    </row>
    <row r="28" spans="1:3" ht="14.25">
      <c r="A28" s="3741"/>
      <c r="B28" s="3745"/>
      <c r="C28" s="1071" t="s">
        <v>779</v>
      </c>
    </row>
    <row r="29" spans="1:3" ht="14.25">
      <c r="A29" s="3741"/>
      <c r="B29" s="3745"/>
      <c r="C29" s="1071" t="s">
        <v>780</v>
      </c>
    </row>
    <row r="30" spans="1:3" ht="14.25">
      <c r="A30" s="3741"/>
      <c r="B30" s="3745"/>
      <c r="C30" s="1071" t="s">
        <v>781</v>
      </c>
    </row>
    <row r="31" spans="1:3" ht="14.25">
      <c r="A31" s="3741"/>
      <c r="B31" s="3745"/>
      <c r="C31" s="1071" t="s">
        <v>782</v>
      </c>
    </row>
    <row r="32" spans="1:3" ht="14.25">
      <c r="A32" s="3741"/>
      <c r="B32" s="3745"/>
      <c r="C32" s="1071" t="s">
        <v>1181</v>
      </c>
    </row>
    <row r="33" spans="1:3" ht="14.25">
      <c r="A33" s="3741"/>
      <c r="B33" s="3735" t="s">
        <v>1187</v>
      </c>
      <c r="C33" s="1071" t="s">
        <v>1182</v>
      </c>
    </row>
    <row r="34" spans="1:3" ht="14.25">
      <c r="A34" s="3741"/>
      <c r="B34" s="3736"/>
      <c r="C34" s="1076" t="s">
        <v>1183</v>
      </c>
    </row>
    <row r="35" spans="1:3" ht="14.25">
      <c r="A35" s="3741"/>
      <c r="B35" s="3736"/>
      <c r="C35" s="1077" t="s">
        <v>1184</v>
      </c>
    </row>
    <row r="36" spans="1:3" ht="14.25">
      <c r="A36" s="3741"/>
      <c r="B36" s="3736"/>
      <c r="C36" s="1077" t="s">
        <v>1185</v>
      </c>
    </row>
    <row r="37" spans="1:3" ht="14.25">
      <c r="A37" s="3741"/>
      <c r="B37" s="3737"/>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D32" sqref="D3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45139</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2229</v>
      </c>
      <c r="B12" s="2770">
        <f ca="1">IF(C12&lt;B2,"已过期",1120040230)</f>
        <v>1120040230</v>
      </c>
      <c r="C12" s="2773">
        <v>45937</v>
      </c>
      <c r="D12" s="2781" t="s">
        <v>2230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2240</v>
      </c>
      <c r="B15" s="2770" t="str">
        <f ca="1">IF(C15&lt;B2,"已过期",1119980106)</f>
        <v>已过期</v>
      </c>
      <c r="C15" s="2773">
        <v>44969</v>
      </c>
      <c r="D15" s="2781"/>
      <c r="E15" s="2770"/>
      <c r="F15" s="2770"/>
      <c r="G15" s="2765"/>
    </row>
    <row r="16" spans="1:7" ht="20.25" customHeight="1">
      <c r="A16" s="2769" t="s">
        <v>2440</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9" t="s">
        <v>1448</v>
      </c>
      <c r="B18" s="3750"/>
      <c r="C18" s="3750"/>
      <c r="D18" s="3750"/>
      <c r="E18" s="3750"/>
      <c r="F18" s="3750"/>
      <c r="G18" s="2774"/>
    </row>
    <row r="19" spans="1:7" ht="20.25" customHeight="1">
      <c r="A19" s="3746" t="s">
        <v>1449</v>
      </c>
      <c r="B19" s="3746"/>
      <c r="C19" s="3747"/>
      <c r="D19" s="3748" t="s">
        <v>1450</v>
      </c>
      <c r="E19" s="3746"/>
      <c r="F19" s="3746"/>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2441</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4" t="s">
        <v>1237</v>
      </c>
      <c r="D1" s="2194" t="s">
        <v>2753</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3" t="s">
        <v>811</v>
      </c>
    </row>
    <row r="2" spans="1:23">
      <c r="A2" s="6" t="s">
        <v>47</v>
      </c>
      <c r="B2" s="6" t="s">
        <v>116</v>
      </c>
      <c r="C2" s="1365" t="s">
        <v>1238</v>
      </c>
      <c r="D2" s="7" t="s">
        <v>48</v>
      </c>
      <c r="E2" s="7" t="s">
        <v>95</v>
      </c>
      <c r="F2" s="7" t="s">
        <v>96</v>
      </c>
      <c r="G2" s="4">
        <v>20</v>
      </c>
      <c r="H2" s="7" t="s">
        <v>97</v>
      </c>
      <c r="I2" s="7" t="s">
        <v>2739</v>
      </c>
      <c r="J2" s="7" t="s">
        <v>98</v>
      </c>
      <c r="K2" s="7" t="s">
        <v>49</v>
      </c>
      <c r="L2" s="7" t="s">
        <v>49</v>
      </c>
      <c r="M2" s="7" t="s">
        <v>49</v>
      </c>
      <c r="N2" s="7" t="s">
        <v>49</v>
      </c>
      <c r="O2" s="7" t="s">
        <v>49</v>
      </c>
      <c r="P2" s="964" t="s">
        <v>817</v>
      </c>
      <c r="Q2" s="7" t="s">
        <v>49</v>
      </c>
      <c r="R2" s="964"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2740</v>
      </c>
      <c r="J3" s="7" t="s">
        <v>56</v>
      </c>
      <c r="K3" s="7" t="s">
        <v>57</v>
      </c>
      <c r="L3" s="7" t="s">
        <v>57</v>
      </c>
      <c r="M3" s="7" t="s">
        <v>57</v>
      </c>
      <c r="N3" s="7" t="s">
        <v>57</v>
      </c>
      <c r="O3" s="7" t="s">
        <v>57</v>
      </c>
      <c r="P3" s="964" t="s">
        <v>548</v>
      </c>
      <c r="Q3" s="7" t="s">
        <v>57</v>
      </c>
      <c r="R3" s="964"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2741</v>
      </c>
      <c r="K4" s="7" t="s">
        <v>64</v>
      </c>
      <c r="L4" s="7" t="s">
        <v>64</v>
      </c>
      <c r="M4" s="7" t="s">
        <v>64</v>
      </c>
      <c r="N4" s="7" t="s">
        <v>64</v>
      </c>
      <c r="O4" s="7" t="s">
        <v>64</v>
      </c>
      <c r="P4" s="964" t="s">
        <v>700</v>
      </c>
      <c r="Q4" s="7" t="s">
        <v>64</v>
      </c>
      <c r="R4" s="964" t="s">
        <v>1825</v>
      </c>
      <c r="S4" s="7" t="s">
        <v>64</v>
      </c>
      <c r="T4" s="7" t="s">
        <v>65</v>
      </c>
      <c r="U4" s="7" t="s">
        <v>64</v>
      </c>
      <c r="W4" s="7" t="s">
        <v>814</v>
      </c>
    </row>
    <row r="5" spans="1:23">
      <c r="A5" s="6" t="s">
        <v>66</v>
      </c>
      <c r="B5" s="6" t="s">
        <v>119</v>
      </c>
      <c r="C5" s="1365" t="s">
        <v>1241</v>
      </c>
      <c r="F5" s="7" t="s">
        <v>67</v>
      </c>
      <c r="G5" s="7">
        <v>70</v>
      </c>
      <c r="H5" s="7" t="s">
        <v>44</v>
      </c>
      <c r="I5" s="7" t="s">
        <v>2742</v>
      </c>
      <c r="K5" s="7" t="s">
        <v>68</v>
      </c>
      <c r="L5" s="7" t="s">
        <v>68</v>
      </c>
      <c r="M5" s="7" t="s">
        <v>68</v>
      </c>
      <c r="N5" s="7" t="s">
        <v>68</v>
      </c>
      <c r="O5" s="7" t="s">
        <v>68</v>
      </c>
      <c r="P5" s="964" t="s">
        <v>495</v>
      </c>
      <c r="Q5" s="7" t="s">
        <v>68</v>
      </c>
      <c r="R5" s="964" t="s">
        <v>1826</v>
      </c>
      <c r="S5" s="7" t="s">
        <v>68</v>
      </c>
      <c r="T5" s="7" t="s">
        <v>69</v>
      </c>
      <c r="U5" s="7" t="s">
        <v>68</v>
      </c>
      <c r="W5" s="7" t="s">
        <v>815</v>
      </c>
    </row>
    <row r="6" spans="1:23">
      <c r="A6" s="6" t="s">
        <v>70</v>
      </c>
      <c r="B6" s="1045" t="s">
        <v>1176</v>
      </c>
      <c r="C6" s="1367" t="s">
        <v>1242</v>
      </c>
      <c r="F6" s="7" t="s">
        <v>45</v>
      </c>
      <c r="H6" s="7" t="s">
        <v>46</v>
      </c>
      <c r="I6" s="7" t="s">
        <v>2743</v>
      </c>
      <c r="K6" s="7" t="s">
        <v>71</v>
      </c>
      <c r="L6" s="7" t="s">
        <v>71</v>
      </c>
      <c r="M6" s="7" t="s">
        <v>71</v>
      </c>
      <c r="N6" s="7" t="s">
        <v>71</v>
      </c>
      <c r="O6" s="7" t="s">
        <v>71</v>
      </c>
      <c r="P6" s="964" t="s">
        <v>818</v>
      </c>
      <c r="Q6" s="7" t="s">
        <v>71</v>
      </c>
      <c r="R6" s="964" t="s">
        <v>1827</v>
      </c>
      <c r="S6" s="7" t="s">
        <v>71</v>
      </c>
      <c r="T6" s="7"/>
      <c r="U6" s="7" t="s">
        <v>71</v>
      </c>
      <c r="W6" s="7" t="s">
        <v>816</v>
      </c>
    </row>
    <row r="7" spans="1:23">
      <c r="A7" s="6" t="s">
        <v>72</v>
      </c>
      <c r="B7" s="6" t="s">
        <v>73</v>
      </c>
      <c r="C7" s="1365" t="s">
        <v>1243</v>
      </c>
      <c r="F7" s="7" t="s">
        <v>120</v>
      </c>
      <c r="H7" s="7" t="s">
        <v>74</v>
      </c>
      <c r="I7" s="7" t="s">
        <v>2744</v>
      </c>
    </row>
    <row r="8" spans="1:23">
      <c r="A8" s="6" t="s">
        <v>75</v>
      </c>
      <c r="B8" s="6" t="s">
        <v>76</v>
      </c>
      <c r="C8" s="1365" t="s">
        <v>1244</v>
      </c>
      <c r="F8" s="7" t="s">
        <v>121</v>
      </c>
      <c r="H8" s="3334" t="s">
        <v>2738</v>
      </c>
      <c r="I8" s="7" t="s">
        <v>2745</v>
      </c>
    </row>
    <row r="9" spans="1:23">
      <c r="A9" s="6" t="s">
        <v>77</v>
      </c>
      <c r="B9" s="6" t="s">
        <v>122</v>
      </c>
      <c r="C9" s="1365" t="s">
        <v>1245</v>
      </c>
      <c r="F9" s="7" t="s">
        <v>78</v>
      </c>
      <c r="H9" s="7"/>
      <c r="I9" s="7" t="s">
        <v>2746</v>
      </c>
    </row>
    <row r="10" spans="1:23">
      <c r="A10" s="6" t="s">
        <v>79</v>
      </c>
      <c r="B10" s="6" t="s">
        <v>123</v>
      </c>
      <c r="C10" s="1365" t="s">
        <v>1246</v>
      </c>
      <c r="F10" s="3334" t="s">
        <v>2737</v>
      </c>
      <c r="I10" s="7" t="s">
        <v>2747</v>
      </c>
    </row>
    <row r="11" spans="1:23">
      <c r="A11" s="6" t="s">
        <v>80</v>
      </c>
      <c r="B11" s="6" t="s">
        <v>124</v>
      </c>
      <c r="C11" s="1365" t="s">
        <v>1247</v>
      </c>
      <c r="I11" s="7" t="s">
        <v>2748</v>
      </c>
    </row>
    <row r="12" spans="1:23">
      <c r="A12" s="6" t="s">
        <v>81</v>
      </c>
      <c r="B12" s="6" t="s">
        <v>125</v>
      </c>
      <c r="C12" s="1365" t="s">
        <v>1248</v>
      </c>
      <c r="I12" s="7" t="s">
        <v>2749</v>
      </c>
    </row>
    <row r="13" spans="1:23">
      <c r="A13" s="6" t="s">
        <v>82</v>
      </c>
      <c r="B13" s="6" t="s">
        <v>126</v>
      </c>
      <c r="C13" s="1365" t="s">
        <v>1249</v>
      </c>
      <c r="I13" s="7" t="s">
        <v>2750</v>
      </c>
    </row>
    <row r="14" spans="1:23">
      <c r="A14" s="6" t="s">
        <v>83</v>
      </c>
      <c r="B14" s="6" t="s">
        <v>127</v>
      </c>
      <c r="C14" s="1368" t="s">
        <v>1421</v>
      </c>
      <c r="I14" s="7" t="s">
        <v>2751</v>
      </c>
    </row>
    <row r="15" spans="1:23">
      <c r="A15" s="6" t="s">
        <v>84</v>
      </c>
      <c r="B15" s="6" t="s">
        <v>1214</v>
      </c>
      <c r="C15" s="1368"/>
      <c r="I15" s="7" t="s">
        <v>2752</v>
      </c>
    </row>
    <row r="16" spans="1:23">
      <c r="A16" s="6" t="s">
        <v>85</v>
      </c>
      <c r="B16" s="6" t="s">
        <v>1215</v>
      </c>
      <c r="C16" s="1368"/>
    </row>
    <row r="17" spans="1:3">
      <c r="A17" s="6" t="s">
        <v>86</v>
      </c>
      <c r="B17" s="6" t="s">
        <v>1216</v>
      </c>
      <c r="C17" s="1368"/>
    </row>
    <row r="18" spans="1:3">
      <c r="A18" s="6" t="s">
        <v>87</v>
      </c>
      <c r="B18" s="2544" t="s">
        <v>2206</v>
      </c>
      <c r="C18" s="1368"/>
    </row>
    <row r="19" spans="1:3">
      <c r="A19" s="6" t="s">
        <v>88</v>
      </c>
      <c r="B19" s="2544" t="s">
        <v>2213</v>
      </c>
      <c r="C19" s="1368"/>
    </row>
    <row r="20" spans="1:3">
      <c r="A20" s="6" t="s">
        <v>89</v>
      </c>
      <c r="B20" s="2544" t="s">
        <v>2253</v>
      </c>
      <c r="C20" s="1368"/>
    </row>
    <row r="21" spans="1:3">
      <c r="A21" s="6" t="s">
        <v>90</v>
      </c>
      <c r="B21" s="6" t="s">
        <v>2432</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51"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c r="D53" s="1555"/>
      <c r="E53" s="1555"/>
    </row>
    <row r="54" spans="1:5">
      <c r="A54" s="3751"/>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51"/>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51"/>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51"/>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经济技术指标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销售案例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2023-04-06T04:45:01Z</cp:lastPrinted>
  <dcterms:created xsi:type="dcterms:W3CDTF">2015-07-13T07:17:23Z</dcterms:created>
  <dcterms:modified xsi:type="dcterms:W3CDTF">2023-08-01T02:09:11Z</dcterms:modified>
</cp:coreProperties>
</file>