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580世茂鼓浪水镇项目\测算表及报告(第二版，最终)\住宅测算表\第二版2019.10.11\"/>
    </mc:Choice>
  </mc:AlternateContent>
  <bookViews>
    <workbookView xWindow="11628" yWindow="168" windowWidth="11388" windowHeight="9468"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别墅" sheetId="79" r:id="rId26"/>
    <sheet name="比较法-洋房" sheetId="21" r:id="rId27"/>
    <sheet name="比较法-高层" sheetId="78"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土地案例" sheetId="77"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9" hidden="1">'比较法-办公'!$A$1:$L$50</definedName>
    <definedName name="_xlnm._FilterDatabase" localSheetId="25" hidden="1">'比较法-别墅'!$A$1:$L$49</definedName>
    <definedName name="_xlnm._FilterDatabase" localSheetId="32" hidden="1">'比较法-仓储'!$A$1:$L$37</definedName>
    <definedName name="_xlnm._FilterDatabase" localSheetId="31" hidden="1">'比较法-车位'!$A$1:$L$39</definedName>
    <definedName name="_xlnm._FilterDatabase" localSheetId="27" hidden="1">'比较法-高层'!$A$1:$L$49</definedName>
    <definedName name="_xlnm._FilterDatabase" localSheetId="30" hidden="1">'比较法-工业'!$A$1:$L$43</definedName>
    <definedName name="_xlnm._FilterDatabase" localSheetId="28"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土地案例!$A$1:$AS$51</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'比较法-别墅'!$B$88:$M$88</definedName>
    <definedName name="住宅朝向" localSheetId="27">'比较法-高层'!$B$88:$M$88</definedName>
    <definedName name="住宅朝向">'比较法-洋房'!$B$88:$M$88</definedName>
    <definedName name="住宅房型" localSheetId="25">'比较法-别墅'!$B$118:$M$118</definedName>
    <definedName name="住宅房型" localSheetId="27">'比较法-高层'!$B$118:$M$118</definedName>
    <definedName name="住宅房型">'比较法-洋房'!$B$118:$M$118</definedName>
    <definedName name="住宅公共部分装修" localSheetId="25">'比较法-别墅'!$B$109:$M$109</definedName>
    <definedName name="住宅公共部分装修" localSheetId="27">'比较法-高层'!$B$109:$M$109</definedName>
    <definedName name="住宅公共部分装修">'比较法-洋房'!$B$109:$M$109</definedName>
    <definedName name="住宅基础设施水平" localSheetId="25">'比较法-别墅'!$B$116:$M$116</definedName>
    <definedName name="住宅基础设施水平" localSheetId="27">'比较法-高层'!$B$116:$M$116</definedName>
    <definedName name="住宅基础设施水平">'比较法-洋房'!$B$116:$M$116</definedName>
    <definedName name="住宅建筑结构" localSheetId="25">'比较法-别墅'!$B$105:$M$105</definedName>
    <definedName name="住宅建筑结构" localSheetId="27">'比较法-高层'!$B$105:$M$105</definedName>
    <definedName name="住宅建筑结构">'比较法-洋房'!$B$105:$M$105</definedName>
    <definedName name="住宅建筑类型" localSheetId="25">'比较法-别墅'!$B$100:$M$100</definedName>
    <definedName name="住宅建筑类型" localSheetId="27">'比较法-高层'!$B$100:$M$100</definedName>
    <definedName name="住宅建筑类型">'比较法-洋房'!$B$100:$M$100</definedName>
    <definedName name="住宅建筑品质" localSheetId="25">'比较法-别墅'!$B$107:$M$107</definedName>
    <definedName name="住宅建筑品质" localSheetId="27">'比较法-高层'!$B$107:$M$107</definedName>
    <definedName name="住宅建筑品质">'比较法-洋房'!$B$107:$M$107</definedName>
    <definedName name="住宅交易情况" localSheetId="25">'比较法-别墅'!$A$61:$M$61</definedName>
    <definedName name="住宅交易情况" localSheetId="27">'比较法-高层'!$A$61:$M$61</definedName>
    <definedName name="住宅交易情况">'比较法-洋房'!$A$61:$M$61</definedName>
    <definedName name="住宅楼层" localSheetId="25">'比较法-别墅'!$B$86:$M$86</definedName>
    <definedName name="住宅楼层" localSheetId="27">'比较法-高层'!$B$86:$M$86</definedName>
    <definedName name="住宅楼层">'比较法-洋房'!$B$86:$M$86</definedName>
    <definedName name="住宅内部装修" localSheetId="25">'比较法-别墅'!$B$122:$M$122</definedName>
    <definedName name="住宅内部装修" localSheetId="27">'比较法-高层'!$B$122:$M$122</definedName>
    <definedName name="住宅内部装修">'比较法-洋房'!$B$122:$M$122</definedName>
    <definedName name="住宅物业管理" localSheetId="25">'比较法-别墅'!$B$114:$M$114</definedName>
    <definedName name="住宅物业管理" localSheetId="27">'比较法-高层'!$B$114:$M$114</definedName>
    <definedName name="住宅物业管理">'比较法-洋房'!$B$114:$M$114</definedName>
    <definedName name="住宅用途" localSheetId="25">'比较法-别墅'!$B$63:$M$63</definedName>
    <definedName name="住宅用途" localSheetId="27">'比较法-高层'!$B$63:$M$63</definedName>
    <definedName name="住宅用途">'比较法-洋房'!$B$63:$M$63</definedName>
    <definedName name="住宅主力户型面积" localSheetId="25">'比较法-别墅'!$B$120:$M$120</definedName>
    <definedName name="住宅主力户型面积" localSheetId="27">'比较法-高层'!$B$120:$M$120</definedName>
    <definedName name="住宅主力户型面积">'比较法-洋房'!$B$120:$M$120</definedName>
    <definedName name="注册房地产估价师">估价师及机构信息!$A$3:$A$24</definedName>
  </definedNames>
  <calcPr calcId="162913"/>
</workbook>
</file>

<file path=xl/calcChain.xml><?xml version="1.0" encoding="utf-8"?>
<calcChain xmlns="http://schemas.openxmlformats.org/spreadsheetml/2006/main">
  <c r="B17" i="74" l="1"/>
  <c r="B18" i="74"/>
  <c r="B19" i="74"/>
  <c r="B20" i="74"/>
  <c r="B21" i="74"/>
  <c r="B22" i="74"/>
  <c r="B23" i="74"/>
  <c r="B24" i="74"/>
  <c r="B15" i="74"/>
  <c r="D24" i="74"/>
  <c r="E24" i="74" s="1"/>
  <c r="C24" i="74"/>
  <c r="C17" i="74"/>
  <c r="C18" i="74"/>
  <c r="C19" i="74"/>
  <c r="C20" i="74"/>
  <c r="C21" i="74"/>
  <c r="C22" i="74"/>
  <c r="C23" i="74"/>
  <c r="C15" i="74"/>
  <c r="D17" i="74"/>
  <c r="G17" i="74" s="1"/>
  <c r="D18" i="74"/>
  <c r="G18" i="74" s="1"/>
  <c r="D19" i="74"/>
  <c r="G19" i="74" s="1"/>
  <c r="D20" i="74"/>
  <c r="G20" i="74" s="1"/>
  <c r="D21" i="74"/>
  <c r="G21" i="74" s="1"/>
  <c r="D22" i="74"/>
  <c r="G22" i="74" s="1"/>
  <c r="D23" i="74"/>
  <c r="G23" i="74" s="1"/>
  <c r="D15" i="74"/>
  <c r="G15" i="74" s="1"/>
  <c r="F24" i="74" l="1"/>
  <c r="G24" i="74"/>
  <c r="K13" i="3"/>
  <c r="L14" i="1" l="1"/>
  <c r="N9" i="1" l="1"/>
  <c r="B15" i="3" l="1"/>
  <c r="C24" i="33" l="1"/>
  <c r="I47" i="33"/>
  <c r="G47" i="33"/>
  <c r="E47" i="33"/>
  <c r="E5" i="79" l="1"/>
  <c r="C145" i="79"/>
  <c r="K139" i="79" s="1"/>
  <c r="J142" i="79"/>
  <c r="J140" i="79"/>
  <c r="B130" i="79"/>
  <c r="J46" i="79" s="1"/>
  <c r="AC46" i="79" s="1"/>
  <c r="B128" i="79"/>
  <c r="H45" i="79" s="1"/>
  <c r="B126" i="79"/>
  <c r="J44" i="79" s="1"/>
  <c r="AC44" i="79" s="1"/>
  <c r="H111" i="79"/>
  <c r="G111" i="79"/>
  <c r="F111" i="79"/>
  <c r="E111" i="79"/>
  <c r="D111" i="79"/>
  <c r="C111" i="79"/>
  <c r="D104" i="79"/>
  <c r="E104" i="79" s="1"/>
  <c r="F104" i="79" s="1"/>
  <c r="G104" i="79" s="1"/>
  <c r="D103" i="79"/>
  <c r="M102" i="79"/>
  <c r="L102" i="79"/>
  <c r="K102" i="79"/>
  <c r="J102" i="79"/>
  <c r="I102" i="79"/>
  <c r="H102" i="79"/>
  <c r="B98" i="79"/>
  <c r="B96" i="79"/>
  <c r="H30" i="79" s="1"/>
  <c r="AB30" i="79" s="1"/>
  <c r="B94" i="79"/>
  <c r="H29" i="79" s="1"/>
  <c r="AB29" i="79" s="1"/>
  <c r="B92" i="79"/>
  <c r="J28" i="79" s="1"/>
  <c r="AC28" i="79" s="1"/>
  <c r="B90" i="79"/>
  <c r="D89" i="79"/>
  <c r="E89" i="79" s="1"/>
  <c r="F89" i="79" s="1"/>
  <c r="G89" i="79" s="1"/>
  <c r="H89" i="79" s="1"/>
  <c r="I89" i="79" s="1"/>
  <c r="J89" i="79" s="1"/>
  <c r="K89" i="79" s="1"/>
  <c r="L89" i="79" s="1"/>
  <c r="M89" i="79" s="1"/>
  <c r="M87" i="79"/>
  <c r="L87" i="79"/>
  <c r="K87" i="79"/>
  <c r="J87" i="79"/>
  <c r="I87" i="79"/>
  <c r="H87" i="79"/>
  <c r="G87" i="79"/>
  <c r="F87" i="79"/>
  <c r="E87" i="79"/>
  <c r="D87" i="79"/>
  <c r="B74" i="79"/>
  <c r="J14" i="79" s="1"/>
  <c r="AC14" i="79" s="1"/>
  <c r="B72" i="79"/>
  <c r="H13" i="79" s="1"/>
  <c r="AB13" i="79" s="1"/>
  <c r="B70" i="79"/>
  <c r="J12" i="79" s="1"/>
  <c r="AC12" i="79" s="1"/>
  <c r="M67" i="79"/>
  <c r="L67" i="79"/>
  <c r="K67" i="79"/>
  <c r="J67" i="79"/>
  <c r="I67" i="79"/>
  <c r="H67" i="79"/>
  <c r="G67" i="79"/>
  <c r="F67" i="79"/>
  <c r="E67" i="79"/>
  <c r="D67" i="79"/>
  <c r="C67" i="79"/>
  <c r="C63" i="79"/>
  <c r="J9" i="79" s="1"/>
  <c r="AC9" i="79" s="1"/>
  <c r="I54" i="79"/>
  <c r="J54" i="79" s="1"/>
  <c r="G54" i="79"/>
  <c r="H54" i="79" s="1"/>
  <c r="E54" i="79"/>
  <c r="F54" i="79" s="1"/>
  <c r="P49" i="79"/>
  <c r="P48" i="79"/>
  <c r="V47" i="79"/>
  <c r="T47" i="79"/>
  <c r="R47" i="79"/>
  <c r="P47" i="79"/>
  <c r="Q46" i="79"/>
  <c r="Z46" i="79" s="1"/>
  <c r="H46" i="79"/>
  <c r="U46" i="79" s="1"/>
  <c r="Q45" i="79"/>
  <c r="Z45" i="79" s="1"/>
  <c r="Q44" i="79"/>
  <c r="Z44" i="79" s="1"/>
  <c r="Q43" i="79"/>
  <c r="Z43" i="79" s="1"/>
  <c r="K43" i="79"/>
  <c r="D125" i="79" s="1"/>
  <c r="Q42" i="79"/>
  <c r="Z42" i="79" s="1"/>
  <c r="K42" i="79"/>
  <c r="D123" i="79" s="1"/>
  <c r="E123" i="79" s="1"/>
  <c r="F123" i="79" s="1"/>
  <c r="H42" i="79" s="1"/>
  <c r="Q41" i="79"/>
  <c r="Z41" i="79" s="1"/>
  <c r="J41" i="79"/>
  <c r="AC41" i="79" s="1"/>
  <c r="H41" i="79"/>
  <c r="AB41" i="79" s="1"/>
  <c r="F41" i="79"/>
  <c r="AA41" i="79" s="1"/>
  <c r="Q40" i="79"/>
  <c r="Z40" i="79" s="1"/>
  <c r="K40" i="79"/>
  <c r="D119" i="79" s="1"/>
  <c r="E119" i="79" s="1"/>
  <c r="F119" i="79" s="1"/>
  <c r="G119" i="79" s="1"/>
  <c r="H119" i="79" s="1"/>
  <c r="I119" i="79" s="1"/>
  <c r="J119" i="79" s="1"/>
  <c r="K119" i="79" s="1"/>
  <c r="L119" i="79" s="1"/>
  <c r="M119" i="79" s="1"/>
  <c r="Q39" i="79"/>
  <c r="Z39" i="79" s="1"/>
  <c r="K39" i="79"/>
  <c r="D117" i="79" s="1"/>
  <c r="E117" i="79" s="1"/>
  <c r="F117" i="79" s="1"/>
  <c r="G117" i="79" s="1"/>
  <c r="J39" i="79"/>
  <c r="H39" i="79"/>
  <c r="U39" i="79" s="1"/>
  <c r="F39" i="79"/>
  <c r="Q38" i="79"/>
  <c r="Z38" i="79" s="1"/>
  <c r="K38" i="79"/>
  <c r="D115" i="79" s="1"/>
  <c r="J38" i="79" s="1"/>
  <c r="Q37" i="79"/>
  <c r="Z37" i="79" s="1"/>
  <c r="K37" i="79"/>
  <c r="D113" i="79" s="1"/>
  <c r="E113" i="79" s="1"/>
  <c r="F113" i="79" s="1"/>
  <c r="G113" i="79" s="1"/>
  <c r="Q36" i="79"/>
  <c r="Z36" i="79" s="1"/>
  <c r="K36" i="79"/>
  <c r="D110" i="79" s="1"/>
  <c r="E110" i="79" s="1"/>
  <c r="F110" i="79" s="1"/>
  <c r="G110" i="79" s="1"/>
  <c r="H110" i="79" s="1"/>
  <c r="I110" i="79" s="1"/>
  <c r="J110" i="79" s="1"/>
  <c r="K110" i="79" s="1"/>
  <c r="L110" i="79" s="1"/>
  <c r="M110" i="79" s="1"/>
  <c r="J36" i="79"/>
  <c r="H36" i="79"/>
  <c r="U36" i="79" s="1"/>
  <c r="F36" i="79"/>
  <c r="Q35" i="79"/>
  <c r="Z35" i="79" s="1"/>
  <c r="K35" i="79"/>
  <c r="D108" i="79" s="1"/>
  <c r="J35" i="79" s="1"/>
  <c r="Q34" i="79"/>
  <c r="Z34" i="79" s="1"/>
  <c r="K34" i="79"/>
  <c r="D106" i="79" s="1"/>
  <c r="E106" i="79" s="1"/>
  <c r="F106" i="79" s="1"/>
  <c r="G106" i="79" s="1"/>
  <c r="H106" i="79" s="1"/>
  <c r="I106" i="79" s="1"/>
  <c r="J106" i="79" s="1"/>
  <c r="K106" i="79" s="1"/>
  <c r="L106" i="79" s="1"/>
  <c r="M106" i="79" s="1"/>
  <c r="J34" i="79"/>
  <c r="H34" i="79"/>
  <c r="AB34" i="79" s="1"/>
  <c r="F34" i="79"/>
  <c r="Q33" i="79"/>
  <c r="Z33" i="79" s="1"/>
  <c r="Q32" i="79"/>
  <c r="Z32" i="79" s="1"/>
  <c r="K32" i="79"/>
  <c r="D101" i="79" s="1"/>
  <c r="E101" i="79" s="1"/>
  <c r="F101" i="79" s="1"/>
  <c r="H32" i="79" s="1"/>
  <c r="AB32" i="79" s="1"/>
  <c r="Q31" i="79"/>
  <c r="Z31" i="79" s="1"/>
  <c r="Q30" i="79"/>
  <c r="Z30" i="79" s="1"/>
  <c r="J30" i="79"/>
  <c r="W30" i="79" s="1"/>
  <c r="F30" i="79"/>
  <c r="AA30" i="79" s="1"/>
  <c r="Q29" i="79"/>
  <c r="Z29" i="79" s="1"/>
  <c r="Q28" i="79"/>
  <c r="Z28" i="79" s="1"/>
  <c r="H28" i="79"/>
  <c r="AB28" i="79" s="1"/>
  <c r="Q27" i="79"/>
  <c r="Z27" i="79" s="1"/>
  <c r="Q26" i="79"/>
  <c r="Z26" i="79" s="1"/>
  <c r="J26" i="79"/>
  <c r="AC26" i="79" s="1"/>
  <c r="H26" i="79"/>
  <c r="AB26" i="79" s="1"/>
  <c r="F26" i="79"/>
  <c r="AA26" i="79" s="1"/>
  <c r="Q25" i="79"/>
  <c r="Z25" i="79" s="1"/>
  <c r="J25" i="79"/>
  <c r="AC25" i="79" s="1"/>
  <c r="H25" i="79"/>
  <c r="AB25" i="79" s="1"/>
  <c r="F25" i="79"/>
  <c r="AA25" i="79" s="1"/>
  <c r="Q23" i="79"/>
  <c r="Z23" i="79" s="1"/>
  <c r="C23" i="79"/>
  <c r="Q21" i="79"/>
  <c r="Z21" i="79" s="1"/>
  <c r="J21" i="79"/>
  <c r="H21" i="79"/>
  <c r="U21" i="79" s="1"/>
  <c r="F21" i="79"/>
  <c r="C21" i="79"/>
  <c r="Q19" i="79"/>
  <c r="Z19" i="79" s="1"/>
  <c r="C19" i="79"/>
  <c r="Q17" i="79"/>
  <c r="Z17" i="79" s="1"/>
  <c r="C17" i="79"/>
  <c r="Q15" i="79"/>
  <c r="Z15" i="79" s="1"/>
  <c r="C15" i="79"/>
  <c r="Q14" i="79"/>
  <c r="Z14" i="79" s="1"/>
  <c r="Q13" i="79"/>
  <c r="Z13" i="79" s="1"/>
  <c r="J13" i="79"/>
  <c r="AC13" i="79" s="1"/>
  <c r="F13" i="79"/>
  <c r="AA13" i="79" s="1"/>
  <c r="Q12" i="79"/>
  <c r="Z12" i="79" s="1"/>
  <c r="Q11" i="79"/>
  <c r="Z11" i="79" s="1"/>
  <c r="K11" i="79"/>
  <c r="D69" i="79" s="1"/>
  <c r="E69" i="79" s="1"/>
  <c r="F69" i="79" s="1"/>
  <c r="G69" i="79" s="1"/>
  <c r="H69" i="79" s="1"/>
  <c r="I69" i="79" s="1"/>
  <c r="J69" i="79" s="1"/>
  <c r="K69" i="79" s="1"/>
  <c r="L69" i="79" s="1"/>
  <c r="M69" i="79" s="1"/>
  <c r="J11" i="79"/>
  <c r="AC11" i="79" s="1"/>
  <c r="F11" i="79"/>
  <c r="AA11" i="79" s="1"/>
  <c r="H11" i="79"/>
  <c r="Q10" i="79"/>
  <c r="Z10" i="79" s="1"/>
  <c r="K10" i="79"/>
  <c r="D66" i="79" s="1"/>
  <c r="E66" i="79" s="1"/>
  <c r="F66" i="79" s="1"/>
  <c r="G66" i="79" s="1"/>
  <c r="H66" i="79" s="1"/>
  <c r="I66" i="79" s="1"/>
  <c r="J10" i="79"/>
  <c r="AC10" i="79" s="1"/>
  <c r="H10" i="79"/>
  <c r="AB10" i="79" s="1"/>
  <c r="F10" i="79"/>
  <c r="AA10" i="79" s="1"/>
  <c r="Q9" i="79"/>
  <c r="Z9" i="79" s="1"/>
  <c r="J8" i="79"/>
  <c r="AC8" i="79" s="1"/>
  <c r="H8" i="79"/>
  <c r="U8" i="79" s="1"/>
  <c r="F8" i="79"/>
  <c r="AA8" i="79" s="1"/>
  <c r="C6" i="79"/>
  <c r="E6" i="79" s="1"/>
  <c r="K43" i="21"/>
  <c r="K42" i="21"/>
  <c r="K38" i="21"/>
  <c r="K39" i="21"/>
  <c r="K40" i="21"/>
  <c r="K35" i="21"/>
  <c r="K36" i="21"/>
  <c r="K37" i="21"/>
  <c r="K34" i="21"/>
  <c r="K32" i="21"/>
  <c r="K11" i="21"/>
  <c r="K10" i="21"/>
  <c r="C145" i="78"/>
  <c r="K139" i="78" s="1"/>
  <c r="J142" i="78"/>
  <c r="J140" i="78"/>
  <c r="B130" i="78"/>
  <c r="H46" i="78" s="1"/>
  <c r="B128" i="78"/>
  <c r="H45" i="78" s="1"/>
  <c r="B126" i="78"/>
  <c r="H44" i="78" s="1"/>
  <c r="D125" i="78"/>
  <c r="E125" i="78" s="1"/>
  <c r="F125" i="78" s="1"/>
  <c r="G125" i="78" s="1"/>
  <c r="D123" i="78"/>
  <c r="E123" i="78" s="1"/>
  <c r="F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D113" i="78"/>
  <c r="E113" i="78" s="1"/>
  <c r="F113" i="78" s="1"/>
  <c r="G113" i="78" s="1"/>
  <c r="H37" i="78" s="1"/>
  <c r="H111" i="78"/>
  <c r="G111" i="78"/>
  <c r="F111" i="78"/>
  <c r="E111" i="78"/>
  <c r="D111" i="78"/>
  <c r="C111" i="78"/>
  <c r="D110" i="78"/>
  <c r="E110" i="78" s="1"/>
  <c r="F110" i="78" s="1"/>
  <c r="G110" i="78" s="1"/>
  <c r="H110" i="78" s="1"/>
  <c r="I110" i="78" s="1"/>
  <c r="J110" i="78" s="1"/>
  <c r="K110" i="78" s="1"/>
  <c r="L110" i="78" s="1"/>
  <c r="M110" i="78" s="1"/>
  <c r="D108" i="78"/>
  <c r="D106" i="78"/>
  <c r="E106" i="78" s="1"/>
  <c r="F106" i="78" s="1"/>
  <c r="G106" i="78" s="1"/>
  <c r="H106" i="78" s="1"/>
  <c r="I106" i="78" s="1"/>
  <c r="J106" i="78" s="1"/>
  <c r="K106" i="78" s="1"/>
  <c r="L106" i="78" s="1"/>
  <c r="M106" i="78" s="1"/>
  <c r="D104" i="78"/>
  <c r="E104" i="78" s="1"/>
  <c r="F104" i="78" s="1"/>
  <c r="G104" i="78" s="1"/>
  <c r="D103" i="78"/>
  <c r="M102" i="78"/>
  <c r="L102" i="78"/>
  <c r="K102" i="78"/>
  <c r="J102" i="78"/>
  <c r="I102" i="78"/>
  <c r="H102" i="78"/>
  <c r="D101" i="78"/>
  <c r="E101" i="78" s="1"/>
  <c r="F101" i="78" s="1"/>
  <c r="B98" i="78"/>
  <c r="H31" i="78" s="1"/>
  <c r="AB31" i="78" s="1"/>
  <c r="B96" i="78"/>
  <c r="H30" i="78" s="1"/>
  <c r="AB30" i="78" s="1"/>
  <c r="B94" i="78"/>
  <c r="H29" i="78" s="1"/>
  <c r="AB29" i="78" s="1"/>
  <c r="B92" i="78"/>
  <c r="J28" i="78" s="1"/>
  <c r="AC28" i="78" s="1"/>
  <c r="B90" i="78"/>
  <c r="H27" i="78" s="1"/>
  <c r="AB27" i="78" s="1"/>
  <c r="D89" i="78"/>
  <c r="E89" i="78" s="1"/>
  <c r="F89" i="78" s="1"/>
  <c r="G89" i="78" s="1"/>
  <c r="H89" i="78" s="1"/>
  <c r="I89" i="78" s="1"/>
  <c r="J89" i="78" s="1"/>
  <c r="K89" i="78" s="1"/>
  <c r="L89" i="78" s="1"/>
  <c r="M89" i="78" s="1"/>
  <c r="M87" i="78"/>
  <c r="L87" i="78"/>
  <c r="K87" i="78"/>
  <c r="J87" i="78"/>
  <c r="I87" i="78"/>
  <c r="H87" i="78"/>
  <c r="G87" i="78"/>
  <c r="F87" i="78"/>
  <c r="E87" i="78"/>
  <c r="D87" i="78"/>
  <c r="B74" i="78"/>
  <c r="J14" i="78" s="1"/>
  <c r="AC14" i="78" s="1"/>
  <c r="B72" i="78"/>
  <c r="J13" i="78" s="1"/>
  <c r="AC13" i="78" s="1"/>
  <c r="B70" i="78"/>
  <c r="J12" i="78" s="1"/>
  <c r="AC12" i="78" s="1"/>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H9" i="78" s="1"/>
  <c r="U9" i="78" s="1"/>
  <c r="I54" i="78"/>
  <c r="J54" i="78" s="1"/>
  <c r="G54" i="78"/>
  <c r="H54" i="78" s="1"/>
  <c r="E54" i="78"/>
  <c r="F54" i="78" s="1"/>
  <c r="P49" i="78"/>
  <c r="P48" i="78"/>
  <c r="V47" i="78"/>
  <c r="T47" i="78"/>
  <c r="R47" i="78"/>
  <c r="P47" i="78"/>
  <c r="Q46" i="78"/>
  <c r="Z46" i="78" s="1"/>
  <c r="F46" i="78"/>
  <c r="AA46" i="78" s="1"/>
  <c r="Q45" i="78"/>
  <c r="Z45" i="78" s="1"/>
  <c r="Q44" i="78"/>
  <c r="Z44" i="78" s="1"/>
  <c r="F44" i="78"/>
  <c r="AA44" i="78" s="1"/>
  <c r="Q43" i="78"/>
  <c r="Z43" i="78" s="1"/>
  <c r="J43" i="78"/>
  <c r="AC43" i="78" s="1"/>
  <c r="Q42" i="78"/>
  <c r="Z42" i="78" s="1"/>
  <c r="H42" i="78"/>
  <c r="AB42" i="78" s="1"/>
  <c r="F42" i="78"/>
  <c r="AA42" i="78" s="1"/>
  <c r="Q41" i="78"/>
  <c r="Z41" i="78" s="1"/>
  <c r="J41" i="78"/>
  <c r="W41" i="78" s="1"/>
  <c r="H41" i="78"/>
  <c r="AB41" i="78" s="1"/>
  <c r="F41" i="78"/>
  <c r="AA41" i="78" s="1"/>
  <c r="Q40" i="78"/>
  <c r="Z40" i="78" s="1"/>
  <c r="F40" i="78"/>
  <c r="AA40" i="78" s="1"/>
  <c r="Q39" i="78"/>
  <c r="Z39" i="78" s="1"/>
  <c r="J39" i="78"/>
  <c r="AC39" i="78" s="1"/>
  <c r="H39" i="78"/>
  <c r="AB39" i="78" s="1"/>
  <c r="F39" i="78"/>
  <c r="AA39" i="78" s="1"/>
  <c r="Q38" i="78"/>
  <c r="Z38" i="78" s="1"/>
  <c r="H38" i="78"/>
  <c r="AB38" i="78" s="1"/>
  <c r="Q37" i="78"/>
  <c r="Z37" i="78" s="1"/>
  <c r="F37" i="78"/>
  <c r="AA37" i="78" s="1"/>
  <c r="Q36" i="78"/>
  <c r="Z36" i="78" s="1"/>
  <c r="J36" i="78"/>
  <c r="AC36" i="78" s="1"/>
  <c r="H36" i="78"/>
  <c r="AB36" i="78" s="1"/>
  <c r="F36" i="78"/>
  <c r="AA36" i="78" s="1"/>
  <c r="Q35" i="78"/>
  <c r="Z35" i="78" s="1"/>
  <c r="F35" i="78"/>
  <c r="AA35" i="78" s="1"/>
  <c r="Q34" i="78"/>
  <c r="Z34" i="78" s="1"/>
  <c r="J34" i="78"/>
  <c r="AC34" i="78" s="1"/>
  <c r="H34" i="78"/>
  <c r="AB34" i="78" s="1"/>
  <c r="F34" i="78"/>
  <c r="AA34" i="78" s="1"/>
  <c r="Q33" i="78"/>
  <c r="Z33" i="78" s="1"/>
  <c r="Q32" i="78"/>
  <c r="Z32" i="78" s="1"/>
  <c r="Q31" i="78"/>
  <c r="Z31" i="78" s="1"/>
  <c r="Q30" i="78"/>
  <c r="Z30" i="78" s="1"/>
  <c r="J30" i="78"/>
  <c r="W30" i="78" s="1"/>
  <c r="F30" i="78"/>
  <c r="AA30" i="78" s="1"/>
  <c r="Q29" i="78"/>
  <c r="Z29" i="78" s="1"/>
  <c r="Q28" i="78"/>
  <c r="Z28" i="78" s="1"/>
  <c r="H28" i="78"/>
  <c r="AB28" i="78" s="1"/>
  <c r="Q27" i="78"/>
  <c r="Z27" i="78" s="1"/>
  <c r="Q26" i="78"/>
  <c r="Z26" i="78" s="1"/>
  <c r="J26" i="78"/>
  <c r="W26" i="78" s="1"/>
  <c r="H26" i="78"/>
  <c r="AB26" i="78" s="1"/>
  <c r="F26" i="78"/>
  <c r="AA26" i="78" s="1"/>
  <c r="Q25" i="78"/>
  <c r="Z25" i="78" s="1"/>
  <c r="J25" i="78"/>
  <c r="AC25" i="78" s="1"/>
  <c r="H25" i="78"/>
  <c r="U25" i="78" s="1"/>
  <c r="F25" i="78"/>
  <c r="AA25" i="78" s="1"/>
  <c r="Q23" i="78"/>
  <c r="Z23" i="78" s="1"/>
  <c r="K23" i="78"/>
  <c r="D85" i="78" s="1"/>
  <c r="E85" i="78" s="1"/>
  <c r="F23" i="78" s="1"/>
  <c r="AA23" i="78" s="1"/>
  <c r="C23" i="78"/>
  <c r="Q21" i="78"/>
  <c r="Z21" i="78" s="1"/>
  <c r="K21" i="78"/>
  <c r="D83" i="78" s="1"/>
  <c r="E83" i="78" s="1"/>
  <c r="F83" i="78" s="1"/>
  <c r="G83" i="78" s="1"/>
  <c r="J21" i="78"/>
  <c r="H21" i="78"/>
  <c r="AB21" i="78" s="1"/>
  <c r="F21" i="78"/>
  <c r="C21" i="78"/>
  <c r="Q19" i="78"/>
  <c r="Z19" i="78" s="1"/>
  <c r="K19" i="78"/>
  <c r="D81" i="78" s="1"/>
  <c r="E81" i="78" s="1"/>
  <c r="C19" i="78"/>
  <c r="Q17" i="78"/>
  <c r="Z17" i="78" s="1"/>
  <c r="K17" i="78"/>
  <c r="D79" i="78" s="1"/>
  <c r="E79" i="78" s="1"/>
  <c r="C17" i="78"/>
  <c r="Q15" i="78"/>
  <c r="Z15" i="78" s="1"/>
  <c r="K15" i="78"/>
  <c r="D77" i="78" s="1"/>
  <c r="E77" i="78" s="1"/>
  <c r="C15" i="78"/>
  <c r="Q14" i="78"/>
  <c r="Z14" i="78" s="1"/>
  <c r="H14" i="78"/>
  <c r="U14" i="78" s="1"/>
  <c r="Q13" i="78"/>
  <c r="Z13" i="78" s="1"/>
  <c r="H13" i="78"/>
  <c r="AB13" i="78" s="1"/>
  <c r="Q12" i="78"/>
  <c r="Z12" i="78" s="1"/>
  <c r="H12" i="78"/>
  <c r="AB12" i="78" s="1"/>
  <c r="Q11" i="78"/>
  <c r="Z11" i="78" s="1"/>
  <c r="J11" i="78"/>
  <c r="AC11" i="78" s="1"/>
  <c r="F11" i="78"/>
  <c r="AA11" i="78" s="1"/>
  <c r="H11" i="78"/>
  <c r="Q10" i="78"/>
  <c r="Z10" i="78" s="1"/>
  <c r="J10" i="78"/>
  <c r="W10" i="78" s="1"/>
  <c r="H10" i="78"/>
  <c r="AB10" i="78" s="1"/>
  <c r="F10" i="78"/>
  <c r="AA10" i="78" s="1"/>
  <c r="Q9" i="78"/>
  <c r="Z9" i="78" s="1"/>
  <c r="J9" i="78"/>
  <c r="F9" i="78"/>
  <c r="J8" i="78"/>
  <c r="AC8" i="78" s="1"/>
  <c r="H8" i="78"/>
  <c r="U8" i="78" s="1"/>
  <c r="F8" i="78"/>
  <c r="AA8" i="78" s="1"/>
  <c r="C6" i="78"/>
  <c r="E6" i="78" s="1"/>
  <c r="G6" i="78" s="1"/>
  <c r="E38" i="39"/>
  <c r="E46" i="39"/>
  <c r="I46" i="39"/>
  <c r="G46" i="39"/>
  <c r="D104" i="21"/>
  <c r="E104" i="21" s="1"/>
  <c r="F104" i="21" s="1"/>
  <c r="G104" i="21" s="1"/>
  <c r="D103" i="21"/>
  <c r="E103" i="21" s="1"/>
  <c r="F103" i="21" s="1"/>
  <c r="G103" i="21" s="1"/>
  <c r="D2" i="78"/>
  <c r="D2" i="79"/>
  <c r="F43" i="78" l="1"/>
  <c r="AA43" i="78" s="1"/>
  <c r="J40" i="78"/>
  <c r="AC40" i="78" s="1"/>
  <c r="H43" i="78"/>
  <c r="AB43" i="78" s="1"/>
  <c r="J44" i="78"/>
  <c r="AC44" i="78" s="1"/>
  <c r="J46" i="78"/>
  <c r="AC46" i="78" s="1"/>
  <c r="F28" i="79"/>
  <c r="AA28" i="79" s="1"/>
  <c r="H44" i="79"/>
  <c r="U44" i="79" s="1"/>
  <c r="F42" i="79"/>
  <c r="AA42" i="79" s="1"/>
  <c r="S10" i="79"/>
  <c r="AB21" i="79"/>
  <c r="F35" i="79"/>
  <c r="H38" i="79"/>
  <c r="AB38" i="79" s="1"/>
  <c r="AC41" i="78"/>
  <c r="K143" i="78"/>
  <c r="AC30" i="79"/>
  <c r="AB39" i="79"/>
  <c r="K143" i="79"/>
  <c r="AC10" i="78"/>
  <c r="AC30" i="78"/>
  <c r="F12" i="78"/>
  <c r="AA12" i="78" s="1"/>
  <c r="F14" i="78"/>
  <c r="AA14" i="78" s="1"/>
  <c r="AC26" i="78"/>
  <c r="F28" i="78"/>
  <c r="AA28" i="78" s="1"/>
  <c r="H40" i="78"/>
  <c r="U40" i="78" s="1"/>
  <c r="J45" i="78"/>
  <c r="AC45" i="78" s="1"/>
  <c r="H9" i="79"/>
  <c r="AB9" i="79" s="1"/>
  <c r="H12" i="79"/>
  <c r="AB12" i="79" s="1"/>
  <c r="H14" i="79"/>
  <c r="AB14" i="79" s="1"/>
  <c r="U25" i="79"/>
  <c r="H40" i="79"/>
  <c r="AB40" i="79" s="1"/>
  <c r="J45" i="79"/>
  <c r="AC45" i="79" s="1"/>
  <c r="K23" i="21"/>
  <c r="AB44" i="78"/>
  <c r="U44" i="78"/>
  <c r="AB46" i="78"/>
  <c r="U46" i="78"/>
  <c r="W8" i="78"/>
  <c r="AB14" i="78"/>
  <c r="K17" i="21"/>
  <c r="G6" i="79"/>
  <c r="I6" i="79"/>
  <c r="W8" i="79"/>
  <c r="K23" i="79"/>
  <c r="D85" i="79" s="1"/>
  <c r="E85" i="79" s="1"/>
  <c r="F23" i="79" s="1"/>
  <c r="AA23" i="79" s="1"/>
  <c r="W26" i="79"/>
  <c r="U34" i="79"/>
  <c r="U38" i="79"/>
  <c r="W41" i="79"/>
  <c r="AB44" i="79"/>
  <c r="AB46" i="79"/>
  <c r="E115" i="79"/>
  <c r="F115" i="79" s="1"/>
  <c r="G115" i="79" s="1"/>
  <c r="H115" i="79" s="1"/>
  <c r="I115" i="79" s="1"/>
  <c r="J115" i="79" s="1"/>
  <c r="K115" i="79" s="1"/>
  <c r="L115" i="79" s="1"/>
  <c r="M115" i="79" s="1"/>
  <c r="AB9" i="78"/>
  <c r="U21" i="78"/>
  <c r="AB25" i="78"/>
  <c r="AB40" i="78"/>
  <c r="S8" i="78"/>
  <c r="F13" i="78"/>
  <c r="AA13" i="78" s="1"/>
  <c r="F38" i="78"/>
  <c r="AA38" i="78" s="1"/>
  <c r="J38" i="78"/>
  <c r="AC38" i="78" s="1"/>
  <c r="K15" i="21"/>
  <c r="K21" i="21"/>
  <c r="S8" i="79"/>
  <c r="F9" i="79"/>
  <c r="AA9" i="79" s="1"/>
  <c r="W10" i="79"/>
  <c r="F12" i="79"/>
  <c r="AA12" i="79" s="1"/>
  <c r="F14" i="79"/>
  <c r="AA14" i="79" s="1"/>
  <c r="K15" i="79"/>
  <c r="D77" i="79" s="1"/>
  <c r="E77" i="79" s="1"/>
  <c r="K21" i="79"/>
  <c r="D83" i="79" s="1"/>
  <c r="E83" i="79" s="1"/>
  <c r="F83" i="79" s="1"/>
  <c r="G83" i="79" s="1"/>
  <c r="F38" i="79"/>
  <c r="S38" i="79" s="1"/>
  <c r="F40" i="79"/>
  <c r="J40" i="79"/>
  <c r="W40" i="79" s="1"/>
  <c r="F44" i="79"/>
  <c r="AA44" i="79" s="1"/>
  <c r="F46" i="79"/>
  <c r="AA46" i="79" s="1"/>
  <c r="K19" i="21"/>
  <c r="K17" i="79"/>
  <c r="D79" i="79" s="1"/>
  <c r="E79" i="79" s="1"/>
  <c r="F79" i="79" s="1"/>
  <c r="G79" i="79" s="1"/>
  <c r="K19" i="79"/>
  <c r="D81" i="79" s="1"/>
  <c r="E81" i="79" s="1"/>
  <c r="F81" i="79" s="1"/>
  <c r="F32" i="79"/>
  <c r="AA32" i="79" s="1"/>
  <c r="AB36" i="79"/>
  <c r="S42" i="79"/>
  <c r="AB11" i="79"/>
  <c r="U11" i="79"/>
  <c r="H113" i="79"/>
  <c r="H37" i="79"/>
  <c r="J37" i="79"/>
  <c r="F37" i="79"/>
  <c r="G123" i="79"/>
  <c r="H123" i="79" s="1"/>
  <c r="I123" i="79" s="1"/>
  <c r="J123" i="79" s="1"/>
  <c r="K123" i="79" s="1"/>
  <c r="L123" i="79" s="1"/>
  <c r="M123" i="79" s="1"/>
  <c r="J42" i="79"/>
  <c r="AB8" i="79"/>
  <c r="S9" i="79"/>
  <c r="W9" i="79"/>
  <c r="S12" i="79"/>
  <c r="W12" i="79"/>
  <c r="U13" i="79"/>
  <c r="S14" i="79"/>
  <c r="W14" i="79"/>
  <c r="AA21" i="79"/>
  <c r="S21" i="79"/>
  <c r="AC21" i="79"/>
  <c r="W21" i="79"/>
  <c r="U29" i="79"/>
  <c r="U32" i="79"/>
  <c r="AC35" i="79"/>
  <c r="W35" i="79"/>
  <c r="AA36" i="79"/>
  <c r="S36" i="79"/>
  <c r="AC36" i="79"/>
  <c r="W36" i="79"/>
  <c r="AB42" i="79"/>
  <c r="U42" i="79"/>
  <c r="E125" i="79"/>
  <c r="F125" i="79" s="1"/>
  <c r="G125" i="79" s="1"/>
  <c r="J43" i="79"/>
  <c r="F43" i="79"/>
  <c r="J27" i="79"/>
  <c r="F27" i="79"/>
  <c r="J29" i="79"/>
  <c r="F29" i="79"/>
  <c r="J31" i="79"/>
  <c r="F31" i="79"/>
  <c r="E103" i="79"/>
  <c r="D102" i="79" s="1"/>
  <c r="C102" i="79"/>
  <c r="AB45" i="79"/>
  <c r="U45" i="79"/>
  <c r="K141" i="79"/>
  <c r="U10" i="79"/>
  <c r="S11" i="79"/>
  <c r="W11" i="79"/>
  <c r="U12" i="79"/>
  <c r="S13" i="79"/>
  <c r="W13" i="79"/>
  <c r="H23" i="79"/>
  <c r="S26" i="79"/>
  <c r="H27" i="79"/>
  <c r="W28" i="79"/>
  <c r="S30" i="79"/>
  <c r="H31" i="79"/>
  <c r="J32" i="79"/>
  <c r="AA34" i="79"/>
  <c r="S34" i="79"/>
  <c r="AC34" i="79"/>
  <c r="W34" i="79"/>
  <c r="AA35" i="79"/>
  <c r="S35" i="79"/>
  <c r="E108" i="79"/>
  <c r="F108" i="79" s="1"/>
  <c r="G108" i="79" s="1"/>
  <c r="H108" i="79" s="1"/>
  <c r="I108" i="79" s="1"/>
  <c r="J108" i="79" s="1"/>
  <c r="K108" i="79" s="1"/>
  <c r="L108" i="79" s="1"/>
  <c r="M108" i="79" s="1"/>
  <c r="H35" i="79"/>
  <c r="AC38" i="79"/>
  <c r="W38" i="79"/>
  <c r="AA39" i="79"/>
  <c r="S39" i="79"/>
  <c r="AC39" i="79"/>
  <c r="W39" i="79"/>
  <c r="AA40" i="79"/>
  <c r="S40" i="79"/>
  <c r="AC40" i="79"/>
  <c r="S41" i="79"/>
  <c r="H43" i="79"/>
  <c r="F45" i="79"/>
  <c r="W45" i="79"/>
  <c r="G101" i="79"/>
  <c r="H101" i="79" s="1"/>
  <c r="I101" i="79" s="1"/>
  <c r="J101" i="79" s="1"/>
  <c r="K101" i="79" s="1"/>
  <c r="L101" i="79" s="1"/>
  <c r="M101" i="79" s="1"/>
  <c r="S25" i="79"/>
  <c r="W25" i="79"/>
  <c r="U26" i="79"/>
  <c r="U28" i="79"/>
  <c r="U30" i="79"/>
  <c r="U41" i="79"/>
  <c r="S44" i="79"/>
  <c r="W44" i="79"/>
  <c r="W46" i="79"/>
  <c r="K145" i="79"/>
  <c r="K144" i="79"/>
  <c r="G123" i="78"/>
  <c r="H123" i="78" s="1"/>
  <c r="I123" i="78" s="1"/>
  <c r="J123" i="78" s="1"/>
  <c r="K123" i="78" s="1"/>
  <c r="L123" i="78" s="1"/>
  <c r="M123" i="78" s="1"/>
  <c r="J42" i="78"/>
  <c r="AC42" i="78" s="1"/>
  <c r="W11" i="78"/>
  <c r="AB8" i="78"/>
  <c r="AA9" i="78"/>
  <c r="S9" i="78"/>
  <c r="AC9" i="78"/>
  <c r="W9" i="78"/>
  <c r="AA21" i="78"/>
  <c r="S21" i="78"/>
  <c r="AC21" i="78"/>
  <c r="W21" i="78"/>
  <c r="S23" i="78"/>
  <c r="S28" i="78"/>
  <c r="U29" i="78"/>
  <c r="S39" i="78"/>
  <c r="S43" i="78"/>
  <c r="F79" i="78"/>
  <c r="E108" i="78"/>
  <c r="F108" i="78" s="1"/>
  <c r="G108" i="78" s="1"/>
  <c r="H108" i="78" s="1"/>
  <c r="I108" i="78" s="1"/>
  <c r="J108" i="78" s="1"/>
  <c r="K108" i="78" s="1"/>
  <c r="L108" i="78" s="1"/>
  <c r="M108" i="78" s="1"/>
  <c r="H35" i="78"/>
  <c r="AB37" i="78"/>
  <c r="U37" i="78"/>
  <c r="AB45" i="78"/>
  <c r="U45" i="78"/>
  <c r="K141" i="78"/>
  <c r="S10" i="78"/>
  <c r="AB11" i="78"/>
  <c r="U11" i="78"/>
  <c r="S11" i="78"/>
  <c r="U12" i="78"/>
  <c r="W13" i="78"/>
  <c r="H23" i="78"/>
  <c r="S26" i="78"/>
  <c r="U27" i="78"/>
  <c r="W28" i="78"/>
  <c r="S30" i="78"/>
  <c r="U31" i="78"/>
  <c r="U34" i="78"/>
  <c r="J35" i="78"/>
  <c r="S35" i="78"/>
  <c r="U36" i="78"/>
  <c r="J37" i="78"/>
  <c r="S37" i="78"/>
  <c r="U38" i="78"/>
  <c r="W39" i="78"/>
  <c r="S41" i="78"/>
  <c r="U42" i="78"/>
  <c r="W43" i="78"/>
  <c r="F45" i="78"/>
  <c r="W45" i="78"/>
  <c r="F77" i="78"/>
  <c r="F81" i="78"/>
  <c r="F85" i="78"/>
  <c r="J27" i="78"/>
  <c r="F27" i="78"/>
  <c r="J29" i="78"/>
  <c r="F29" i="78"/>
  <c r="J31" i="78"/>
  <c r="F31" i="78"/>
  <c r="G101" i="78"/>
  <c r="H113" i="78"/>
  <c r="U10" i="78"/>
  <c r="W12" i="78"/>
  <c r="U13" i="78"/>
  <c r="S14" i="78"/>
  <c r="W14" i="78"/>
  <c r="S25" i="78"/>
  <c r="W25" i="78"/>
  <c r="U26" i="78"/>
  <c r="U28" i="78"/>
  <c r="U30" i="78"/>
  <c r="S34" i="78"/>
  <c r="W34" i="78"/>
  <c r="S36" i="78"/>
  <c r="W36" i="78"/>
  <c r="S38" i="78"/>
  <c r="U39" i="78"/>
  <c r="S40" i="78"/>
  <c r="W40" i="78"/>
  <c r="U41" i="78"/>
  <c r="S42" i="78"/>
  <c r="U43" i="78"/>
  <c r="S44" i="78"/>
  <c r="S46" i="78"/>
  <c r="W46" i="78"/>
  <c r="E103" i="78"/>
  <c r="C102" i="78"/>
  <c r="K145" i="78"/>
  <c r="K144" i="78"/>
  <c r="D118" i="39"/>
  <c r="E118" i="39" s="1"/>
  <c r="F118" i="39" s="1"/>
  <c r="G118" i="39" s="1"/>
  <c r="H118" i="39" s="1"/>
  <c r="I118" i="39" s="1"/>
  <c r="J118" i="39" s="1"/>
  <c r="D117" i="39"/>
  <c r="E117" i="39" s="1"/>
  <c r="F117" i="39" s="1"/>
  <c r="G117" i="39" s="1"/>
  <c r="H117" i="39" s="1"/>
  <c r="I117" i="39" s="1"/>
  <c r="J117" i="39" s="1"/>
  <c r="C6" i="21"/>
  <c r="E6" i="21" s="1"/>
  <c r="G6" i="21" s="1"/>
  <c r="I6" i="21" s="1"/>
  <c r="I38" i="39"/>
  <c r="G38" i="39"/>
  <c r="C38" i="39"/>
  <c r="S12" i="78" l="1"/>
  <c r="AA38" i="79"/>
  <c r="U14" i="79"/>
  <c r="F85" i="79"/>
  <c r="G85" i="79" s="1"/>
  <c r="W44" i="78"/>
  <c r="W38" i="78"/>
  <c r="S13" i="78"/>
  <c r="S46" i="79"/>
  <c r="U9" i="79"/>
  <c r="S28" i="79"/>
  <c r="U40" i="79"/>
  <c r="S23" i="79"/>
  <c r="F77" i="79"/>
  <c r="H15" i="79" s="1"/>
  <c r="F17" i="79"/>
  <c r="AA17" i="79" s="1"/>
  <c r="J17" i="79"/>
  <c r="AC17" i="79" s="1"/>
  <c r="H17" i="79"/>
  <c r="AB17" i="79" s="1"/>
  <c r="G81" i="79"/>
  <c r="H19" i="79"/>
  <c r="S32" i="79"/>
  <c r="AB43" i="79"/>
  <c r="U43" i="79"/>
  <c r="AB35" i="79"/>
  <c r="U35" i="79"/>
  <c r="AC32" i="79"/>
  <c r="W32" i="79"/>
  <c r="AB27" i="79"/>
  <c r="U27" i="79"/>
  <c r="AB23" i="79"/>
  <c r="U23" i="79"/>
  <c r="F103" i="79"/>
  <c r="AC31" i="79"/>
  <c r="W31" i="79"/>
  <c r="AC29" i="79"/>
  <c r="W29" i="79"/>
  <c r="AC27" i="79"/>
  <c r="W27" i="79"/>
  <c r="AA43" i="79"/>
  <c r="S43" i="79"/>
  <c r="AA37" i="79"/>
  <c r="S37" i="79"/>
  <c r="AB37" i="79"/>
  <c r="U37" i="79"/>
  <c r="AA45" i="79"/>
  <c r="S45" i="79"/>
  <c r="AB31" i="79"/>
  <c r="U31" i="79"/>
  <c r="AA31" i="79"/>
  <c r="S31" i="79"/>
  <c r="AA29" i="79"/>
  <c r="S29" i="79"/>
  <c r="AA27" i="79"/>
  <c r="S27" i="79"/>
  <c r="J23" i="79"/>
  <c r="AC43" i="79"/>
  <c r="W43" i="79"/>
  <c r="AC42" i="79"/>
  <c r="W42" i="79"/>
  <c r="AC37" i="79"/>
  <c r="W37" i="79"/>
  <c r="W42" i="78"/>
  <c r="H101" i="78"/>
  <c r="D102" i="78"/>
  <c r="F103" i="78"/>
  <c r="AA31" i="78"/>
  <c r="S31" i="78"/>
  <c r="AA29" i="78"/>
  <c r="S29" i="78"/>
  <c r="AA27" i="78"/>
  <c r="S27" i="78"/>
  <c r="G85" i="78"/>
  <c r="J23" i="78"/>
  <c r="G77" i="78"/>
  <c r="F15" i="78"/>
  <c r="H15" i="78"/>
  <c r="AC37" i="78"/>
  <c r="W37" i="78"/>
  <c r="AB23" i="78"/>
  <c r="U23" i="78"/>
  <c r="J15" i="78"/>
  <c r="AC31" i="78"/>
  <c r="W31" i="78"/>
  <c r="AC29" i="78"/>
  <c r="W29" i="78"/>
  <c r="AC27" i="78"/>
  <c r="W27" i="78"/>
  <c r="G81" i="78"/>
  <c r="AA45" i="78"/>
  <c r="S45" i="78"/>
  <c r="AC35" i="78"/>
  <c r="W35" i="78"/>
  <c r="AB35" i="78"/>
  <c r="U35" i="78"/>
  <c r="G79" i="78"/>
  <c r="H17" i="78" s="1"/>
  <c r="N14" i="1"/>
  <c r="N7" i="1"/>
  <c r="I13" i="6"/>
  <c r="AD13" i="6"/>
  <c r="S17" i="79" l="1"/>
  <c r="U17" i="79"/>
  <c r="AB15" i="79"/>
  <c r="U15" i="79"/>
  <c r="F15" i="79"/>
  <c r="J15" i="79"/>
  <c r="G77" i="79"/>
  <c r="W17" i="79"/>
  <c r="F19" i="79"/>
  <c r="J19" i="79"/>
  <c r="AB19" i="79"/>
  <c r="U19" i="79"/>
  <c r="AC23" i="79"/>
  <c r="W23" i="79"/>
  <c r="G103" i="79"/>
  <c r="G102" i="79" s="1"/>
  <c r="H33" i="79"/>
  <c r="J33" i="79"/>
  <c r="F33" i="79"/>
  <c r="E102" i="79"/>
  <c r="I101" i="78"/>
  <c r="J101" i="78" s="1"/>
  <c r="K101" i="78" s="1"/>
  <c r="L101" i="78" s="1"/>
  <c r="M101" i="78" s="1"/>
  <c r="AB17" i="78"/>
  <c r="U17" i="78"/>
  <c r="F19" i="78"/>
  <c r="J19" i="78"/>
  <c r="AB15" i="78"/>
  <c r="U15" i="78"/>
  <c r="F17" i="78"/>
  <c r="J17" i="78"/>
  <c r="H19" i="78"/>
  <c r="AC15" i="78"/>
  <c r="W15" i="78"/>
  <c r="AA15" i="78"/>
  <c r="S15" i="78"/>
  <c r="AC23" i="78"/>
  <c r="W23" i="78"/>
  <c r="G103" i="78"/>
  <c r="G102" i="78" s="1"/>
  <c r="J33" i="78"/>
  <c r="F102" i="78"/>
  <c r="F33" i="78"/>
  <c r="H33" i="78"/>
  <c r="E102" i="78"/>
  <c r="F102" i="79" l="1"/>
  <c r="AC15" i="79"/>
  <c r="W15" i="79"/>
  <c r="S15" i="79"/>
  <c r="AA15" i="79"/>
  <c r="W19" i="79"/>
  <c r="AC19" i="79"/>
  <c r="AA19" i="79"/>
  <c r="S19" i="79"/>
  <c r="H32" i="78"/>
  <c r="U32" i="78" s="1"/>
  <c r="F32" i="78"/>
  <c r="S32" i="78" s="1"/>
  <c r="J32" i="78"/>
  <c r="AC32" i="78" s="1"/>
  <c r="AC33" i="79"/>
  <c r="W33" i="79"/>
  <c r="AA33" i="79"/>
  <c r="S33" i="79"/>
  <c r="AB33" i="79"/>
  <c r="U33" i="79"/>
  <c r="W32" i="78"/>
  <c r="AA33" i="78"/>
  <c r="S33" i="78"/>
  <c r="AC33" i="78"/>
  <c r="W33" i="78"/>
  <c r="AC17" i="78"/>
  <c r="W17" i="78"/>
  <c r="AC19" i="78"/>
  <c r="W19" i="78"/>
  <c r="AB33" i="78"/>
  <c r="U33" i="78"/>
  <c r="AB19" i="78"/>
  <c r="U19" i="78"/>
  <c r="AA17" i="78"/>
  <c r="S17" i="78"/>
  <c r="AA19" i="78"/>
  <c r="S19" i="78"/>
  <c r="D71" i="39"/>
  <c r="E71" i="39" s="1"/>
  <c r="F71" i="39" s="1"/>
  <c r="G71" i="39" s="1"/>
  <c r="H71" i="39" s="1"/>
  <c r="I71" i="39" s="1"/>
  <c r="J71" i="39" s="1"/>
  <c r="K71" i="39" s="1"/>
  <c r="L71" i="39" s="1"/>
  <c r="M71" i="39" s="1"/>
  <c r="N71" i="39" s="1"/>
  <c r="O71" i="39" s="1"/>
  <c r="I7" i="39"/>
  <c r="G7" i="39"/>
  <c r="E7" i="39"/>
  <c r="C11" i="4"/>
  <c r="I5" i="39"/>
  <c r="G5" i="39"/>
  <c r="E5" i="39"/>
  <c r="B6" i="4"/>
  <c r="D3" i="4"/>
  <c r="I6" i="39"/>
  <c r="G6" i="39"/>
  <c r="E6" i="39"/>
  <c r="C5" i="39"/>
  <c r="AB32" i="78" l="1"/>
  <c r="C5" i="79"/>
  <c r="C5" i="78"/>
  <c r="C5" i="21"/>
  <c r="AA32" i="78"/>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Q12" i="71"/>
  <c r="P12" i="71"/>
  <c r="E11" i="71"/>
  <c r="E10" i="71" s="1"/>
  <c r="O12" i="71"/>
  <c r="N12"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B16" i="72" s="1"/>
  <c r="A20" i="51"/>
  <c r="B15" i="72" s="1"/>
  <c r="A14" i="62"/>
  <c r="B60" i="72" s="1"/>
  <c r="A13" i="62"/>
  <c r="B59" i="72" s="1"/>
  <c r="A19" i="62"/>
  <c r="B65" i="72" s="1"/>
  <c r="A12" i="62"/>
  <c r="B58" i="72" s="1"/>
  <c r="A120" i="9"/>
  <c r="A6" i="52" s="1"/>
  <c r="B57" i="72" s="1"/>
  <c r="H2" i="52"/>
  <c r="A1" i="52"/>
  <c r="A3" i="53"/>
  <c r="Q13" i="71"/>
  <c r="P13" i="71"/>
  <c r="O13" i="71"/>
  <c r="N13" i="71"/>
  <c r="A15" i="51"/>
  <c r="B12" i="72" s="1"/>
  <c r="C76" i="9"/>
  <c r="I107" i="40"/>
  <c r="K6" i="4"/>
  <c r="M56" i="9" s="1"/>
  <c r="B22" i="31"/>
  <c r="N56" i="9"/>
  <c r="E15" i="74"/>
  <c r="F15" i="74"/>
  <c r="E17" i="74"/>
  <c r="F17" i="74"/>
  <c r="E18" i="74"/>
  <c r="F18" i="74"/>
  <c r="E19" i="74"/>
  <c r="F19" i="74"/>
  <c r="E20" i="74"/>
  <c r="F20" i="74"/>
  <c r="E21" i="74"/>
  <c r="F21" i="74"/>
  <c r="E22" i="74"/>
  <c r="F22" i="74"/>
  <c r="E23" i="74"/>
  <c r="F23" i="74"/>
  <c r="B3" i="74"/>
  <c r="C91" i="9"/>
  <c r="B8" i="72"/>
  <c r="O14" i="71"/>
  <c r="P14" i="71"/>
  <c r="AA13" i="71" s="1"/>
  <c r="Q14" i="71"/>
  <c r="N14"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K49" i="9"/>
  <c r="E107" i="9"/>
  <c r="A122" i="9" s="1"/>
  <c r="A8" i="52" s="1"/>
  <c r="B54" i="72" s="1"/>
  <c r="E111" i="9"/>
  <c r="A126" i="9" s="1"/>
  <c r="A12" i="52" s="1"/>
  <c r="B56" i="72" s="1"/>
  <c r="E109" i="9"/>
  <c r="A124" i="9" s="1"/>
  <c r="A10" i="52" s="1"/>
  <c r="B55" i="72" s="1"/>
  <c r="B44" i="72"/>
  <c r="B42" i="72"/>
  <c r="B69" i="72"/>
  <c r="B68" i="72"/>
  <c r="B63" i="72"/>
  <c r="B62" i="72"/>
  <c r="B67" i="72"/>
  <c r="B10" i="72"/>
  <c r="C53" i="10"/>
  <c r="B51" i="10"/>
  <c r="A18" i="51"/>
  <c r="B13" i="72" s="1"/>
  <c r="C8" i="68"/>
  <c r="B49" i="48"/>
  <c r="B5" i="72" s="1"/>
  <c r="I19" i="43"/>
  <c r="D76" i="71"/>
  <c r="F75" i="71"/>
  <c r="E75" i="71"/>
  <c r="E74" i="71" s="1"/>
  <c r="E73" i="71" s="1"/>
  <c r="C75" i="71"/>
  <c r="D75" i="71" s="1"/>
  <c r="B75" i="71"/>
  <c r="F74" i="71"/>
  <c r="F73" i="71" s="1"/>
  <c r="B74" i="71"/>
  <c r="B73" i="71" s="1"/>
  <c r="D72" i="71"/>
  <c r="F71" i="71"/>
  <c r="F70" i="71" s="1"/>
  <c r="F69" i="71" s="1"/>
  <c r="E71" i="71"/>
  <c r="E70" i="71" s="1"/>
  <c r="E69" i="71" s="1"/>
  <c r="C71" i="71"/>
  <c r="D71" i="71" s="1"/>
  <c r="B71" i="71"/>
  <c r="B70" i="71" s="1"/>
  <c r="B69" i="71" s="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F55" i="71"/>
  <c r="Q55" i="71" s="1"/>
  <c r="E55" i="71"/>
  <c r="C55" i="71"/>
  <c r="O55" i="71" s="1"/>
  <c r="B55" i="7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C42" i="71" s="1"/>
  <c r="C43"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D29" i="71" s="1"/>
  <c r="N28" i="71"/>
  <c r="B29" i="71" s="1"/>
  <c r="B30" i="71" s="1"/>
  <c r="B31" i="71" s="1"/>
  <c r="S31" i="71" s="1"/>
  <c r="D28" i="71"/>
  <c r="Q27" i="71"/>
  <c r="P27" i="71"/>
  <c r="O27" i="71"/>
  <c r="N27" i="71"/>
  <c r="Q26" i="71"/>
  <c r="AB26" i="71" s="1"/>
  <c r="P26" i="71"/>
  <c r="AA26" i="71" s="1"/>
  <c r="O26" i="71"/>
  <c r="Y26" i="71" s="1"/>
  <c r="Z26" i="71" s="1"/>
  <c r="N26" i="71"/>
  <c r="X26" i="71" s="1"/>
  <c r="Q25" i="71"/>
  <c r="P25" i="71"/>
  <c r="AA25" i="71" s="1"/>
  <c r="O25" i="71"/>
  <c r="N25" i="71"/>
  <c r="Q24" i="71"/>
  <c r="F25" i="71" s="1"/>
  <c r="P24" i="71"/>
  <c r="O24" i="71"/>
  <c r="N24" i="71"/>
  <c r="D24" i="71"/>
  <c r="Q23" i="71"/>
  <c r="P23" i="71"/>
  <c r="O23" i="71"/>
  <c r="N23" i="71"/>
  <c r="Q22" i="71"/>
  <c r="P22" i="71"/>
  <c r="O22" i="71"/>
  <c r="N22" i="71"/>
  <c r="Q21" i="71"/>
  <c r="P21" i="71"/>
  <c r="O21" i="71"/>
  <c r="N21" i="71"/>
  <c r="Q20" i="71"/>
  <c r="F21" i="71" s="1"/>
  <c r="P20" i="71"/>
  <c r="E21" i="71" s="1"/>
  <c r="E22" i="71" s="1"/>
  <c r="E23" i="71" s="1"/>
  <c r="U23" i="71" s="1"/>
  <c r="O20" i="71"/>
  <c r="C21" i="71" s="1"/>
  <c r="N20" i="71"/>
  <c r="D20" i="71"/>
  <c r="Q19" i="71"/>
  <c r="P19" i="71"/>
  <c r="O19" i="71"/>
  <c r="N19" i="71"/>
  <c r="Q18" i="71"/>
  <c r="P18" i="71"/>
  <c r="O18" i="71"/>
  <c r="N18" i="71"/>
  <c r="Q17" i="71"/>
  <c r="P17" i="71"/>
  <c r="O17" i="71"/>
  <c r="N17" i="71"/>
  <c r="Q16" i="71"/>
  <c r="F17" i="71" s="1"/>
  <c r="P16" i="71"/>
  <c r="O16" i="71"/>
  <c r="C17" i="71" s="1"/>
  <c r="C18" i="71" s="1"/>
  <c r="D18" i="71" s="1"/>
  <c r="N16" i="71"/>
  <c r="X15" i="71" s="1"/>
  <c r="D16" i="71"/>
  <c r="O15" i="71"/>
  <c r="C15" i="71" s="1"/>
  <c r="C14" i="71" s="1"/>
  <c r="N15" i="71"/>
  <c r="B15" i="71" s="1"/>
  <c r="B17" i="71"/>
  <c r="B18" i="71" s="1"/>
  <c r="B19" i="71" s="1"/>
  <c r="S19" i="71" s="1"/>
  <c r="B21" i="71"/>
  <c r="B22" i="71" s="1"/>
  <c r="B23" i="71" s="1"/>
  <c r="S23" i="71" s="1"/>
  <c r="E25" i="71"/>
  <c r="N55" i="71"/>
  <c r="C25" i="71"/>
  <c r="D25" i="71" s="1"/>
  <c r="Y3" i="71"/>
  <c r="Z3" i="71" s="1"/>
  <c r="P15" i="71"/>
  <c r="E15" i="71" s="1"/>
  <c r="U55" i="71"/>
  <c r="Q15" i="71"/>
  <c r="F15" i="71" s="1"/>
  <c r="D41" i="71"/>
  <c r="D45" i="71"/>
  <c r="D55" i="71"/>
  <c r="E58" i="71"/>
  <c r="E57" i="71" s="1"/>
  <c r="E66" i="71"/>
  <c r="E65" i="71" s="1"/>
  <c r="C70" i="71"/>
  <c r="C74" i="71"/>
  <c r="C73" i="71" s="1"/>
  <c r="D73" i="71" s="1"/>
  <c r="D74" i="71"/>
  <c r="D42" i="71"/>
  <c r="O27" i="6"/>
  <c r="N27" i="6"/>
  <c r="P20" i="6"/>
  <c r="P21" i="6"/>
  <c r="P22" i="6"/>
  <c r="P23" i="6"/>
  <c r="P24" i="6"/>
  <c r="P25" i="6"/>
  <c r="P26" i="6"/>
  <c r="P19" i="6"/>
  <c r="AP10" i="1"/>
  <c r="AP11" i="1"/>
  <c r="AP12" i="1"/>
  <c r="AP13" i="1"/>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D83" i="21"/>
  <c r="E83" i="21" s="1"/>
  <c r="F83" i="21" s="1"/>
  <c r="G83" i="21" s="1"/>
  <c r="F21" i="21"/>
  <c r="AA21" i="21" s="1"/>
  <c r="D81" i="21"/>
  <c r="E81" i="21" s="1"/>
  <c r="F81" i="21" s="1"/>
  <c r="G81" i="21" s="1"/>
  <c r="H19" i="21" s="1"/>
  <c r="G20" i="20"/>
  <c r="B86" i="43" s="1"/>
  <c r="C22" i="20"/>
  <c r="B75" i="43" s="1"/>
  <c r="B55" i="43"/>
  <c r="H25" i="40"/>
  <c r="U25" i="40" s="1"/>
  <c r="J25" i="40"/>
  <c r="AC25" i="40" s="1"/>
  <c r="H29" i="39"/>
  <c r="AB29" i="39" s="1"/>
  <c r="J29" i="39"/>
  <c r="AC29" i="39" s="1"/>
  <c r="J18" i="36"/>
  <c r="AC18" i="36" s="1"/>
  <c r="H18" i="35"/>
  <c r="AB18" i="35" s="1"/>
  <c r="J18" i="35"/>
  <c r="W18" i="35" s="1"/>
  <c r="H21" i="37"/>
  <c r="U21" i="37" s="1"/>
  <c r="F21" i="37"/>
  <c r="S21" i="37" s="1"/>
  <c r="H21" i="34"/>
  <c r="U21" i="34" s="1"/>
  <c r="F83" i="33"/>
  <c r="G83" i="33" s="1"/>
  <c r="H21" i="33"/>
  <c r="AB21" i="33" s="1"/>
  <c r="F21" i="33"/>
  <c r="S21" i="33" s="1"/>
  <c r="H1" i="69"/>
  <c r="AB25" i="40"/>
  <c r="W18" i="36"/>
  <c r="U21" i="33"/>
  <c r="J21" i="37"/>
  <c r="AC21" i="37" s="1"/>
  <c r="J21" i="34"/>
  <c r="W21" i="34" s="1"/>
  <c r="J21" i="33"/>
  <c r="AC21" i="33" s="1"/>
  <c r="H21" i="21"/>
  <c r="U21" i="21" s="1"/>
  <c r="F38" i="69"/>
  <c r="E37" i="69"/>
  <c r="F36" i="69"/>
  <c r="F35" i="69"/>
  <c r="F21" i="69"/>
  <c r="C21" i="69" s="1"/>
  <c r="F20" i="69"/>
  <c r="E10" i="69"/>
  <c r="E9" i="69"/>
  <c r="C7" i="69"/>
  <c r="W21" i="37"/>
  <c r="AC21" i="34"/>
  <c r="J21" i="21"/>
  <c r="AC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31" i="66"/>
  <c r="C27" i="66"/>
  <c r="C32" i="66" s="1"/>
  <c r="I23" i="66"/>
  <c r="D20" i="66"/>
  <c r="I19" i="66"/>
  <c r="I18" i="66"/>
  <c r="I17"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K10" i="1" s="1"/>
  <c r="M10" i="1" s="1"/>
  <c r="O10" i="1" s="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I15" i="4"/>
  <c r="H15" i="4"/>
  <c r="G15" i="4"/>
  <c r="E15" i="4"/>
  <c r="D15" i="4"/>
  <c r="F8"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D3" i="79" s="1"/>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6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J30" i="36"/>
  <c r="AC30" i="36" s="1"/>
  <c r="H30" i="36"/>
  <c r="U30" i="36" s="1"/>
  <c r="F30" i="36"/>
  <c r="C26" i="35"/>
  <c r="J31" i="35"/>
  <c r="W31" i="35" s="1"/>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G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H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H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Q37" i="40"/>
  <c r="Z37" i="40" s="1"/>
  <c r="Q36" i="40"/>
  <c r="Z36" i="40" s="1"/>
  <c r="Q35" i="40"/>
  <c r="Z35" i="40" s="1"/>
  <c r="Q34" i="40"/>
  <c r="Z34" i="40" s="1"/>
  <c r="J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J38" i="39"/>
  <c r="W38" i="39" s="1"/>
  <c r="H38" i="39"/>
  <c r="F38" i="39"/>
  <c r="AA38" i="39" s="1"/>
  <c r="D124" i="39"/>
  <c r="E124" i="39" s="1"/>
  <c r="F124" i="39" s="1"/>
  <c r="G124" i="39" s="1"/>
  <c r="D120" i="39"/>
  <c r="E120" i="39" s="1"/>
  <c r="F120" i="39" s="1"/>
  <c r="G120" i="39" s="1"/>
  <c r="H120" i="39" s="1"/>
  <c r="I120" i="39" s="1"/>
  <c r="J120" i="39" s="1"/>
  <c r="K120" i="39" s="1"/>
  <c r="L120" i="39" s="1"/>
  <c r="M120" i="39" s="1"/>
  <c r="B114" i="39"/>
  <c r="H37" i="39" s="1"/>
  <c r="D109" i="39"/>
  <c r="E109" i="39" s="1"/>
  <c r="F109" i="39" s="1"/>
  <c r="G109" i="39" s="1"/>
  <c r="H109" i="39" s="1"/>
  <c r="I109" i="39" s="1"/>
  <c r="J109" i="39" s="1"/>
  <c r="K109" i="39" s="1"/>
  <c r="L109" i="39" s="1"/>
  <c r="M109" i="39" s="1"/>
  <c r="F34" i="39"/>
  <c r="AA34" i="39" s="1"/>
  <c r="D107" i="39"/>
  <c r="E107" i="39" s="1"/>
  <c r="F107" i="39" s="1"/>
  <c r="G107" i="39" s="1"/>
  <c r="D105" i="39"/>
  <c r="E105" i="39" s="1"/>
  <c r="F105" i="39" s="1"/>
  <c r="G105" i="39" s="1"/>
  <c r="H105" i="39" s="1"/>
  <c r="I105" i="39" s="1"/>
  <c r="J105" i="39" s="1"/>
  <c r="K105" i="39" s="1"/>
  <c r="L105" i="39" s="1"/>
  <c r="M105" i="39" s="1"/>
  <c r="D101" i="39"/>
  <c r="E101" i="39" s="1"/>
  <c r="F101" i="39" s="1"/>
  <c r="G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J42" i="39" s="1"/>
  <c r="AC42" i="39" s="1"/>
  <c r="D122" i="39"/>
  <c r="E122" i="39" s="1"/>
  <c r="F122" i="39" s="1"/>
  <c r="G122" i="39" s="1"/>
  <c r="H122" i="39" s="1"/>
  <c r="I122" i="39" s="1"/>
  <c r="J122" i="39" s="1"/>
  <c r="K122" i="39" s="1"/>
  <c r="L122" i="39" s="1"/>
  <c r="M122" i="39" s="1"/>
  <c r="B104" i="39"/>
  <c r="H31" i="39" s="1"/>
  <c r="D97" i="39"/>
  <c r="E97" i="39" s="1"/>
  <c r="D95" i="39"/>
  <c r="E95" i="39" s="1"/>
  <c r="F95" i="39" s="1"/>
  <c r="G95" i="39" s="1"/>
  <c r="D93" i="39"/>
  <c r="E93" i="39" s="1"/>
  <c r="F93" i="39" s="1"/>
  <c r="G93" i="39" s="1"/>
  <c r="D91" i="39"/>
  <c r="E91" i="39" s="1"/>
  <c r="F91" i="39" s="1"/>
  <c r="D89" i="39"/>
  <c r="E89" i="39" s="1"/>
  <c r="F89" i="39" s="1"/>
  <c r="B86" i="39"/>
  <c r="B84" i="39"/>
  <c r="J13" i="39" s="1"/>
  <c r="B82" i="39"/>
  <c r="M79" i="39"/>
  <c r="L79" i="39"/>
  <c r="K79" i="39"/>
  <c r="J79" i="39"/>
  <c r="I79" i="39"/>
  <c r="H79" i="39"/>
  <c r="G79" i="39"/>
  <c r="F79" i="39"/>
  <c r="E79" i="39"/>
  <c r="D79" i="39"/>
  <c r="C79"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J8" i="39"/>
  <c r="AC8" i="39" s="1"/>
  <c r="H8" i="39"/>
  <c r="U8" i="39" s="1"/>
  <c r="F8" i="39"/>
  <c r="C20" i="36"/>
  <c r="C20" i="35"/>
  <c r="C16" i="36"/>
  <c r="C16" i="35"/>
  <c r="C14" i="36"/>
  <c r="C14" i="35"/>
  <c r="B80" i="37"/>
  <c r="B110" i="37"/>
  <c r="B108" i="37"/>
  <c r="C23" i="37"/>
  <c r="C19" i="37"/>
  <c r="C17" i="37"/>
  <c r="C15" i="37"/>
  <c r="B112" i="37"/>
  <c r="H40" i="37" s="1"/>
  <c r="D107" i="37"/>
  <c r="E107" i="37" s="1"/>
  <c r="D105" i="37"/>
  <c r="E105" i="37" s="1"/>
  <c r="F105" i="37" s="1"/>
  <c r="G105" i="37" s="1"/>
  <c r="D103" i="37"/>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W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D68" i="36"/>
  <c r="E68" i="36" s="1"/>
  <c r="F68" i="36" s="1"/>
  <c r="G68" i="36" s="1"/>
  <c r="D64" i="36"/>
  <c r="E64" i="36" s="1"/>
  <c r="F64" i="36" s="1"/>
  <c r="G64" i="36" s="1"/>
  <c r="J16" i="36"/>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F9" i="36"/>
  <c r="AA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B99" i="35"/>
  <c r="H35" i="35" s="1"/>
  <c r="AB35" i="35" s="1"/>
  <c r="B97" i="35"/>
  <c r="J34" i="35" s="1"/>
  <c r="B77" i="35"/>
  <c r="B75" i="35"/>
  <c r="B73" i="35"/>
  <c r="B57" i="35"/>
  <c r="J11" i="35" s="1"/>
  <c r="B61" i="35"/>
  <c r="B59" i="35"/>
  <c r="B131" i="34"/>
  <c r="H47" i="34" s="1"/>
  <c r="U47" i="34" s="1"/>
  <c r="B129" i="34"/>
  <c r="B127" i="34"/>
  <c r="B99" i="34"/>
  <c r="F32" i="34" s="1"/>
  <c r="S32" i="34" s="1"/>
  <c r="B97" i="34"/>
  <c r="J31" i="34" s="1"/>
  <c r="AC31" i="34" s="1"/>
  <c r="B95" i="34"/>
  <c r="B93" i="34"/>
  <c r="F29" i="34" s="1"/>
  <c r="S29" i="34" s="1"/>
  <c r="B75" i="34"/>
  <c r="F14" i="34" s="1"/>
  <c r="S14" i="34" s="1"/>
  <c r="B73" i="34"/>
  <c r="B71" i="34"/>
  <c r="H12" i="34" s="1"/>
  <c r="AB12" i="34" s="1"/>
  <c r="B130" i="33"/>
  <c r="B128" i="33"/>
  <c r="B126" i="33"/>
  <c r="H44" i="33" s="1"/>
  <c r="AB44" i="33" s="1"/>
  <c r="B98" i="33"/>
  <c r="H31" i="33" s="1"/>
  <c r="B96" i="33"/>
  <c r="B94" i="33"/>
  <c r="B74" i="33"/>
  <c r="H14" i="33" s="1"/>
  <c r="AB14" i="33" s="1"/>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Q31" i="35"/>
  <c r="Z31" i="35" s="1"/>
  <c r="Q30" i="35"/>
  <c r="Z30" i="35" s="1"/>
  <c r="Q29" i="35"/>
  <c r="Z29" i="35" s="1"/>
  <c r="Q28" i="35"/>
  <c r="Z28" i="35" s="1"/>
  <c r="J28" i="35"/>
  <c r="AC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F9" i="34"/>
  <c r="AA9" i="34" s="1"/>
  <c r="J8" i="34"/>
  <c r="AC8" i="34" s="1"/>
  <c r="H8" i="34"/>
  <c r="F8" i="34"/>
  <c r="S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J32" i="33" s="1"/>
  <c r="W32" i="33" s="1"/>
  <c r="B92" i="33"/>
  <c r="H28" i="33" s="1"/>
  <c r="U28" i="33" s="1"/>
  <c r="B90" i="33"/>
  <c r="J27" i="33" s="1"/>
  <c r="AC27" i="33" s="1"/>
  <c r="D87" i="33"/>
  <c r="E87" i="33" s="1"/>
  <c r="F87" i="33" s="1"/>
  <c r="G87" i="33" s="1"/>
  <c r="H87" i="33" s="1"/>
  <c r="I87" i="33" s="1"/>
  <c r="J87" i="33" s="1"/>
  <c r="K87" i="33" s="1"/>
  <c r="L87" i="33" s="1"/>
  <c r="M87" i="33" s="1"/>
  <c r="D85" i="33"/>
  <c r="E85" i="33" s="1"/>
  <c r="D81" i="33"/>
  <c r="E81" i="33" s="1"/>
  <c r="F81" i="33" s="1"/>
  <c r="G81" i="33" s="1"/>
  <c r="H19" i="33" s="1"/>
  <c r="D79" i="33"/>
  <c r="E79" i="33" s="1"/>
  <c r="F79" i="33" s="1"/>
  <c r="G79" i="33" s="1"/>
  <c r="J17" i="33" s="1"/>
  <c r="W17"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Q41" i="33"/>
  <c r="Z41" i="33" s="1"/>
  <c r="Q40" i="33"/>
  <c r="Z40" i="33" s="1"/>
  <c r="J40" i="33"/>
  <c r="H40" i="33"/>
  <c r="AB40" i="33" s="1"/>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G18" i="20"/>
  <c r="B88" i="43" s="1"/>
  <c r="G19" i="20"/>
  <c r="B85" i="43" s="1"/>
  <c r="G16" i="20"/>
  <c r="B82" i="43" s="1"/>
  <c r="G15" i="20"/>
  <c r="C24" i="20"/>
  <c r="C21" i="20"/>
  <c r="C20" i="20"/>
  <c r="B77" i="43" s="1"/>
  <c r="C18" i="20"/>
  <c r="C17" i="20"/>
  <c r="B59" i="43" s="1"/>
  <c r="C16" i="20"/>
  <c r="C17" i="39" s="1"/>
  <c r="C15" i="20"/>
  <c r="B70" i="43" s="1"/>
  <c r="E54" i="21"/>
  <c r="F54" i="21" s="1"/>
  <c r="I54" i="21"/>
  <c r="J54" i="21" s="1"/>
  <c r="G54" i="21"/>
  <c r="H54" i="21" s="1"/>
  <c r="D125" i="21"/>
  <c r="D123" i="21"/>
  <c r="E123" i="21" s="1"/>
  <c r="F123" i="21" s="1"/>
  <c r="J42" i="21" s="1"/>
  <c r="AC42" i="21" s="1"/>
  <c r="F42" i="21"/>
  <c r="AA42" i="21" s="1"/>
  <c r="D119" i="2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77" i="21"/>
  <c r="E77" i="21" s="1"/>
  <c r="F77" i="21" s="1"/>
  <c r="B130" i="21"/>
  <c r="B128" i="21"/>
  <c r="H45" i="21" s="1"/>
  <c r="B126" i="21"/>
  <c r="B98" i="21"/>
  <c r="H31" i="21" s="1"/>
  <c r="B96" i="21"/>
  <c r="B94" i="21"/>
  <c r="J29" i="21" s="1"/>
  <c r="B92" i="21"/>
  <c r="B90" i="21"/>
  <c r="B74" i="21"/>
  <c r="B72" i="21"/>
  <c r="F13" i="21" s="1"/>
  <c r="AA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K5" i="3"/>
  <c r="F21" i="6" s="1"/>
  <c r="E21" i="6" s="1"/>
  <c r="D3" i="7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36" i="21"/>
  <c r="S36" i="21" s="1"/>
  <c r="F39" i="21"/>
  <c r="AA39" i="21" s="1"/>
  <c r="J8" i="21"/>
  <c r="AC8" i="21" s="1"/>
  <c r="H8" i="21"/>
  <c r="U8" i="21" s="1"/>
  <c r="H10" i="21"/>
  <c r="H39" i="21"/>
  <c r="U39" i="21" s="1"/>
  <c r="J34" i="21"/>
  <c r="W34" i="21" s="1"/>
  <c r="H36" i="21"/>
  <c r="U36" i="21" s="1"/>
  <c r="J10" i="21"/>
  <c r="H26" i="21"/>
  <c r="J26" i="21"/>
  <c r="W26" i="21" s="1"/>
  <c r="F26" i="21"/>
  <c r="S26" i="21" s="1"/>
  <c r="E103" i="37"/>
  <c r="F103" i="37" s="1"/>
  <c r="G103" i="37" s="1"/>
  <c r="H103" i="37" s="1"/>
  <c r="I103" i="37" s="1"/>
  <c r="J103" i="37" s="1"/>
  <c r="K103" i="37" s="1"/>
  <c r="L103" i="37" s="1"/>
  <c r="M103" i="37" s="1"/>
  <c r="F29" i="36"/>
  <c r="AA29" i="36" s="1"/>
  <c r="F16" i="36"/>
  <c r="AA16" i="36" s="1"/>
  <c r="H22" i="35"/>
  <c r="F36" i="34"/>
  <c r="S36" i="34" s="1"/>
  <c r="J35" i="34"/>
  <c r="H39" i="33"/>
  <c r="AB39" i="33" s="1"/>
  <c r="F11" i="40"/>
  <c r="AA11" i="40" s="1"/>
  <c r="H11" i="40"/>
  <c r="AB11" i="40" s="1"/>
  <c r="H40" i="39"/>
  <c r="H34" i="39"/>
  <c r="H19" i="39"/>
  <c r="F19" i="39"/>
  <c r="AA19" i="39" s="1"/>
  <c r="J23" i="40"/>
  <c r="AC23" i="40" s="1"/>
  <c r="F21" i="40"/>
  <c r="J21" i="40"/>
  <c r="W21" i="40" s="1"/>
  <c r="J34" i="39"/>
  <c r="AC34" i="39" s="1"/>
  <c r="J19" i="39"/>
  <c r="AC19" i="39" s="1"/>
  <c r="J11" i="21"/>
  <c r="W11" i="21" s="1"/>
  <c r="H37" i="40"/>
  <c r="U37" i="40" s="1"/>
  <c r="H36" i="40"/>
  <c r="F35" i="40"/>
  <c r="H23" i="40"/>
  <c r="H17" i="40"/>
  <c r="J15" i="40"/>
  <c r="J11" i="40"/>
  <c r="J30" i="35"/>
  <c r="W30" i="35" s="1"/>
  <c r="H30" i="35"/>
  <c r="F22" i="35"/>
  <c r="AA22" i="35" s="1"/>
  <c r="H10" i="35"/>
  <c r="U10" i="35" s="1"/>
  <c r="H16" i="36"/>
  <c r="J29" i="36"/>
  <c r="AC29" i="36" s="1"/>
  <c r="F34" i="36"/>
  <c r="F14" i="35"/>
  <c r="AA14" i="35" s="1"/>
  <c r="J32" i="35"/>
  <c r="J16" i="35"/>
  <c r="AC16" i="35" s="1"/>
  <c r="H16" i="35"/>
  <c r="F16" i="35"/>
  <c r="H14" i="35"/>
  <c r="AB14" i="35" s="1"/>
  <c r="J29" i="35"/>
  <c r="H33" i="35"/>
  <c r="AB33" i="35" s="1"/>
  <c r="J20" i="35"/>
  <c r="F35" i="37"/>
  <c r="S35" i="37" s="1"/>
  <c r="J34" i="37"/>
  <c r="S10" i="37"/>
  <c r="J33" i="37"/>
  <c r="AC33" i="37" s="1"/>
  <c r="H40" i="34"/>
  <c r="U40" i="34" s="1"/>
  <c r="H36" i="34"/>
  <c r="U36" i="34" s="1"/>
  <c r="F37" i="34"/>
  <c r="F25" i="34"/>
  <c r="S25" i="34" s="1"/>
  <c r="H23" i="34"/>
  <c r="U23" i="34" s="1"/>
  <c r="J23" i="34"/>
  <c r="AC23" i="34" s="1"/>
  <c r="F19" i="34"/>
  <c r="S19" i="34" s="1"/>
  <c r="H17" i="34"/>
  <c r="F15" i="34"/>
  <c r="AA15" i="34" s="1"/>
  <c r="J15" i="34"/>
  <c r="AC15" i="34" s="1"/>
  <c r="H15" i="34"/>
  <c r="AB15" i="34" s="1"/>
  <c r="F41" i="33"/>
  <c r="AA41" i="33" s="1"/>
  <c r="F11" i="33"/>
  <c r="AA11" i="33" s="1"/>
  <c r="F37" i="40"/>
  <c r="AA37" i="40" s="1"/>
  <c r="F36" i="40"/>
  <c r="AA36" i="40" s="1"/>
  <c r="H28" i="40"/>
  <c r="U28" i="40" s="1"/>
  <c r="F23" i="40"/>
  <c r="AA23" i="40" s="1"/>
  <c r="F17" i="40"/>
  <c r="AA17" i="40" s="1"/>
  <c r="J17" i="40"/>
  <c r="W17" i="40" s="1"/>
  <c r="F15" i="40"/>
  <c r="S15" i="40" s="1"/>
  <c r="H15" i="40"/>
  <c r="AB15" i="40" s="1"/>
  <c r="AB30" i="36"/>
  <c r="F29" i="35"/>
  <c r="H29" i="35"/>
  <c r="H33" i="37"/>
  <c r="F33" i="37"/>
  <c r="AA33" i="37" s="1"/>
  <c r="W33" i="37"/>
  <c r="J43" i="34"/>
  <c r="J40" i="34"/>
  <c r="H38" i="34"/>
  <c r="J36" i="34"/>
  <c r="H37" i="34"/>
  <c r="H25" i="34"/>
  <c r="AB25" i="34" s="1"/>
  <c r="J25" i="34"/>
  <c r="F23" i="34"/>
  <c r="AA23" i="34" s="1"/>
  <c r="J19" i="34"/>
  <c r="F17" i="34"/>
  <c r="AA17" i="34" s="1"/>
  <c r="J17" i="34"/>
  <c r="H37" i="33"/>
  <c r="H11" i="33"/>
  <c r="AB11" i="33" s="1"/>
  <c r="F28" i="40"/>
  <c r="AA38" i="34"/>
  <c r="J37" i="34"/>
  <c r="J11" i="33"/>
  <c r="H42" i="21"/>
  <c r="U42" i="21" s="1"/>
  <c r="J44" i="34"/>
  <c r="AC44" i="34" s="1"/>
  <c r="F44" i="34"/>
  <c r="J10" i="35"/>
  <c r="H30" i="21"/>
  <c r="U30" i="21" s="1"/>
  <c r="F28" i="33"/>
  <c r="F33" i="35"/>
  <c r="J33" i="35"/>
  <c r="AC33" i="35" s="1"/>
  <c r="F30" i="35"/>
  <c r="S30" i="35" s="1"/>
  <c r="H10" i="36"/>
  <c r="J14" i="36"/>
  <c r="AC14" i="36" s="1"/>
  <c r="H14" i="36"/>
  <c r="F28" i="36"/>
  <c r="H13" i="33"/>
  <c r="AB13" i="33" s="1"/>
  <c r="J30" i="34"/>
  <c r="J26" i="36"/>
  <c r="W26" i="36" s="1"/>
  <c r="H28" i="36"/>
  <c r="U28" i="36" s="1"/>
  <c r="H13" i="36"/>
  <c r="J29" i="37"/>
  <c r="W29" i="37" s="1"/>
  <c r="F29" i="37"/>
  <c r="H36" i="37"/>
  <c r="F107" i="37"/>
  <c r="G107" i="37" s="1"/>
  <c r="H107" i="37" s="1"/>
  <c r="I107" i="37" s="1"/>
  <c r="J107" i="37" s="1"/>
  <c r="K107" i="37" s="1"/>
  <c r="L107" i="37" s="1"/>
  <c r="M107" i="37" s="1"/>
  <c r="J37" i="37"/>
  <c r="H37" i="37"/>
  <c r="U37" i="37" s="1"/>
  <c r="U14" i="33"/>
  <c r="H13" i="34"/>
  <c r="F47" i="34"/>
  <c r="F28" i="37"/>
  <c r="AA28" i="37" s="1"/>
  <c r="H28" i="37"/>
  <c r="U28" i="37" s="1"/>
  <c r="J38" i="37"/>
  <c r="AC38" i="37" s="1"/>
  <c r="F14" i="39"/>
  <c r="S14" i="39" s="1"/>
  <c r="J35" i="40"/>
  <c r="J37" i="40"/>
  <c r="AC37" i="40" s="1"/>
  <c r="H13" i="40"/>
  <c r="U13" i="40" s="1"/>
  <c r="J36" i="37"/>
  <c r="J10" i="36"/>
  <c r="AC10" i="36" s="1"/>
  <c r="G572" i="3"/>
  <c r="AC557" i="3"/>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H43" i="33"/>
  <c r="AB43" i="33" s="1"/>
  <c r="H17" i="37"/>
  <c r="U17" i="37" s="1"/>
  <c r="F39" i="33"/>
  <c r="F42" i="33"/>
  <c r="AA42" i="33" s="1"/>
  <c r="F14" i="36"/>
  <c r="F22" i="36"/>
  <c r="F26" i="36"/>
  <c r="H35" i="34"/>
  <c r="F41" i="34"/>
  <c r="S41" i="34" s="1"/>
  <c r="H41" i="34"/>
  <c r="U41" i="34" s="1"/>
  <c r="J41" i="34"/>
  <c r="F10" i="35"/>
  <c r="H23" i="37"/>
  <c r="AB23" i="37" s="1"/>
  <c r="J32" i="37"/>
  <c r="F36" i="37"/>
  <c r="AA36" i="37" s="1"/>
  <c r="F37" i="37"/>
  <c r="AA37" i="37" s="1"/>
  <c r="J36" i="40"/>
  <c r="W36" i="40" s="1"/>
  <c r="H19" i="37"/>
  <c r="AB19" i="37"/>
  <c r="H42" i="33"/>
  <c r="AB42" i="33" s="1"/>
  <c r="J43" i="33"/>
  <c r="S28" i="31"/>
  <c r="S27" i="31"/>
  <c r="S26" i="31"/>
  <c r="AC8" i="37"/>
  <c r="F43" i="33"/>
  <c r="AA43" i="33" s="1"/>
  <c r="W15" i="34"/>
  <c r="H19" i="34"/>
  <c r="AB19" i="34" s="1"/>
  <c r="H9" i="37"/>
  <c r="J12" i="37"/>
  <c r="W12" i="37" s="1"/>
  <c r="F12" i="37"/>
  <c r="F15" i="37"/>
  <c r="AA15" i="37" s="1"/>
  <c r="F31" i="37"/>
  <c r="F12" i="39"/>
  <c r="H21" i="40"/>
  <c r="H31" i="37"/>
  <c r="J15" i="37"/>
  <c r="AT6" i="3"/>
  <c r="C12" i="43"/>
  <c r="H19" i="40"/>
  <c r="U19" i="40" s="1"/>
  <c r="F88" i="40"/>
  <c r="G88" i="40" s="1"/>
  <c r="F19" i="40"/>
  <c r="W8" i="39"/>
  <c r="J19" i="40"/>
  <c r="AC19" i="40" s="1"/>
  <c r="J50" i="40"/>
  <c r="H103" i="9"/>
  <c r="B16" i="53"/>
  <c r="B33" i="72" s="1"/>
  <c r="C7" i="37"/>
  <c r="C52" i="37" s="1"/>
  <c r="D52" i="37" s="1"/>
  <c r="E52" i="37" s="1"/>
  <c r="F52" i="37" s="1"/>
  <c r="G52" i="37" s="1"/>
  <c r="C7" i="34"/>
  <c r="C59" i="34" s="1"/>
  <c r="D59" i="34" s="1"/>
  <c r="E59" i="34" s="1"/>
  <c r="F59" i="34" s="1"/>
  <c r="C7" i="36"/>
  <c r="C46" i="36" s="1"/>
  <c r="D46" i="36" s="1"/>
  <c r="E46" i="36" s="1"/>
  <c r="F46" i="36" s="1"/>
  <c r="G46" i="36" s="1"/>
  <c r="A118" i="9"/>
  <c r="G4" i="4"/>
  <c r="I4" i="4"/>
  <c r="K5" i="4"/>
  <c r="B47" i="48" s="1"/>
  <c r="F59"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AZ203" i="3" s="1"/>
  <c r="BL204" i="3"/>
  <c r="G16"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AZ306" i="3" s="1"/>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BL370" i="3"/>
  <c r="AZ370" i="3" s="1"/>
  <c r="G371" i="3"/>
  <c r="BA373" i="3"/>
  <c r="BL374" i="3"/>
  <c r="G375" i="3"/>
  <c r="BA377" i="3"/>
  <c r="AZ253" i="3"/>
  <c r="BA379" i="3"/>
  <c r="BL380" i="3"/>
  <c r="G381" i="3"/>
  <c r="BA383" i="3"/>
  <c r="BL384" i="3"/>
  <c r="G385" i="3"/>
  <c r="BA387" i="3"/>
  <c r="BL388" i="3"/>
  <c r="G389" i="3"/>
  <c r="BA391" i="3"/>
  <c r="AZ391" i="3" s="1"/>
  <c r="BL392" i="3"/>
  <c r="G393" i="3"/>
  <c r="G17" i="3"/>
  <c r="F36" i="43"/>
  <c r="F81" i="43"/>
  <c r="H81" i="43" s="1"/>
  <c r="H113" i="43"/>
  <c r="F48" i="43"/>
  <c r="H56" i="43" s="1"/>
  <c r="F70" i="43"/>
  <c r="H75" i="43" s="1"/>
  <c r="M11" i="43"/>
  <c r="D17" i="43"/>
  <c r="F39" i="43"/>
  <c r="I17" i="43"/>
  <c r="F35" i="43"/>
  <c r="J17" i="43"/>
  <c r="F6" i="1"/>
  <c r="G6" i="1" s="1"/>
  <c r="F48" i="9"/>
  <c r="O52" i="9" s="1"/>
  <c r="W44" i="34"/>
  <c r="J37" i="33"/>
  <c r="J34" i="33"/>
  <c r="W34" i="33" s="1"/>
  <c r="F33" i="34"/>
  <c r="H20" i="36"/>
  <c r="U20" i="36" s="1"/>
  <c r="J20" i="36"/>
  <c r="J27" i="36"/>
  <c r="W27" i="36" s="1"/>
  <c r="F111" i="40"/>
  <c r="G111" i="40" s="1"/>
  <c r="H111" i="40" s="1"/>
  <c r="I111" i="40" s="1"/>
  <c r="J111" i="40" s="1"/>
  <c r="K111" i="40" s="1"/>
  <c r="L111" i="40" s="1"/>
  <c r="M111" i="40" s="1"/>
  <c r="H35" i="40"/>
  <c r="AB35" i="40" s="1"/>
  <c r="H35" i="37"/>
  <c r="H20" i="35"/>
  <c r="U20" i="35" s="1"/>
  <c r="F20" i="35"/>
  <c r="AA20" i="35" s="1"/>
  <c r="H32" i="37"/>
  <c r="F96" i="37"/>
  <c r="J30" i="40"/>
  <c r="AC30" i="40" s="1"/>
  <c r="F30"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C40" i="11"/>
  <c r="AZ251" i="3"/>
  <c r="I20" i="43"/>
  <c r="H27" i="36"/>
  <c r="U27" i="36" s="1"/>
  <c r="F27" i="36"/>
  <c r="H33" i="34"/>
  <c r="U33" i="34" s="1"/>
  <c r="F32" i="37"/>
  <c r="G96" i="37"/>
  <c r="H96" i="37" s="1"/>
  <c r="I96" i="37" s="1"/>
  <c r="J96" i="37" s="1"/>
  <c r="K96" i="37" s="1"/>
  <c r="L96" i="37" s="1"/>
  <c r="M96" i="37" s="1"/>
  <c r="F20" i="36"/>
  <c r="J33" i="34"/>
  <c r="AC33" i="34" s="1"/>
  <c r="D48" i="9"/>
  <c r="M52" i="9" s="1"/>
  <c r="AE9" i="1"/>
  <c r="D93" i="9"/>
  <c r="W27" i="34"/>
  <c r="BL14" i="3"/>
  <c r="S19" i="39"/>
  <c r="F39" i="40"/>
  <c r="S39" i="40" s="1"/>
  <c r="AZ250" i="3"/>
  <c r="S12" i="1"/>
  <c r="AQ12" i="1" s="1"/>
  <c r="R12" i="1"/>
  <c r="B12" i="1"/>
  <c r="E12" i="1" s="1"/>
  <c r="S10" i="1"/>
  <c r="AR10" i="1" s="1"/>
  <c r="R10" i="1"/>
  <c r="B10" i="1"/>
  <c r="E10" i="1" s="1"/>
  <c r="K12" i="1"/>
  <c r="M12" i="1" s="1"/>
  <c r="O12" i="1" s="1"/>
  <c r="P12" i="1" s="1"/>
  <c r="S13" i="1"/>
  <c r="R13" i="1"/>
  <c r="S11" i="1"/>
  <c r="AQ11" i="1" s="1"/>
  <c r="R11" i="1"/>
  <c r="J51" i="67"/>
  <c r="C42" i="1"/>
  <c r="C77" i="9" s="1"/>
  <c r="H100" i="43"/>
  <c r="C30" i="66"/>
  <c r="E26" i="66" s="1"/>
  <c r="J100" i="43"/>
  <c r="AB37" i="40"/>
  <c r="U35" i="40"/>
  <c r="AC36" i="40"/>
  <c r="S17" i="40"/>
  <c r="AB19" i="40"/>
  <c r="W19" i="39"/>
  <c r="AC27" i="36"/>
  <c r="S29" i="36"/>
  <c r="AC26" i="36"/>
  <c r="W14" i="36"/>
  <c r="AB20" i="36"/>
  <c r="W10" i="36"/>
  <c r="AB27" i="35"/>
  <c r="AC30" i="35"/>
  <c r="S22" i="35"/>
  <c r="AB10" i="35"/>
  <c r="H9" i="35"/>
  <c r="AB9" i="35" s="1"/>
  <c r="S36" i="37"/>
  <c r="W38" i="37"/>
  <c r="J17" i="37"/>
  <c r="F17" i="37"/>
  <c r="AA17" i="37" s="1"/>
  <c r="AB17" i="37"/>
  <c r="F75" i="37"/>
  <c r="G75" i="37" s="1"/>
  <c r="F19" i="37"/>
  <c r="S19" i="37" s="1"/>
  <c r="F23" i="37"/>
  <c r="U23" i="37"/>
  <c r="U15" i="37"/>
  <c r="H10" i="37"/>
  <c r="F11" i="37"/>
  <c r="S11" i="37" s="1"/>
  <c r="U43" i="34"/>
  <c r="U39" i="34"/>
  <c r="AB41" i="34"/>
  <c r="W34" i="34"/>
  <c r="AA25" i="34"/>
  <c r="S17" i="34"/>
  <c r="S23" i="34"/>
  <c r="H10" i="34"/>
  <c r="AB10" i="34" s="1"/>
  <c r="F11" i="34"/>
  <c r="S11" i="34" s="1"/>
  <c r="F70" i="34"/>
  <c r="G70" i="34" s="1"/>
  <c r="H70" i="34" s="1"/>
  <c r="I70" i="34" s="1"/>
  <c r="J70" i="34" s="1"/>
  <c r="K70" i="34" s="1"/>
  <c r="L70" i="34" s="1"/>
  <c r="M70" i="34" s="1"/>
  <c r="H41" i="33"/>
  <c r="AB41" i="33" s="1"/>
  <c r="U42" i="33"/>
  <c r="J35" i="33"/>
  <c r="W35" i="33" s="1"/>
  <c r="S43" i="33"/>
  <c r="H25" i="33"/>
  <c r="U25" i="33" s="1"/>
  <c r="F25" i="33"/>
  <c r="S25" i="33" s="1"/>
  <c r="F85" i="33"/>
  <c r="G85" i="33" s="1"/>
  <c r="I66" i="33"/>
  <c r="J10" i="33"/>
  <c r="W10" i="33" s="1"/>
  <c r="H10" i="33"/>
  <c r="U10" i="33" s="1"/>
  <c r="M3" i="43"/>
  <c r="M1" i="43"/>
  <c r="N8" i="43"/>
  <c r="F34" i="67"/>
  <c r="F62" i="67" s="1"/>
  <c r="M20" i="67"/>
  <c r="F34" i="15"/>
  <c r="F62" i="15" s="1"/>
  <c r="BL17" i="3"/>
  <c r="J56" i="9"/>
  <c r="J57" i="9" s="1"/>
  <c r="J59" i="9" s="1"/>
  <c r="J61" i="9" s="1"/>
  <c r="G1" i="68"/>
  <c r="E19" i="69"/>
  <c r="E19" i="11"/>
  <c r="E1" i="73"/>
  <c r="G41" i="69"/>
  <c r="G22" i="69"/>
  <c r="G41" i="68"/>
  <c r="G22" i="68"/>
  <c r="G27" i="12"/>
  <c r="G26" i="12"/>
  <c r="G41" i="11"/>
  <c r="G22" i="11"/>
  <c r="G25" i="12"/>
  <c r="C100" i="43"/>
  <c r="E11" i="43"/>
  <c r="E10" i="43"/>
  <c r="E9" i="43"/>
  <c r="E8" i="43"/>
  <c r="E81" i="43"/>
  <c r="B79" i="43" s="1"/>
  <c r="E48" i="43"/>
  <c r="B46" i="43" s="1"/>
  <c r="E70" i="43"/>
  <c r="B68" i="43" s="1"/>
  <c r="F100" i="43"/>
  <c r="H17" i="43"/>
  <c r="H78" i="43"/>
  <c r="C17" i="43"/>
  <c r="F33" i="43"/>
  <c r="K17" i="43"/>
  <c r="F34" i="43"/>
  <c r="N6" i="43"/>
  <c r="C6" i="43"/>
  <c r="N3" i="43"/>
  <c r="F38" i="43"/>
  <c r="F37" i="43"/>
  <c r="M9" i="43"/>
  <c r="N5" i="43"/>
  <c r="M12" i="43"/>
  <c r="B19" i="53"/>
  <c r="B37" i="72" s="1"/>
  <c r="C7" i="39"/>
  <c r="C68" i="39" s="1"/>
  <c r="C70" i="39" s="1"/>
  <c r="C7" i="35"/>
  <c r="C48" i="35" s="1"/>
  <c r="D48" i="35" s="1"/>
  <c r="C7" i="33"/>
  <c r="C58" i="33" s="1"/>
  <c r="D58" i="33" s="1"/>
  <c r="E58" i="33" s="1"/>
  <c r="C7" i="21"/>
  <c r="C58" i="21" s="1"/>
  <c r="D58" i="21" s="1"/>
  <c r="E58" i="21" s="1"/>
  <c r="C7" i="40"/>
  <c r="C63" i="40" s="1"/>
  <c r="M47" i="9"/>
  <c r="G19" i="43"/>
  <c r="O19" i="43" s="1"/>
  <c r="C19" i="43" s="1"/>
  <c r="A4" i="51"/>
  <c r="B6" i="72" s="1"/>
  <c r="H64" i="43"/>
  <c r="H72" i="43"/>
  <c r="B6" i="1"/>
  <c r="E6" i="1" s="1"/>
  <c r="K11" i="1"/>
  <c r="M11" i="1" s="1"/>
  <c r="O11" i="1" s="1"/>
  <c r="B9" i="1"/>
  <c r="E9" i="1" s="1"/>
  <c r="G1" i="15"/>
  <c r="G1" i="67"/>
  <c r="W23" i="40"/>
  <c r="S37" i="40"/>
  <c r="AB28" i="40"/>
  <c r="W28" i="40"/>
  <c r="W19" i="40"/>
  <c r="S36" i="40"/>
  <c r="AA15" i="40"/>
  <c r="U11" i="40"/>
  <c r="AA14" i="39"/>
  <c r="W29" i="36"/>
  <c r="AB28" i="36"/>
  <c r="S9" i="36"/>
  <c r="AB20" i="35"/>
  <c r="W33" i="35"/>
  <c r="AA30" i="35"/>
  <c r="AA35" i="37"/>
  <c r="S28" i="37"/>
  <c r="AB37" i="37"/>
  <c r="S33" i="37"/>
  <c r="U19" i="37"/>
  <c r="AA40" i="34"/>
  <c r="U19" i="34"/>
  <c r="AB33" i="34"/>
  <c r="U25" i="34"/>
  <c r="AB36" i="34"/>
  <c r="W33" i="34"/>
  <c r="AA32" i="34"/>
  <c r="AC40" i="34"/>
  <c r="W40" i="34"/>
  <c r="AA19" i="34"/>
  <c r="AA36" i="34"/>
  <c r="AA11" i="34"/>
  <c r="W23" i="34"/>
  <c r="AC35" i="34"/>
  <c r="W35" i="34"/>
  <c r="U38" i="33"/>
  <c r="U44" i="33"/>
  <c r="S11" i="33"/>
  <c r="F33" i="21"/>
  <c r="AA33" i="21" s="1"/>
  <c r="J33" i="21"/>
  <c r="AC33" i="21" s="1"/>
  <c r="H33" i="21"/>
  <c r="AB33" i="21" s="1"/>
  <c r="AA26" i="21"/>
  <c r="W8" i="21"/>
  <c r="K141" i="21"/>
  <c r="K144" i="21"/>
  <c r="K143" i="21"/>
  <c r="F10" i="21"/>
  <c r="AA10" i="21" s="1"/>
  <c r="K145" i="21"/>
  <c r="W30" i="40"/>
  <c r="C23" i="40"/>
  <c r="D23" i="15"/>
  <c r="D22" i="15"/>
  <c r="AA39" i="40"/>
  <c r="U9" i="35"/>
  <c r="S17" i="37"/>
  <c r="J19" i="37"/>
  <c r="W19" i="37" s="1"/>
  <c r="AA19" i="37"/>
  <c r="J23" i="37"/>
  <c r="J10" i="37"/>
  <c r="H11" i="37"/>
  <c r="AB11" i="37" s="1"/>
  <c r="H11" i="34"/>
  <c r="AB11" i="34" s="1"/>
  <c r="J10" i="34"/>
  <c r="W10" i="34" s="1"/>
  <c r="AB25" i="33"/>
  <c r="AA25" i="33"/>
  <c r="J25" i="33"/>
  <c r="H17" i="33"/>
  <c r="AB17" i="33" s="1"/>
  <c r="AC17" i="33"/>
  <c r="AC10" i="33"/>
  <c r="E6" i="70"/>
  <c r="AC19" i="37"/>
  <c r="J11" i="37"/>
  <c r="W11" i="37" s="1"/>
  <c r="AC10" i="34"/>
  <c r="J11" i="34"/>
  <c r="AC11" i="34" s="1"/>
  <c r="AE8" i="1"/>
  <c r="AE6" i="1"/>
  <c r="AG6" i="1"/>
  <c r="H109" i="9"/>
  <c r="H110" i="9" s="1"/>
  <c r="D18" i="53" s="1"/>
  <c r="B35" i="72" s="1"/>
  <c r="H112" i="9"/>
  <c r="D21" i="53" s="1"/>
  <c r="B39" i="72" s="1"/>
  <c r="H111" i="9"/>
  <c r="D126" i="9" s="1"/>
  <c r="D59" i="9"/>
  <c r="M55" i="9" s="1"/>
  <c r="AD3" i="71"/>
  <c r="J1" i="73"/>
  <c r="H77" i="43"/>
  <c r="H76" i="43"/>
  <c r="H60" i="43"/>
  <c r="M4" i="43"/>
  <c r="M5" i="43"/>
  <c r="N12" i="43"/>
  <c r="N11" i="43"/>
  <c r="M10" i="43"/>
  <c r="M2" i="43"/>
  <c r="M7" i="43"/>
  <c r="H70" i="43"/>
  <c r="H54" i="43"/>
  <c r="N9" i="43"/>
  <c r="M8" i="43"/>
  <c r="N10" i="43"/>
  <c r="H48" i="43"/>
  <c r="H74" i="43"/>
  <c r="M6" i="43"/>
  <c r="N7" i="43"/>
  <c r="N4" i="43"/>
  <c r="N2" i="43"/>
  <c r="H49" i="43"/>
  <c r="N17" i="43"/>
  <c r="L17" i="43"/>
  <c r="O17" i="43"/>
  <c r="M17" i="43"/>
  <c r="E17" i="43"/>
  <c r="AB9" i="71"/>
  <c r="X7" i="71"/>
  <c r="X6" i="71"/>
  <c r="AA7" i="71"/>
  <c r="AA6" i="71"/>
  <c r="X10" i="71"/>
  <c r="Y6" i="71"/>
  <c r="Z6" i="71" s="1"/>
  <c r="AB7" i="71"/>
  <c r="AB6" i="71"/>
  <c r="Y7" i="71"/>
  <c r="Z7" i="71" s="1"/>
  <c r="AB3" i="71"/>
  <c r="X3" i="71"/>
  <c r="AF3" i="71"/>
  <c r="G20" i="43"/>
  <c r="E41" i="43" s="1"/>
  <c r="C41" i="43" s="1"/>
  <c r="F31" i="67"/>
  <c r="F31" i="15"/>
  <c r="F3" i="73"/>
  <c r="M6" i="15"/>
  <c r="E2" i="68"/>
  <c r="E13" i="76"/>
  <c r="M26" i="15"/>
  <c r="AO6" i="1"/>
  <c r="L47" i="15"/>
  <c r="F5" i="73"/>
  <c r="J15" i="15"/>
  <c r="D4" i="73"/>
  <c r="B8" i="76"/>
  <c r="F4" i="73"/>
  <c r="E2" i="69"/>
  <c r="F6" i="15"/>
  <c r="E10" i="76"/>
  <c r="M8" i="15"/>
  <c r="M27" i="15"/>
  <c r="AO13" i="1"/>
  <c r="D2" i="34"/>
  <c r="D2" i="21"/>
  <c r="F9" i="15"/>
  <c r="F40" i="15"/>
  <c r="E12" i="76"/>
  <c r="B10" i="76"/>
  <c r="F16" i="15"/>
  <c r="F13" i="67"/>
  <c r="M9" i="67"/>
  <c r="M6" i="67"/>
  <c r="F42" i="15"/>
  <c r="F20" i="31"/>
  <c r="F40" i="67"/>
  <c r="M28" i="15"/>
  <c r="D2" i="33"/>
  <c r="F37" i="15"/>
  <c r="B9" i="76"/>
  <c r="D2" i="36"/>
  <c r="C76" i="15"/>
  <c r="C76" i="67"/>
  <c r="AO12" i="1"/>
  <c r="B12" i="76"/>
  <c r="M9" i="15"/>
  <c r="B11" i="76"/>
  <c r="M24" i="15"/>
  <c r="F6" i="73"/>
  <c r="F36" i="15"/>
  <c r="F7" i="73"/>
  <c r="F26" i="15"/>
  <c r="F8" i="15"/>
  <c r="AO11" i="1"/>
  <c r="E7" i="76"/>
  <c r="D2" i="37"/>
  <c r="F13" i="15"/>
  <c r="E11" i="76"/>
  <c r="B7" i="76"/>
  <c r="AO8" i="1"/>
  <c r="AO10" i="1"/>
  <c r="E9" i="76"/>
  <c r="M23" i="15"/>
  <c r="F38" i="15"/>
  <c r="M22" i="15"/>
  <c r="B13" i="76"/>
  <c r="D2" i="35"/>
  <c r="AO9" i="1"/>
  <c r="E8" i="76"/>
  <c r="F42" i="67"/>
  <c r="M8" i="67"/>
  <c r="M26" i="67"/>
  <c r="AB12" i="40" l="1"/>
  <c r="U12" i="40"/>
  <c r="AC27" i="40"/>
  <c r="W27" i="40"/>
  <c r="AC25" i="33"/>
  <c r="W25" i="33"/>
  <c r="U35" i="37"/>
  <c r="AB35" i="37"/>
  <c r="W37" i="33"/>
  <c r="AC37" i="33"/>
  <c r="H66" i="43"/>
  <c r="H59" i="43"/>
  <c r="H61" i="43"/>
  <c r="U16" i="35"/>
  <c r="AB16" i="35"/>
  <c r="F14" i="21"/>
  <c r="H14" i="21"/>
  <c r="U14" i="21" s="1"/>
  <c r="F28" i="21"/>
  <c r="J28" i="21"/>
  <c r="W28" i="21" s="1"/>
  <c r="H28" i="21"/>
  <c r="F30" i="21"/>
  <c r="S30" i="21" s="1"/>
  <c r="J30" i="21"/>
  <c r="J44" i="21"/>
  <c r="F44" i="21"/>
  <c r="AA44" i="21" s="1"/>
  <c r="H46" i="21"/>
  <c r="J46" i="21"/>
  <c r="E108" i="21"/>
  <c r="F108" i="21" s="1"/>
  <c r="G108" i="21" s="1"/>
  <c r="H108" i="21" s="1"/>
  <c r="I108" i="21" s="1"/>
  <c r="J108" i="21" s="1"/>
  <c r="K108" i="21" s="1"/>
  <c r="L108" i="21" s="1"/>
  <c r="M108" i="21" s="1"/>
  <c r="H35" i="21"/>
  <c r="AB35" i="21" s="1"/>
  <c r="E115" i="21"/>
  <c r="F115" i="21" s="1"/>
  <c r="G115" i="21" s="1"/>
  <c r="H115" i="21" s="1"/>
  <c r="I115" i="21" s="1"/>
  <c r="J115" i="21" s="1"/>
  <c r="K115" i="21" s="1"/>
  <c r="L115" i="21" s="1"/>
  <c r="M115" i="21" s="1"/>
  <c r="H38" i="21"/>
  <c r="U38" i="21" s="1"/>
  <c r="F40" i="21"/>
  <c r="J40" i="21"/>
  <c r="W40" i="21" s="1"/>
  <c r="B71" i="43"/>
  <c r="C21" i="39"/>
  <c r="B60" i="43"/>
  <c r="B74" i="43"/>
  <c r="C27" i="39"/>
  <c r="B65" i="43"/>
  <c r="B81" i="43"/>
  <c r="C15" i="40"/>
  <c r="F9" i="21"/>
  <c r="J9" i="21"/>
  <c r="AC9" i="21" s="1"/>
  <c r="H9" i="33"/>
  <c r="AB9" i="33" s="1"/>
  <c r="F9" i="33"/>
  <c r="AA9" i="33" s="1"/>
  <c r="J26" i="33"/>
  <c r="F26" i="33"/>
  <c r="AA26" i="33" s="1"/>
  <c r="H26" i="33"/>
  <c r="AA10" i="34"/>
  <c r="S10" i="34"/>
  <c r="AA28" i="35"/>
  <c r="S28" i="35"/>
  <c r="AB32" i="35"/>
  <c r="U32" i="35"/>
  <c r="J9" i="35"/>
  <c r="F9" i="35"/>
  <c r="H29" i="33"/>
  <c r="J29" i="33"/>
  <c r="F29" i="33"/>
  <c r="J45" i="33"/>
  <c r="F45" i="33"/>
  <c r="F46" i="34"/>
  <c r="J46" i="34"/>
  <c r="H46" i="34"/>
  <c r="U46" i="34" s="1"/>
  <c r="H12" i="35"/>
  <c r="F12" i="35"/>
  <c r="S12" i="35" s="1"/>
  <c r="J24" i="35"/>
  <c r="H24" i="35"/>
  <c r="AB36" i="35"/>
  <c r="U36" i="35"/>
  <c r="W27" i="35"/>
  <c r="AC27" i="35"/>
  <c r="AC22" i="36"/>
  <c r="W22" i="36"/>
  <c r="J11" i="36"/>
  <c r="AC11" i="36" s="1"/>
  <c r="F11" i="36"/>
  <c r="H11" i="36"/>
  <c r="U11" i="36" s="1"/>
  <c r="J13" i="36"/>
  <c r="F13" i="36"/>
  <c r="U29" i="36"/>
  <c r="AB29" i="36"/>
  <c r="J39" i="37"/>
  <c r="F39" i="37"/>
  <c r="S39" i="37" s="1"/>
  <c r="H39" i="37"/>
  <c r="AC40" i="39"/>
  <c r="W40" i="39"/>
  <c r="AC43" i="39"/>
  <c r="W43" i="39"/>
  <c r="U45" i="39"/>
  <c r="AB45" i="39"/>
  <c r="H107" i="39"/>
  <c r="I107" i="39" s="1"/>
  <c r="J107" i="39" s="1"/>
  <c r="K107" i="39" s="1"/>
  <c r="L107" i="39" s="1"/>
  <c r="M107" i="39" s="1"/>
  <c r="F32" i="39"/>
  <c r="S32" i="39" s="1"/>
  <c r="H32" i="39"/>
  <c r="AB32" i="39" s="1"/>
  <c r="S9" i="40"/>
  <c r="AA9" i="40"/>
  <c r="J32" i="40"/>
  <c r="H32" i="40"/>
  <c r="F32" i="40"/>
  <c r="S34" i="37"/>
  <c r="AA34" i="37"/>
  <c r="BA569" i="3"/>
  <c r="H67" i="43"/>
  <c r="W11" i="34"/>
  <c r="J32" i="39"/>
  <c r="AC32" i="39" s="1"/>
  <c r="B49" i="43"/>
  <c r="H9" i="21"/>
  <c r="AB9" i="21" s="1"/>
  <c r="W8" i="33"/>
  <c r="AB28" i="33"/>
  <c r="AB40" i="34"/>
  <c r="AA8" i="37"/>
  <c r="AA11" i="37"/>
  <c r="U8" i="40"/>
  <c r="S37" i="33"/>
  <c r="AC12" i="35"/>
  <c r="AB32" i="37"/>
  <c r="U32" i="37"/>
  <c r="S12" i="39"/>
  <c r="AA12" i="39"/>
  <c r="F36" i="35"/>
  <c r="S22" i="36"/>
  <c r="AA22" i="36"/>
  <c r="AC25" i="21"/>
  <c r="W25" i="21"/>
  <c r="G509" i="3"/>
  <c r="BL545" i="3"/>
  <c r="BL549" i="3"/>
  <c r="BL553" i="3"/>
  <c r="H43" i="39"/>
  <c r="H45" i="33"/>
  <c r="U45" i="33" s="1"/>
  <c r="H44" i="21"/>
  <c r="J14" i="21"/>
  <c r="W14" i="21" s="1"/>
  <c r="AC37" i="34"/>
  <c r="W37" i="34"/>
  <c r="S42" i="34"/>
  <c r="W43" i="34"/>
  <c r="AC43" i="34"/>
  <c r="W15" i="40"/>
  <c r="AC15" i="40"/>
  <c r="AB36" i="40"/>
  <c r="U36" i="40"/>
  <c r="AC9" i="40"/>
  <c r="AB26" i="21"/>
  <c r="U26" i="21"/>
  <c r="F35" i="21"/>
  <c r="AA35" i="21" s="1"/>
  <c r="AB10" i="21"/>
  <c r="U10" i="21"/>
  <c r="W17" i="37"/>
  <c r="AC17" i="37"/>
  <c r="W20" i="36"/>
  <c r="AC20" i="36"/>
  <c r="W30" i="34"/>
  <c r="AC30" i="34"/>
  <c r="AA28" i="33"/>
  <c r="S28" i="33"/>
  <c r="AA37" i="34"/>
  <c r="S37" i="34"/>
  <c r="AC32" i="35"/>
  <c r="W32" i="35"/>
  <c r="S34" i="36"/>
  <c r="AA34" i="36"/>
  <c r="AA8" i="33"/>
  <c r="S8" i="33"/>
  <c r="AC42" i="33"/>
  <c r="W42" i="33"/>
  <c r="U8" i="34"/>
  <c r="AB8" i="34"/>
  <c r="W14" i="35"/>
  <c r="AC14" i="35"/>
  <c r="U31" i="33"/>
  <c r="AB31" i="33"/>
  <c r="F30" i="34"/>
  <c r="H30" i="34"/>
  <c r="W16" i="36"/>
  <c r="AC16" i="36"/>
  <c r="H34" i="36"/>
  <c r="J34" i="36"/>
  <c r="AA8" i="39"/>
  <c r="S8" i="39"/>
  <c r="AB9" i="39"/>
  <c r="U9" i="39"/>
  <c r="AA34" i="40"/>
  <c r="S34" i="40"/>
  <c r="AC34" i="40"/>
  <c r="W34" i="40"/>
  <c r="J14" i="40"/>
  <c r="F14" i="40"/>
  <c r="H27" i="40"/>
  <c r="U27" i="40" s="1"/>
  <c r="F27" i="40"/>
  <c r="S27" i="40" s="1"/>
  <c r="W41" i="33"/>
  <c r="AC41" i="33"/>
  <c r="AB35" i="39"/>
  <c r="U35" i="39"/>
  <c r="BL544" i="3"/>
  <c r="BA542" i="3"/>
  <c r="AB40" i="39"/>
  <c r="U40" i="39"/>
  <c r="AC40" i="33"/>
  <c r="W40" i="33"/>
  <c r="AA34" i="34"/>
  <c r="S34" i="34"/>
  <c r="J9" i="37"/>
  <c r="F9" i="37"/>
  <c r="AC28" i="37"/>
  <c r="W28" i="37"/>
  <c r="H38" i="37"/>
  <c r="F38" i="37"/>
  <c r="J12" i="39"/>
  <c r="H12" i="39"/>
  <c r="AB12" i="39" s="1"/>
  <c r="J14" i="39"/>
  <c r="H14" i="39"/>
  <c r="AZ369" i="3"/>
  <c r="AZ361" i="3"/>
  <c r="AZ345" i="3"/>
  <c r="AZ371" i="3"/>
  <c r="AZ321" i="3"/>
  <c r="AZ394" i="3"/>
  <c r="G557" i="3"/>
  <c r="BA584" i="3"/>
  <c r="G584" i="3"/>
  <c r="G581" i="3"/>
  <c r="G577" i="3"/>
  <c r="G576" i="3"/>
  <c r="G575" i="3"/>
  <c r="G573" i="3"/>
  <c r="G571" i="3"/>
  <c r="G569" i="3"/>
  <c r="G568" i="3"/>
  <c r="G567" i="3"/>
  <c r="G565" i="3"/>
  <c r="G564" i="3"/>
  <c r="G563" i="3"/>
  <c r="G561" i="3"/>
  <c r="G560" i="3"/>
  <c r="G556" i="3"/>
  <c r="G555" i="3"/>
  <c r="G554" i="3"/>
  <c r="G553" i="3"/>
  <c r="G550" i="3"/>
  <c r="G549" i="3"/>
  <c r="G548" i="3"/>
  <c r="G547" i="3"/>
  <c r="G546" i="3"/>
  <c r="G545" i="3"/>
  <c r="G544" i="3"/>
  <c r="G543" i="3"/>
  <c r="G541" i="3"/>
  <c r="G540" i="3"/>
  <c r="G538" i="3"/>
  <c r="G537" i="3"/>
  <c r="G536" i="3"/>
  <c r="G535" i="3"/>
  <c r="G533" i="3"/>
  <c r="G532" i="3"/>
  <c r="BA531" i="3"/>
  <c r="G531" i="3"/>
  <c r="BL530" i="3"/>
  <c r="G530" i="3"/>
  <c r="G529" i="3"/>
  <c r="G528" i="3"/>
  <c r="G527" i="3"/>
  <c r="G525" i="3"/>
  <c r="G523" i="3"/>
  <c r="G522" i="3"/>
  <c r="G519" i="3"/>
  <c r="G518" i="3"/>
  <c r="G517" i="3"/>
  <c r="G516" i="3"/>
  <c r="G515" i="3"/>
  <c r="G514" i="3"/>
  <c r="G513" i="3"/>
  <c r="G511" i="3"/>
  <c r="BA510" i="3"/>
  <c r="G510" i="3"/>
  <c r="G508" i="3"/>
  <c r="G507" i="3"/>
  <c r="G506" i="3"/>
  <c r="G504" i="3"/>
  <c r="G503" i="3"/>
  <c r="G502" i="3"/>
  <c r="G501" i="3"/>
  <c r="G500" i="3"/>
  <c r="G499" i="3"/>
  <c r="G498" i="3"/>
  <c r="G497" i="3"/>
  <c r="G496" i="3"/>
  <c r="G495" i="3"/>
  <c r="G494" i="3"/>
  <c r="BN5" i="3"/>
  <c r="G493" i="3"/>
  <c r="G486" i="3"/>
  <c r="BA268" i="3"/>
  <c r="BA272" i="3"/>
  <c r="BL274" i="3"/>
  <c r="BA276" i="3"/>
  <c r="G299" i="3"/>
  <c r="BA49" i="3"/>
  <c r="AZ49" i="3" s="1"/>
  <c r="BL49" i="3"/>
  <c r="BA51" i="3"/>
  <c r="AZ51" i="3" s="1"/>
  <c r="BL51" i="3"/>
  <c r="BA52" i="3"/>
  <c r="AZ52" i="3" s="1"/>
  <c r="BA53" i="3"/>
  <c r="AZ53" i="3" s="1"/>
  <c r="BA55" i="3"/>
  <c r="BL55" i="3"/>
  <c r="BA56" i="3"/>
  <c r="AZ56" i="3" s="1"/>
  <c r="BA58" i="3"/>
  <c r="AZ58" i="3" s="1"/>
  <c r="BL58" i="3"/>
  <c r="BL60" i="3"/>
  <c r="G61" i="3"/>
  <c r="BA62" i="3"/>
  <c r="AZ62" i="3" s="1"/>
  <c r="BL62" i="3"/>
  <c r="BL64" i="3"/>
  <c r="G65" i="3"/>
  <c r="BA66" i="3"/>
  <c r="G67" i="3"/>
  <c r="BL68" i="3"/>
  <c r="BA70" i="3"/>
  <c r="G71" i="3"/>
  <c r="BA72" i="3"/>
  <c r="G73" i="3"/>
  <c r="BL74" i="3"/>
  <c r="G75" i="3"/>
  <c r="BA76" i="3"/>
  <c r="BL76" i="3"/>
  <c r="BL78" i="3"/>
  <c r="G79" i="3"/>
  <c r="BL80" i="3"/>
  <c r="G81" i="3"/>
  <c r="BA82" i="3"/>
  <c r="G83" i="3"/>
  <c r="BA84" i="3"/>
  <c r="G85" i="3"/>
  <c r="BA86" i="3"/>
  <c r="G87" i="3"/>
  <c r="BL88" i="3"/>
  <c r="BA90" i="3"/>
  <c r="G91" i="3"/>
  <c r="BA92" i="3"/>
  <c r="BL92" i="3"/>
  <c r="BA94" i="3"/>
  <c r="AZ94" i="3" s="1"/>
  <c r="BL94" i="3"/>
  <c r="BA95" i="3"/>
  <c r="AZ95" i="3" s="1"/>
  <c r="BA96" i="3"/>
  <c r="G97" i="3"/>
  <c r="BL98" i="3"/>
  <c r="BL104" i="3"/>
  <c r="BA106" i="3"/>
  <c r="BL108" i="3"/>
  <c r="BL110" i="3"/>
  <c r="BA112" i="3"/>
  <c r="I15" i="66"/>
  <c r="I20" i="66"/>
  <c r="AB21" i="37"/>
  <c r="C62" i="71"/>
  <c r="D62" i="71" s="1"/>
  <c r="T55" i="71"/>
  <c r="J23" i="21"/>
  <c r="AC23" i="21" s="1"/>
  <c r="F39" i="39"/>
  <c r="S39" i="39" s="1"/>
  <c r="J39" i="39"/>
  <c r="AC39" i="39" s="1"/>
  <c r="H39" i="39"/>
  <c r="AC37" i="37"/>
  <c r="W37" i="37"/>
  <c r="AB36" i="37"/>
  <c r="U36" i="37"/>
  <c r="AA28" i="36"/>
  <c r="S28" i="36"/>
  <c r="W10" i="35"/>
  <c r="AC10" i="35"/>
  <c r="AA28" i="40"/>
  <c r="S28" i="40"/>
  <c r="BA586" i="3"/>
  <c r="H113" i="21"/>
  <c r="J37" i="21"/>
  <c r="W37" i="21" s="1"/>
  <c r="AC38" i="33"/>
  <c r="W38" i="33"/>
  <c r="J23" i="33"/>
  <c r="AC23" i="33" s="1"/>
  <c r="H23" i="33"/>
  <c r="AB23" i="33" s="1"/>
  <c r="AA32" i="35"/>
  <c r="S32" i="35"/>
  <c r="J13" i="34"/>
  <c r="F13" i="34"/>
  <c r="AA13" i="34" s="1"/>
  <c r="J45" i="34"/>
  <c r="H45" i="34"/>
  <c r="J13" i="35"/>
  <c r="H13" i="35"/>
  <c r="AB26" i="36"/>
  <c r="U26" i="36"/>
  <c r="AA9" i="39"/>
  <c r="S9" i="39"/>
  <c r="AC12" i="39"/>
  <c r="W12" i="39"/>
  <c r="F99" i="39"/>
  <c r="G99" i="39" s="1"/>
  <c r="H25" i="39"/>
  <c r="AB25" i="39" s="1"/>
  <c r="AA8" i="40"/>
  <c r="S8" i="40"/>
  <c r="J13" i="40"/>
  <c r="F13" i="40"/>
  <c r="AA13" i="40" s="1"/>
  <c r="J33" i="40"/>
  <c r="H33" i="40"/>
  <c r="AA40" i="33"/>
  <c r="S40" i="33"/>
  <c r="BK5" i="3"/>
  <c r="BA577" i="3"/>
  <c r="BA559" i="3"/>
  <c r="BA552" i="3"/>
  <c r="AC11" i="37"/>
  <c r="U11" i="34"/>
  <c r="U11" i="37"/>
  <c r="S13" i="21"/>
  <c r="F17" i="33"/>
  <c r="AA17" i="33" s="1"/>
  <c r="F23" i="33"/>
  <c r="AA23" i="33" s="1"/>
  <c r="U10" i="34"/>
  <c r="B67" i="43"/>
  <c r="C21" i="40"/>
  <c r="C17" i="40"/>
  <c r="C19" i="39"/>
  <c r="W12" i="21"/>
  <c r="F29" i="21"/>
  <c r="S29" i="21" s="1"/>
  <c r="U12" i="34"/>
  <c r="AA8" i="34"/>
  <c r="AB47" i="34"/>
  <c r="AB13" i="40"/>
  <c r="W41" i="21"/>
  <c r="AA29" i="34"/>
  <c r="AC42" i="34"/>
  <c r="S37" i="37"/>
  <c r="W30" i="37"/>
  <c r="S20" i="35"/>
  <c r="S16" i="36"/>
  <c r="F12" i="33"/>
  <c r="W12" i="33"/>
  <c r="AZ357" i="3"/>
  <c r="F25" i="39"/>
  <c r="AA25" i="39" s="1"/>
  <c r="AA41" i="34"/>
  <c r="AB32" i="40"/>
  <c r="U32" i="40"/>
  <c r="BL559" i="3"/>
  <c r="AZ559" i="3" s="1"/>
  <c r="BL563" i="3"/>
  <c r="BL567" i="3"/>
  <c r="BL571" i="3"/>
  <c r="BL575" i="3"/>
  <c r="AZ575" i="3" s="1"/>
  <c r="AC36" i="37"/>
  <c r="W36" i="37"/>
  <c r="F33" i="40"/>
  <c r="AC14" i="39"/>
  <c r="W14" i="39"/>
  <c r="H29" i="34"/>
  <c r="AB29" i="34" s="1"/>
  <c r="F44" i="33"/>
  <c r="S29" i="37"/>
  <c r="AA29" i="37"/>
  <c r="S13" i="36"/>
  <c r="AA13" i="36"/>
  <c r="AB13" i="36"/>
  <c r="U13" i="36"/>
  <c r="S29" i="33"/>
  <c r="AA29" i="33"/>
  <c r="AC19" i="34"/>
  <c r="W19" i="34"/>
  <c r="AB38" i="34"/>
  <c r="U38" i="34"/>
  <c r="W8" i="34"/>
  <c r="W34" i="37"/>
  <c r="AC34" i="37"/>
  <c r="W20" i="35"/>
  <c r="AC20" i="35"/>
  <c r="AC29" i="35"/>
  <c r="W29" i="35"/>
  <c r="S16" i="35"/>
  <c r="AA16" i="35"/>
  <c r="AA24" i="36"/>
  <c r="S24" i="36"/>
  <c r="AB16" i="36"/>
  <c r="U16" i="36"/>
  <c r="W34" i="36"/>
  <c r="AC34" i="36"/>
  <c r="W11" i="40"/>
  <c r="AC11" i="40"/>
  <c r="U17" i="40"/>
  <c r="AB17" i="40"/>
  <c r="AA35" i="40"/>
  <c r="S35" i="40"/>
  <c r="AB19" i="39"/>
  <c r="U19" i="39"/>
  <c r="U34" i="39"/>
  <c r="AB34" i="39"/>
  <c r="AB39" i="37"/>
  <c r="U39" i="37"/>
  <c r="S33" i="35"/>
  <c r="AA33" i="35"/>
  <c r="W11" i="33"/>
  <c r="AC11" i="33"/>
  <c r="AB37" i="33"/>
  <c r="U37" i="33"/>
  <c r="AB22" i="35"/>
  <c r="U22" i="35"/>
  <c r="AC10" i="21"/>
  <c r="W10" i="21"/>
  <c r="J27" i="21"/>
  <c r="F27" i="21"/>
  <c r="AA27" i="21" s="1"/>
  <c r="AB31" i="21"/>
  <c r="U31" i="21"/>
  <c r="B73" i="43"/>
  <c r="B52" i="43"/>
  <c r="B63" i="43"/>
  <c r="F27" i="33"/>
  <c r="H27" i="33"/>
  <c r="AA8" i="35"/>
  <c r="S8" i="35"/>
  <c r="AB28" i="35"/>
  <c r="U28" i="35"/>
  <c r="F30" i="33"/>
  <c r="J30" i="33"/>
  <c r="J46" i="33"/>
  <c r="F46" i="33"/>
  <c r="AB22" i="36"/>
  <c r="U22" i="36"/>
  <c r="AB8" i="37"/>
  <c r="U8" i="37"/>
  <c r="AB29" i="37"/>
  <c r="U29" i="37"/>
  <c r="AA30" i="37"/>
  <c r="S30" i="37"/>
  <c r="W35" i="37"/>
  <c r="AC35" i="37"/>
  <c r="AB37" i="39"/>
  <c r="U37" i="39"/>
  <c r="AB38" i="39"/>
  <c r="U38" i="39"/>
  <c r="J31" i="40"/>
  <c r="AC31" i="40" s="1"/>
  <c r="F31" i="40"/>
  <c r="C79" i="35"/>
  <c r="H26" i="35" s="1"/>
  <c r="U26" i="35" s="1"/>
  <c r="BL572" i="3"/>
  <c r="BA572" i="3"/>
  <c r="BL566" i="3"/>
  <c r="BA564" i="3"/>
  <c r="BA547" i="3"/>
  <c r="BL546" i="3"/>
  <c r="BA539" i="3"/>
  <c r="BA534" i="3"/>
  <c r="BL532" i="3"/>
  <c r="BA526" i="3"/>
  <c r="BL524" i="3"/>
  <c r="BA523" i="3"/>
  <c r="BA518" i="3"/>
  <c r="BA513" i="3"/>
  <c r="BL512" i="3"/>
  <c r="BL508" i="3"/>
  <c r="BL505" i="3"/>
  <c r="BL504" i="3"/>
  <c r="BA503" i="3"/>
  <c r="BA502" i="3"/>
  <c r="BL494" i="3"/>
  <c r="BA494" i="3"/>
  <c r="BG5" i="3"/>
  <c r="AZ387" i="3"/>
  <c r="S22" i="31"/>
  <c r="R22" i="31" s="1"/>
  <c r="B21" i="31" s="1"/>
  <c r="BL493" i="3"/>
  <c r="BL497" i="3"/>
  <c r="BL501" i="3"/>
  <c r="BL507" i="3"/>
  <c r="BL465" i="3"/>
  <c r="BA475" i="3"/>
  <c r="AZ475" i="3" s="1"/>
  <c r="G480" i="3"/>
  <c r="G482" i="3"/>
  <c r="BA483" i="3"/>
  <c r="G484" i="3"/>
  <c r="BA485" i="3"/>
  <c r="BL485" i="3"/>
  <c r="BA486" i="3"/>
  <c r="AZ486" i="3" s="1"/>
  <c r="BA487" i="3"/>
  <c r="BA489" i="3"/>
  <c r="BA307" i="3"/>
  <c r="AZ307" i="3" s="1"/>
  <c r="BL317" i="3"/>
  <c r="BA319" i="3"/>
  <c r="AZ319" i="3" s="1"/>
  <c r="BL333" i="3"/>
  <c r="BA335" i="3"/>
  <c r="AZ335" i="3" s="1"/>
  <c r="BA339" i="3"/>
  <c r="AZ339" i="3" s="1"/>
  <c r="BA349" i="3"/>
  <c r="AZ349" i="3" s="1"/>
  <c r="BL375" i="3"/>
  <c r="AZ375" i="3" s="1"/>
  <c r="BL397" i="3"/>
  <c r="BA209" i="3"/>
  <c r="BL209" i="3"/>
  <c r="G210" i="3"/>
  <c r="BA211" i="3"/>
  <c r="G212" i="3"/>
  <c r="BL213" i="3"/>
  <c r="G214" i="3"/>
  <c r="BL215" i="3"/>
  <c r="G216" i="3"/>
  <c r="BL217" i="3"/>
  <c r="D70" i="71"/>
  <c r="C69" i="71"/>
  <c r="D69" i="71" s="1"/>
  <c r="D43" i="71"/>
  <c r="T43" i="71"/>
  <c r="T59" i="71"/>
  <c r="C58" i="71"/>
  <c r="D59" i="71"/>
  <c r="T67" i="71"/>
  <c r="C66" i="71"/>
  <c r="C65" i="71" s="1"/>
  <c r="D65" i="71" s="1"/>
  <c r="D67" i="71"/>
  <c r="AA21" i="37"/>
  <c r="AA25" i="40"/>
  <c r="S25" i="40"/>
  <c r="BL255" i="3"/>
  <c r="G256" i="3"/>
  <c r="BA259" i="3"/>
  <c r="BL261" i="3"/>
  <c r="G262" i="3"/>
  <c r="BA263" i="3"/>
  <c r="G264" i="3"/>
  <c r="BL265" i="3"/>
  <c r="G266" i="3"/>
  <c r="BA267" i="3"/>
  <c r="BL267" i="3"/>
  <c r="BA269" i="3"/>
  <c r="BL269" i="3"/>
  <c r="BA270" i="3"/>
  <c r="BL270" i="3"/>
  <c r="AZ270" i="3" s="1"/>
  <c r="BA273" i="3"/>
  <c r="BL273" i="3"/>
  <c r="BA274" i="3"/>
  <c r="AZ274" i="3" s="1"/>
  <c r="BA275" i="3"/>
  <c r="AZ275" i="3" s="1"/>
  <c r="BL277" i="3"/>
  <c r="G278" i="3"/>
  <c r="BA279" i="3"/>
  <c r="G280" i="3"/>
  <c r="BA281" i="3"/>
  <c r="G282" i="3"/>
  <c r="BL283" i="3"/>
  <c r="G284" i="3"/>
  <c r="BL285" i="3"/>
  <c r="BL287" i="3"/>
  <c r="BA289" i="3"/>
  <c r="G290" i="3"/>
  <c r="BL291" i="3"/>
  <c r="G292" i="3"/>
  <c r="BA293" i="3"/>
  <c r="BL293" i="3"/>
  <c r="BL294" i="3"/>
  <c r="G295" i="3"/>
  <c r="BL296" i="3"/>
  <c r="G297" i="3"/>
  <c r="BA298" i="3"/>
  <c r="BL298" i="3"/>
  <c r="AZ298" i="3" s="1"/>
  <c r="BL300" i="3"/>
  <c r="G301" i="3"/>
  <c r="BL302" i="3"/>
  <c r="BL114" i="3"/>
  <c r="G115" i="3"/>
  <c r="BA116" i="3"/>
  <c r="AZ116" i="3" s="1"/>
  <c r="G123" i="3"/>
  <c r="BL126" i="3"/>
  <c r="BA128" i="3"/>
  <c r="AZ128" i="3" s="1"/>
  <c r="BL130" i="3"/>
  <c r="BA132" i="3"/>
  <c r="AZ132" i="3" s="1"/>
  <c r="BA166" i="3"/>
  <c r="G171" i="3"/>
  <c r="E59" i="43"/>
  <c r="B57" i="43" s="1"/>
  <c r="P27" i="6"/>
  <c r="E14" i="71"/>
  <c r="E13" i="71" s="1"/>
  <c r="AA18" i="71"/>
  <c r="AB22" i="71"/>
  <c r="Y23" i="71"/>
  <c r="Z23" i="71" s="1"/>
  <c r="AB23" i="71"/>
  <c r="E9" i="71"/>
  <c r="E8" i="71" s="1"/>
  <c r="E7" i="71" s="1"/>
  <c r="E6" i="71" s="1"/>
  <c r="E5" i="71" s="1"/>
  <c r="U45" i="21"/>
  <c r="AB45" i="21"/>
  <c r="AA20" i="36"/>
  <c r="S20" i="36"/>
  <c r="AA32" i="37"/>
  <c r="S32" i="37"/>
  <c r="AA27" i="36"/>
  <c r="S27" i="36"/>
  <c r="AA30" i="40"/>
  <c r="S30" i="40"/>
  <c r="S33" i="34"/>
  <c r="AA33" i="34"/>
  <c r="H55" i="43"/>
  <c r="H51" i="43"/>
  <c r="H82" i="43"/>
  <c r="H88" i="43"/>
  <c r="AC12" i="37"/>
  <c r="S31" i="37"/>
  <c r="AA31" i="37"/>
  <c r="W9" i="21"/>
  <c r="AB10" i="37"/>
  <c r="U10" i="37"/>
  <c r="P24" i="43"/>
  <c r="B66" i="40" s="1"/>
  <c r="D68" i="39"/>
  <c r="AB10" i="33"/>
  <c r="AC10" i="37"/>
  <c r="W10" i="37"/>
  <c r="AC23" i="37"/>
  <c r="W23" i="37"/>
  <c r="F23" i="21"/>
  <c r="S23" i="21" s="1"/>
  <c r="H23" i="21"/>
  <c r="U23" i="21" s="1"/>
  <c r="F36" i="33"/>
  <c r="H36" i="33"/>
  <c r="U36" i="33" s="1"/>
  <c r="S23" i="37"/>
  <c r="AA23" i="37"/>
  <c r="AB26" i="35"/>
  <c r="U31" i="40"/>
  <c r="AB31" i="40"/>
  <c r="AC32" i="37"/>
  <c r="W32" i="37"/>
  <c r="AB24" i="35"/>
  <c r="U24" i="35"/>
  <c r="AC41" i="34"/>
  <c r="W41" i="34"/>
  <c r="AA14" i="36"/>
  <c r="S14" i="36"/>
  <c r="W13" i="36"/>
  <c r="AC13" i="36"/>
  <c r="AA11" i="36"/>
  <c r="S11" i="36"/>
  <c r="S29" i="35"/>
  <c r="AA29" i="35"/>
  <c r="AA34" i="21"/>
  <c r="S34" i="21"/>
  <c r="BL587" i="3"/>
  <c r="BA587" i="3"/>
  <c r="BA585" i="3"/>
  <c r="H13" i="21"/>
  <c r="J13" i="21"/>
  <c r="J45" i="21"/>
  <c r="F45" i="21"/>
  <c r="E101" i="33"/>
  <c r="F101" i="33" s="1"/>
  <c r="G101" i="33" s="1"/>
  <c r="H101" i="33" s="1"/>
  <c r="I101" i="33" s="1"/>
  <c r="J101" i="33" s="1"/>
  <c r="K101" i="33" s="1"/>
  <c r="L101" i="33" s="1"/>
  <c r="M101" i="33" s="1"/>
  <c r="H32" i="33"/>
  <c r="AB32" i="33" s="1"/>
  <c r="F32" i="33"/>
  <c r="AA32" i="33" s="1"/>
  <c r="F28" i="34"/>
  <c r="J28" i="34"/>
  <c r="AA35" i="34"/>
  <c r="S35" i="34"/>
  <c r="H23" i="35"/>
  <c r="J23" i="35"/>
  <c r="J25" i="35"/>
  <c r="H25" i="35"/>
  <c r="F35" i="35"/>
  <c r="J35" i="35"/>
  <c r="AC22" i="35"/>
  <c r="W22" i="35"/>
  <c r="AC8" i="36"/>
  <c r="W8" i="36"/>
  <c r="J25" i="36"/>
  <c r="H25" i="36"/>
  <c r="F25" i="36"/>
  <c r="F32" i="36"/>
  <c r="J32" i="36"/>
  <c r="H32" i="36"/>
  <c r="AC31" i="37"/>
  <c r="W31" i="37"/>
  <c r="F13" i="37"/>
  <c r="J13" i="37"/>
  <c r="H27" i="37"/>
  <c r="U27" i="37" s="1"/>
  <c r="F27" i="37"/>
  <c r="J27" i="37"/>
  <c r="AB40" i="37"/>
  <c r="U40" i="37"/>
  <c r="E126" i="39"/>
  <c r="F126" i="39" s="1"/>
  <c r="G126" i="39" s="1"/>
  <c r="H126" i="39" s="1"/>
  <c r="I126" i="39" s="1"/>
  <c r="J126" i="39" s="1"/>
  <c r="K126" i="39" s="1"/>
  <c r="L126" i="39" s="1"/>
  <c r="M126" i="39" s="1"/>
  <c r="F42" i="39"/>
  <c r="AA42" i="39" s="1"/>
  <c r="H44" i="39"/>
  <c r="J44" i="39"/>
  <c r="AC44" i="39" s="1"/>
  <c r="H124" i="39"/>
  <c r="I124" i="39" s="1"/>
  <c r="J124" i="39" s="1"/>
  <c r="K124" i="39" s="1"/>
  <c r="L124" i="39" s="1"/>
  <c r="M124" i="39" s="1"/>
  <c r="J41" i="39"/>
  <c r="AB9" i="40"/>
  <c r="U9" i="40"/>
  <c r="AB38" i="40"/>
  <c r="U38" i="40"/>
  <c r="BA583" i="3"/>
  <c r="BL582" i="3"/>
  <c r="BL580" i="3"/>
  <c r="BA580" i="3"/>
  <c r="BA579" i="3"/>
  <c r="BL576" i="3"/>
  <c r="BA576" i="3"/>
  <c r="BA575" i="3"/>
  <c r="BL574" i="3"/>
  <c r="BA574" i="3"/>
  <c r="BA573" i="3"/>
  <c r="AZ573" i="3" s="1"/>
  <c r="BA571" i="3"/>
  <c r="BL570" i="3"/>
  <c r="BA570" i="3"/>
  <c r="BL568" i="3"/>
  <c r="AZ568" i="3" s="1"/>
  <c r="BA568" i="3"/>
  <c r="BA567" i="3"/>
  <c r="BA566" i="3"/>
  <c r="BA565" i="3"/>
  <c r="BL564" i="3"/>
  <c r="BA563" i="3"/>
  <c r="AZ563" i="3" s="1"/>
  <c r="BL562" i="3"/>
  <c r="BA562" i="3"/>
  <c r="BA560" i="3"/>
  <c r="BA557" i="3"/>
  <c r="BL556" i="3"/>
  <c r="BL555" i="3"/>
  <c r="BA555" i="3"/>
  <c r="BL554" i="3"/>
  <c r="BA554" i="3"/>
  <c r="BA553" i="3"/>
  <c r="BL552" i="3"/>
  <c r="BA549" i="3"/>
  <c r="BA548" i="3"/>
  <c r="BA546" i="3"/>
  <c r="AZ546" i="3" s="1"/>
  <c r="BA545" i="3"/>
  <c r="AZ545" i="3" s="1"/>
  <c r="BA544" i="3"/>
  <c r="AZ544" i="3" s="1"/>
  <c r="BA543" i="3"/>
  <c r="BL542" i="3"/>
  <c r="AZ542" i="3" s="1"/>
  <c r="BL541" i="3"/>
  <c r="BA541" i="3"/>
  <c r="BL540" i="3"/>
  <c r="BA540" i="3"/>
  <c r="BL538" i="3"/>
  <c r="BA538" i="3"/>
  <c r="BA537" i="3"/>
  <c r="BL536" i="3"/>
  <c r="BA536" i="3"/>
  <c r="BA535" i="3"/>
  <c r="BL534" i="3"/>
  <c r="BA533" i="3"/>
  <c r="BA532" i="3"/>
  <c r="AZ532" i="3" s="1"/>
  <c r="BA530" i="3"/>
  <c r="AZ530" i="3" s="1"/>
  <c r="BA529" i="3"/>
  <c r="BL528" i="3"/>
  <c r="BA528" i="3"/>
  <c r="BA527" i="3"/>
  <c r="BL526" i="3"/>
  <c r="BA525" i="3"/>
  <c r="BA524" i="3"/>
  <c r="AZ524" i="3" s="1"/>
  <c r="BL522" i="3"/>
  <c r="BA522" i="3"/>
  <c r="BA521" i="3"/>
  <c r="BA520" i="3"/>
  <c r="AZ520" i="3" s="1"/>
  <c r="BA519" i="3"/>
  <c r="AZ519" i="3" s="1"/>
  <c r="BL518" i="3"/>
  <c r="AZ518" i="3" s="1"/>
  <c r="BA517" i="3"/>
  <c r="AZ517" i="3" s="1"/>
  <c r="BL516" i="3"/>
  <c r="BA516" i="3"/>
  <c r="BA515" i="3"/>
  <c r="BL514" i="3"/>
  <c r="BA514" i="3"/>
  <c r="BA512" i="3"/>
  <c r="AZ512" i="3" s="1"/>
  <c r="BA511" i="3"/>
  <c r="BL510" i="3"/>
  <c r="AZ510" i="3" s="1"/>
  <c r="BA509" i="3"/>
  <c r="BA508" i="3"/>
  <c r="AZ508" i="3" s="1"/>
  <c r="BA507" i="3"/>
  <c r="BL506" i="3"/>
  <c r="BA506" i="3"/>
  <c r="BA505" i="3"/>
  <c r="AZ505" i="3" s="1"/>
  <c r="BA504" i="3"/>
  <c r="BL502" i="3"/>
  <c r="AZ502" i="3" s="1"/>
  <c r="BA501" i="3"/>
  <c r="AZ501" i="3" s="1"/>
  <c r="BL500" i="3"/>
  <c r="BA500" i="3"/>
  <c r="BA499" i="3"/>
  <c r="AZ499" i="3" s="1"/>
  <c r="BL498" i="3"/>
  <c r="BA498" i="3"/>
  <c r="BA497" i="3"/>
  <c r="BL496" i="3"/>
  <c r="BA496" i="3"/>
  <c r="BA493" i="3"/>
  <c r="AZ493" i="3" s="1"/>
  <c r="U15" i="40"/>
  <c r="S13" i="40"/>
  <c r="W37" i="40"/>
  <c r="AB39" i="21"/>
  <c r="AC29" i="37"/>
  <c r="AC17" i="40"/>
  <c r="U35" i="21"/>
  <c r="AZ318" i="3"/>
  <c r="AZ310" i="3"/>
  <c r="AZ372" i="3"/>
  <c r="AZ336" i="3"/>
  <c r="AZ304" i="3"/>
  <c r="H41" i="39"/>
  <c r="AB41" i="39" s="1"/>
  <c r="J25" i="39"/>
  <c r="W25" i="39" s="1"/>
  <c r="U26" i="37"/>
  <c r="AA12" i="35"/>
  <c r="H28" i="34"/>
  <c r="BL495" i="3"/>
  <c r="BL499" i="3"/>
  <c r="BL503" i="3"/>
  <c r="AZ503" i="3" s="1"/>
  <c r="BL509" i="3"/>
  <c r="AZ509" i="3" s="1"/>
  <c r="BL511" i="3"/>
  <c r="BL515" i="3"/>
  <c r="AZ515" i="3" s="1"/>
  <c r="BL519" i="3"/>
  <c r="BL523" i="3"/>
  <c r="BL527" i="3"/>
  <c r="AZ527" i="3" s="1"/>
  <c r="BL531" i="3"/>
  <c r="BL535" i="3"/>
  <c r="BL539" i="3"/>
  <c r="H13" i="37"/>
  <c r="AB13" i="37" s="1"/>
  <c r="F25" i="35"/>
  <c r="AC11" i="35"/>
  <c r="W11" i="35"/>
  <c r="AC8" i="35"/>
  <c r="F23" i="35"/>
  <c r="S8" i="36"/>
  <c r="AB23" i="40"/>
  <c r="U23" i="40"/>
  <c r="U31" i="35"/>
  <c r="AC31" i="36"/>
  <c r="BL513" i="3"/>
  <c r="BL517" i="3"/>
  <c r="BL521" i="3"/>
  <c r="BL525" i="3"/>
  <c r="AZ525" i="3" s="1"/>
  <c r="BL529" i="3"/>
  <c r="AZ529" i="3" s="1"/>
  <c r="BL533" i="3"/>
  <c r="AZ533" i="3" s="1"/>
  <c r="BL537" i="3"/>
  <c r="AZ537" i="3" s="1"/>
  <c r="BL543" i="3"/>
  <c r="BL547" i="3"/>
  <c r="BL551" i="3"/>
  <c r="BL565" i="3"/>
  <c r="BL569" i="3"/>
  <c r="BL573" i="3"/>
  <c r="BL577" i="3"/>
  <c r="AZ577" i="3" s="1"/>
  <c r="BL557" i="3"/>
  <c r="AA45" i="33"/>
  <c r="S45" i="33"/>
  <c r="AC29" i="33"/>
  <c r="W29" i="33"/>
  <c r="J13" i="33"/>
  <c r="F13" i="33"/>
  <c r="J31" i="33"/>
  <c r="W31" i="33" s="1"/>
  <c r="F31" i="33"/>
  <c r="F12" i="34"/>
  <c r="S12" i="34" s="1"/>
  <c r="J12" i="34"/>
  <c r="W12" i="34" s="1"/>
  <c r="J14" i="34"/>
  <c r="H14" i="34"/>
  <c r="H32" i="34"/>
  <c r="J32" i="34"/>
  <c r="H11" i="35"/>
  <c r="U11" i="35" s="1"/>
  <c r="F11" i="35"/>
  <c r="J12" i="40"/>
  <c r="F12" i="40"/>
  <c r="U41" i="21"/>
  <c r="AB41" i="21"/>
  <c r="U42" i="34"/>
  <c r="AB42" i="34"/>
  <c r="G583" i="3"/>
  <c r="G580" i="3"/>
  <c r="G579" i="3"/>
  <c r="G526" i="3"/>
  <c r="BL405" i="3"/>
  <c r="BA407" i="3"/>
  <c r="BL407" i="3"/>
  <c r="AZ407" i="3" s="1"/>
  <c r="G412" i="3"/>
  <c r="BL443" i="3"/>
  <c r="G464" i="3"/>
  <c r="BA465" i="3"/>
  <c r="AZ465" i="3" s="1"/>
  <c r="BL467" i="3"/>
  <c r="G468" i="3"/>
  <c r="BA469" i="3"/>
  <c r="BL469" i="3"/>
  <c r="BA471" i="3"/>
  <c r="BL471" i="3"/>
  <c r="AZ471" i="3" s="1"/>
  <c r="G474" i="3"/>
  <c r="BL476" i="3"/>
  <c r="G477" i="3"/>
  <c r="BL478" i="3"/>
  <c r="BL480" i="3"/>
  <c r="C22" i="71"/>
  <c r="C23" i="71" s="1"/>
  <c r="D23" i="71" s="1"/>
  <c r="D21" i="71"/>
  <c r="BL487" i="3"/>
  <c r="AZ487" i="3" s="1"/>
  <c r="G488" i="3"/>
  <c r="BA490" i="3"/>
  <c r="BL490" i="3"/>
  <c r="G491" i="3"/>
  <c r="BL492" i="3"/>
  <c r="G349" i="3"/>
  <c r="BA350" i="3"/>
  <c r="G351" i="3"/>
  <c r="BA352" i="3"/>
  <c r="AZ352" i="3" s="1"/>
  <c r="BA354" i="3"/>
  <c r="BL354" i="3"/>
  <c r="BA358" i="3"/>
  <c r="AZ358" i="3" s="1"/>
  <c r="BA366" i="3"/>
  <c r="AZ366" i="3" s="1"/>
  <c r="BL368" i="3"/>
  <c r="G369" i="3"/>
  <c r="G374" i="3"/>
  <c r="BA384" i="3"/>
  <c r="AZ384" i="3" s="1"/>
  <c r="G387" i="3"/>
  <c r="BA396" i="3"/>
  <c r="BL396" i="3"/>
  <c r="G397" i="3"/>
  <c r="G217" i="3"/>
  <c r="BL218" i="3"/>
  <c r="BA223" i="3"/>
  <c r="BL223" i="3"/>
  <c r="G224" i="3"/>
  <c r="BA243" i="3"/>
  <c r="BL245" i="3"/>
  <c r="BL247" i="3"/>
  <c r="BL256" i="3"/>
  <c r="G257" i="3"/>
  <c r="BA258" i="3"/>
  <c r="BL258" i="3"/>
  <c r="G259" i="3"/>
  <c r="G126" i="3"/>
  <c r="G128" i="3"/>
  <c r="BL129" i="3"/>
  <c r="G132" i="3"/>
  <c r="BA133" i="3"/>
  <c r="G150" i="3"/>
  <c r="BA153" i="3"/>
  <c r="G154" i="3"/>
  <c r="BL155" i="3"/>
  <c r="AZ155" i="3" s="1"/>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BA182" i="3"/>
  <c r="G183" i="3"/>
  <c r="G187" i="3"/>
  <c r="BA198" i="3"/>
  <c r="G203" i="3"/>
  <c r="G205" i="3"/>
  <c r="BL206" i="3"/>
  <c r="G104" i="3"/>
  <c r="BL105" i="3"/>
  <c r="G108" i="3"/>
  <c r="BL109" i="3"/>
  <c r="BL111" i="3"/>
  <c r="D66" i="71"/>
  <c r="C26" i="71"/>
  <c r="D17" i="71"/>
  <c r="AB18" i="71"/>
  <c r="Y19" i="71"/>
  <c r="Z19" i="71" s="1"/>
  <c r="X20" i="71"/>
  <c r="U33" i="21"/>
  <c r="AZ379" i="3"/>
  <c r="AZ334" i="3"/>
  <c r="AZ382" i="3"/>
  <c r="AZ364" i="3"/>
  <c r="AZ356" i="3"/>
  <c r="AZ342" i="3"/>
  <c r="AZ329" i="3"/>
  <c r="AA14" i="40"/>
  <c r="S14" i="40"/>
  <c r="AC44" i="21"/>
  <c r="W44" i="21"/>
  <c r="AB33" i="37"/>
  <c r="U33" i="37"/>
  <c r="U17" i="34"/>
  <c r="AB17" i="34"/>
  <c r="AB30" i="35"/>
  <c r="U30" i="35"/>
  <c r="AA21" i="40"/>
  <c r="S21" i="40"/>
  <c r="U13" i="34"/>
  <c r="AB13" i="34"/>
  <c r="AB11" i="35"/>
  <c r="AC31" i="33"/>
  <c r="U37" i="34"/>
  <c r="AB37" i="34"/>
  <c r="AZ376" i="3"/>
  <c r="AZ325" i="3"/>
  <c r="AZ549" i="3"/>
  <c r="AZ534" i="3"/>
  <c r="AZ552" i="3"/>
  <c r="F13" i="35"/>
  <c r="S13" i="35" s="1"/>
  <c r="F45" i="34"/>
  <c r="AA45" i="34" s="1"/>
  <c r="H31" i="34"/>
  <c r="J29" i="34"/>
  <c r="H46" i="33"/>
  <c r="J44" i="33"/>
  <c r="W44" i="33" s="1"/>
  <c r="H30" i="33"/>
  <c r="J31" i="21"/>
  <c r="H27" i="21"/>
  <c r="J28" i="33"/>
  <c r="F27" i="34"/>
  <c r="AB34" i="37"/>
  <c r="U8" i="35"/>
  <c r="S10" i="36"/>
  <c r="C25" i="39"/>
  <c r="U34" i="40"/>
  <c r="U33" i="33"/>
  <c r="W28" i="35"/>
  <c r="W28" i="36"/>
  <c r="F35" i="39"/>
  <c r="AA35" i="39" s="1"/>
  <c r="J9" i="33"/>
  <c r="H12" i="33"/>
  <c r="AB12" i="33" s="1"/>
  <c r="H40" i="40"/>
  <c r="AB40" i="40" s="1"/>
  <c r="G570" i="3"/>
  <c r="G562" i="3"/>
  <c r="G559" i="3"/>
  <c r="G558" i="3"/>
  <c r="G542" i="3"/>
  <c r="BA409" i="3"/>
  <c r="G410" i="3"/>
  <c r="BA411" i="3"/>
  <c r="BL411" i="3"/>
  <c r="BL413" i="3"/>
  <c r="G414" i="3"/>
  <c r="BL415" i="3"/>
  <c r="G418" i="3"/>
  <c r="G422" i="3"/>
  <c r="BA423" i="3"/>
  <c r="BL423" i="3"/>
  <c r="BA426" i="3"/>
  <c r="BL426" i="3"/>
  <c r="G427" i="3"/>
  <c r="BL428" i="3"/>
  <c r="G429" i="3"/>
  <c r="BL430" i="3"/>
  <c r="BL433" i="3"/>
  <c r="BL435" i="3"/>
  <c r="G438" i="3"/>
  <c r="BA439" i="3"/>
  <c r="G440" i="3"/>
  <c r="BL441" i="3"/>
  <c r="G442" i="3"/>
  <c r="BA443" i="3"/>
  <c r="BL445" i="3"/>
  <c r="G446" i="3"/>
  <c r="BL447" i="3"/>
  <c r="G448" i="3"/>
  <c r="BL449" i="3"/>
  <c r="BA451" i="3"/>
  <c r="BL451" i="3"/>
  <c r="AZ451" i="3" s="1"/>
  <c r="G452" i="3"/>
  <c r="BL453" i="3"/>
  <c r="BL455" i="3"/>
  <c r="G458" i="3"/>
  <c r="G462" i="3"/>
  <c r="BA463" i="3"/>
  <c r="BL463" i="3"/>
  <c r="BA464" i="3"/>
  <c r="BL464" i="3"/>
  <c r="BA473" i="3"/>
  <c r="BL473" i="3"/>
  <c r="BA474" i="3"/>
  <c r="AZ474" i="3" s="1"/>
  <c r="T35" i="4"/>
  <c r="A19" i="51" s="1"/>
  <c r="B14" i="72" s="1"/>
  <c r="G398" i="3"/>
  <c r="BA399" i="3"/>
  <c r="BL399" i="3"/>
  <c r="G400" i="3"/>
  <c r="BA401" i="3"/>
  <c r="BL401" i="3"/>
  <c r="BA403" i="3"/>
  <c r="AZ403" i="3" s="1"/>
  <c r="BL403" i="3"/>
  <c r="G404" i="3"/>
  <c r="BA405" i="3"/>
  <c r="BA406" i="3"/>
  <c r="BL406" i="3"/>
  <c r="G407" i="3"/>
  <c r="BL408" i="3"/>
  <c r="G478" i="3"/>
  <c r="BA479" i="3"/>
  <c r="BL479" i="3"/>
  <c r="BA480" i="3"/>
  <c r="AZ480" i="3" s="1"/>
  <c r="BA481" i="3"/>
  <c r="BL481" i="3"/>
  <c r="BA482" i="3"/>
  <c r="BL482" i="3"/>
  <c r="BL484" i="3"/>
  <c r="BA488" i="3"/>
  <c r="BL488" i="3"/>
  <c r="G490" i="3"/>
  <c r="BA491" i="3"/>
  <c r="G492" i="3"/>
  <c r="BA303" i="3"/>
  <c r="AZ303" i="3" s="1"/>
  <c r="G307" i="3"/>
  <c r="BL308" i="3"/>
  <c r="AZ308" i="3" s="1"/>
  <c r="G311" i="3"/>
  <c r="BL312" i="3"/>
  <c r="AZ312" i="3" s="1"/>
  <c r="BL314" i="3"/>
  <c r="AZ314" i="3" s="1"/>
  <c r="G315" i="3"/>
  <c r="BA316" i="3"/>
  <c r="G323" i="3"/>
  <c r="BL324" i="3"/>
  <c r="AZ324" i="3" s="1"/>
  <c r="G327" i="3"/>
  <c r="BL328" i="3"/>
  <c r="AZ328" i="3" s="1"/>
  <c r="BL330" i="3"/>
  <c r="AZ330" i="3" s="1"/>
  <c r="BA332" i="3"/>
  <c r="G339" i="3"/>
  <c r="G343" i="3"/>
  <c r="G345" i="3"/>
  <c r="BL346" i="3"/>
  <c r="AZ346" i="3" s="1"/>
  <c r="BA348" i="3"/>
  <c r="BL348" i="3"/>
  <c r="BL353" i="3"/>
  <c r="G362" i="3"/>
  <c r="BL363" i="3"/>
  <c r="AZ363" i="3" s="1"/>
  <c r="G364" i="3"/>
  <c r="G366" i="3"/>
  <c r="BA367" i="3"/>
  <c r="BL367" i="3"/>
  <c r="BA374" i="3"/>
  <c r="AZ374" i="3" s="1"/>
  <c r="G382" i="3"/>
  <c r="G384" i="3"/>
  <c r="BL385" i="3"/>
  <c r="G392" i="3"/>
  <c r="BL393" i="3"/>
  <c r="AZ393" i="3" s="1"/>
  <c r="BA395" i="3"/>
  <c r="G396" i="3"/>
  <c r="BA397" i="3"/>
  <c r="BA208" i="3"/>
  <c r="AZ208" i="3" s="1"/>
  <c r="G209" i="3"/>
  <c r="BA210" i="3"/>
  <c r="BL210" i="3"/>
  <c r="BL212" i="3"/>
  <c r="BL214" i="3"/>
  <c r="G215" i="3"/>
  <c r="BA216" i="3"/>
  <c r="BL216" i="3"/>
  <c r="BA217" i="3"/>
  <c r="BA218" i="3"/>
  <c r="AZ218" i="3" s="1"/>
  <c r="BA219" i="3"/>
  <c r="G220" i="3"/>
  <c r="BA221" i="3"/>
  <c r="BL221" i="3"/>
  <c r="G222" i="3"/>
  <c r="BL225" i="3"/>
  <c r="G226" i="3"/>
  <c r="BA227" i="3"/>
  <c r="G228" i="3"/>
  <c r="BL229" i="3"/>
  <c r="G230" i="3"/>
  <c r="BL231" i="3"/>
  <c r="BL233" i="3"/>
  <c r="BL235" i="3"/>
  <c r="G238" i="3"/>
  <c r="BL239" i="3"/>
  <c r="BL241" i="3"/>
  <c r="G242" i="3"/>
  <c r="BL244" i="3"/>
  <c r="G245" i="3"/>
  <c r="BA246" i="3"/>
  <c r="BL246" i="3"/>
  <c r="BA247" i="3"/>
  <c r="AZ247" i="3" s="1"/>
  <c r="BA248" i="3"/>
  <c r="AZ248" i="3" s="1"/>
  <c r="BA249" i="3"/>
  <c r="BL249" i="3"/>
  <c r="G255" i="3"/>
  <c r="BL257" i="3"/>
  <c r="G258" i="3"/>
  <c r="BL260" i="3"/>
  <c r="G263" i="3"/>
  <c r="BL266" i="3"/>
  <c r="BA271" i="3"/>
  <c r="BL271" i="3"/>
  <c r="G279" i="3"/>
  <c r="G281" i="3"/>
  <c r="BL282" i="3"/>
  <c r="G285" i="3"/>
  <c r="BL286" i="3"/>
  <c r="BL288" i="3"/>
  <c r="G302" i="3"/>
  <c r="G118" i="3"/>
  <c r="G120" i="3"/>
  <c r="BL121" i="3"/>
  <c r="G122" i="3"/>
  <c r="BL123" i="3"/>
  <c r="AZ123" i="3" s="1"/>
  <c r="BA125" i="3"/>
  <c r="BL125" i="3"/>
  <c r="BA126" i="3"/>
  <c r="BL127" i="3"/>
  <c r="AZ127" i="3" s="1"/>
  <c r="BA129" i="3"/>
  <c r="AZ129" i="3" s="1"/>
  <c r="BA130" i="3"/>
  <c r="AZ130" i="3" s="1"/>
  <c r="BL131" i="3"/>
  <c r="AZ131" i="3" s="1"/>
  <c r="BL134" i="3"/>
  <c r="G135" i="3"/>
  <c r="BA136" i="3"/>
  <c r="AZ136" i="3" s="1"/>
  <c r="AB19" i="71"/>
  <c r="X21" i="71"/>
  <c r="BL138" i="3"/>
  <c r="G139" i="3"/>
  <c r="BA140" i="3"/>
  <c r="AZ140" i="3" s="1"/>
  <c r="BL142" i="3"/>
  <c r="G143" i="3"/>
  <c r="BA144" i="3"/>
  <c r="AZ144" i="3" s="1"/>
  <c r="BL146" i="3"/>
  <c r="G147" i="3"/>
  <c r="BA148" i="3"/>
  <c r="AZ148" i="3" s="1"/>
  <c r="BA150" i="3"/>
  <c r="G151" i="3"/>
  <c r="G155" i="3"/>
  <c r="G182" i="3"/>
  <c r="BA185" i="3"/>
  <c r="G186" i="3"/>
  <c r="BL187" i="3"/>
  <c r="AZ187" i="3" s="1"/>
  <c r="BL189" i="3"/>
  <c r="G190" i="3"/>
  <c r="G192" i="3"/>
  <c r="BL193" i="3"/>
  <c r="G194" i="3"/>
  <c r="G196" i="3"/>
  <c r="BA197" i="3"/>
  <c r="BL197" i="3"/>
  <c r="BL199" i="3"/>
  <c r="AZ199" i="3" s="1"/>
  <c r="G200" i="3"/>
  <c r="BA202" i="3"/>
  <c r="BL202" i="3"/>
  <c r="BA204" i="3"/>
  <c r="AZ204" i="3" s="1"/>
  <c r="BA205" i="3"/>
  <c r="AZ205" i="3" s="1"/>
  <c r="BA206" i="3"/>
  <c r="AZ206" i="3" s="1"/>
  <c r="G47" i="3"/>
  <c r="G66" i="3"/>
  <c r="G68" i="3"/>
  <c r="BL69" i="3"/>
  <c r="G72" i="3"/>
  <c r="G82" i="3"/>
  <c r="G84" i="3"/>
  <c r="G86" i="3"/>
  <c r="BL89" i="3"/>
  <c r="G98" i="3"/>
  <c r="BA99" i="3"/>
  <c r="G100" i="3"/>
  <c r="BL101" i="3"/>
  <c r="G102" i="3"/>
  <c r="BA103" i="3"/>
  <c r="BL103" i="3"/>
  <c r="BA104" i="3"/>
  <c r="BA105" i="3"/>
  <c r="AZ105" i="3" s="1"/>
  <c r="BA107" i="3"/>
  <c r="BL107" i="3"/>
  <c r="BA108" i="3"/>
  <c r="BA109" i="3"/>
  <c r="AZ109" i="3" s="1"/>
  <c r="BA110" i="3"/>
  <c r="AZ110" i="3" s="1"/>
  <c r="BA111" i="3"/>
  <c r="S21" i="34"/>
  <c r="C25" i="40"/>
  <c r="C46" i="71"/>
  <c r="B54" i="71"/>
  <c r="AB30" i="40"/>
  <c r="U30" i="40"/>
  <c r="P25" i="43"/>
  <c r="D16" i="53"/>
  <c r="B34" i="72" s="1"/>
  <c r="F85" i="21"/>
  <c r="G85" i="21" s="1"/>
  <c r="AZ380" i="3"/>
  <c r="AZ373" i="3"/>
  <c r="AZ362" i="3"/>
  <c r="AZ322" i="3"/>
  <c r="AZ311" i="3"/>
  <c r="AZ351" i="3"/>
  <c r="AZ337" i="3"/>
  <c r="AZ360" i="3"/>
  <c r="AZ343" i="3"/>
  <c r="AZ341" i="3"/>
  <c r="AZ309" i="3"/>
  <c r="U43" i="33"/>
  <c r="AZ535" i="3"/>
  <c r="AZ569" i="3"/>
  <c r="AZ567" i="3"/>
  <c r="AZ516" i="3"/>
  <c r="AZ576" i="3"/>
  <c r="U13" i="33"/>
  <c r="AB45" i="33"/>
  <c r="AA14" i="34"/>
  <c r="AB46" i="34"/>
  <c r="W11" i="36"/>
  <c r="AB11" i="36"/>
  <c r="W40" i="40"/>
  <c r="AC40" i="40"/>
  <c r="BL584" i="3"/>
  <c r="BA582" i="3"/>
  <c r="AZ582" i="3" s="1"/>
  <c r="BA581" i="3"/>
  <c r="BL578" i="3"/>
  <c r="BA578" i="3"/>
  <c r="BA561" i="3"/>
  <c r="BL560" i="3"/>
  <c r="AZ560" i="3" s="1"/>
  <c r="BL558" i="3"/>
  <c r="BA558" i="3"/>
  <c r="BA556" i="3"/>
  <c r="AZ556" i="3" s="1"/>
  <c r="G463" i="3"/>
  <c r="G467" i="3"/>
  <c r="BA468" i="3"/>
  <c r="BL468" i="3"/>
  <c r="G479" i="3"/>
  <c r="BA323" i="3"/>
  <c r="AZ323" i="3" s="1"/>
  <c r="G331" i="3"/>
  <c r="BA333" i="3"/>
  <c r="AZ333" i="3" s="1"/>
  <c r="G380" i="3"/>
  <c r="BL381" i="3"/>
  <c r="AZ381" i="3" s="1"/>
  <c r="BA386" i="3"/>
  <c r="BL386" i="3"/>
  <c r="G213" i="3"/>
  <c r="BL220" i="3"/>
  <c r="G221" i="3"/>
  <c r="G223" i="3"/>
  <c r="BL226" i="3"/>
  <c r="AZ226" i="3" s="1"/>
  <c r="BL228" i="3"/>
  <c r="G229" i="3"/>
  <c r="BA230" i="3"/>
  <c r="BL230" i="3"/>
  <c r="BA231" i="3"/>
  <c r="BA232" i="3"/>
  <c r="AZ232" i="3" s="1"/>
  <c r="BA233" i="3"/>
  <c r="BA234" i="3"/>
  <c r="AZ234" i="3" s="1"/>
  <c r="BA235" i="3"/>
  <c r="BA237" i="3"/>
  <c r="BL237" i="3"/>
  <c r="G240" i="3"/>
  <c r="G244" i="3"/>
  <c r="G246" i="3"/>
  <c r="G253" i="3"/>
  <c r="G261" i="3"/>
  <c r="BA262" i="3"/>
  <c r="BL262" i="3"/>
  <c r="BL264" i="3"/>
  <c r="G265" i="3"/>
  <c r="G267" i="3"/>
  <c r="G269" i="3"/>
  <c r="G273" i="3"/>
  <c r="G277" i="3"/>
  <c r="BA278" i="3"/>
  <c r="BL278" i="3"/>
  <c r="BA280" i="3"/>
  <c r="BL280" i="3"/>
  <c r="G283" i="3"/>
  <c r="BA284" i="3"/>
  <c r="BL284" i="3"/>
  <c r="BA285" i="3"/>
  <c r="AZ285" i="3" s="1"/>
  <c r="BA286" i="3"/>
  <c r="BA287" i="3"/>
  <c r="AZ287" i="3" s="1"/>
  <c r="BA288" i="3"/>
  <c r="BL290" i="3"/>
  <c r="S15" i="34"/>
  <c r="AB23" i="34"/>
  <c r="U33" i="35"/>
  <c r="J9" i="36"/>
  <c r="F40" i="40"/>
  <c r="G578" i="3"/>
  <c r="G574" i="3"/>
  <c r="AZ400" i="3"/>
  <c r="BA402" i="3"/>
  <c r="BL402" i="3"/>
  <c r="BA408" i="3"/>
  <c r="AZ408" i="3" s="1"/>
  <c r="BL410" i="3"/>
  <c r="G411" i="3"/>
  <c r="G413" i="3"/>
  <c r="BA414" i="3"/>
  <c r="BL414" i="3"/>
  <c r="BA415" i="3"/>
  <c r="AZ415" i="3" s="1"/>
  <c r="BA417" i="3"/>
  <c r="BL417" i="3"/>
  <c r="G420" i="3"/>
  <c r="BA421" i="3"/>
  <c r="AZ421" i="3" s="1"/>
  <c r="BL421" i="3"/>
  <c r="G424" i="3"/>
  <c r="BL429" i="3"/>
  <c r="G431" i="3"/>
  <c r="G434" i="3"/>
  <c r="BA435" i="3"/>
  <c r="BA437" i="3"/>
  <c r="BL437" i="3"/>
  <c r="BL439" i="3"/>
  <c r="G443" i="3"/>
  <c r="G445" i="3"/>
  <c r="G447" i="3"/>
  <c r="BA448" i="3"/>
  <c r="BL448" i="3"/>
  <c r="BA449" i="3"/>
  <c r="BA450" i="3"/>
  <c r="BL450" i="3"/>
  <c r="BA452" i="3"/>
  <c r="BL452" i="3"/>
  <c r="BA453" i="3"/>
  <c r="AZ453" i="3" s="1"/>
  <c r="BA454" i="3"/>
  <c r="BL454" i="3"/>
  <c r="BA455" i="3"/>
  <c r="BA457" i="3"/>
  <c r="BL457" i="3"/>
  <c r="G460" i="3"/>
  <c r="BA461" i="3"/>
  <c r="BL461" i="3"/>
  <c r="G470" i="3"/>
  <c r="G473" i="3"/>
  <c r="G476" i="3"/>
  <c r="G485" i="3"/>
  <c r="BA317" i="3"/>
  <c r="AZ317" i="3" s="1"/>
  <c r="G260" i="3"/>
  <c r="G37" i="3"/>
  <c r="BL38" i="3"/>
  <c r="G39" i="3"/>
  <c r="BA40" i="3"/>
  <c r="BL40" i="3"/>
  <c r="G41" i="3"/>
  <c r="BA42" i="3"/>
  <c r="BL42" i="3"/>
  <c r="G43" i="3"/>
  <c r="BL44" i="3"/>
  <c r="G45" i="3"/>
  <c r="BA46" i="3"/>
  <c r="BL46" i="3"/>
  <c r="BL48" i="3"/>
  <c r="G49" i="3"/>
  <c r="G51" i="3"/>
  <c r="G55" i="3"/>
  <c r="G58" i="3"/>
  <c r="G60" i="3"/>
  <c r="BL61" i="3"/>
  <c r="G62" i="3"/>
  <c r="G64" i="3"/>
  <c r="BA65" i="3"/>
  <c r="BL65" i="3"/>
  <c r="BA67" i="3"/>
  <c r="BL67" i="3"/>
  <c r="BA68" i="3"/>
  <c r="AZ68" i="3" s="1"/>
  <c r="BA69" i="3"/>
  <c r="BA71" i="3"/>
  <c r="BL71" i="3"/>
  <c r="BL73" i="3"/>
  <c r="G74" i="3"/>
  <c r="BL75" i="3"/>
  <c r="G76" i="3"/>
  <c r="G78" i="3"/>
  <c r="BL79" i="3"/>
  <c r="G80" i="3"/>
  <c r="BA81" i="3"/>
  <c r="BL81" i="3"/>
  <c r="BA83" i="3"/>
  <c r="BL83" i="3"/>
  <c r="BA85" i="3"/>
  <c r="BL85" i="3"/>
  <c r="BL87" i="3"/>
  <c r="G88" i="3"/>
  <c r="BA89" i="3"/>
  <c r="BL91" i="3"/>
  <c r="G92" i="3"/>
  <c r="G94" i="3"/>
  <c r="C38" i="71"/>
  <c r="C39" i="71" s="1"/>
  <c r="D39" i="71" s="1"/>
  <c r="D37" i="71"/>
  <c r="D49" i="71"/>
  <c r="C50" i="71"/>
  <c r="G291" i="3"/>
  <c r="BA292" i="3"/>
  <c r="AZ292" i="3" s="1"/>
  <c r="BL292" i="3"/>
  <c r="G293" i="3"/>
  <c r="BL295" i="3"/>
  <c r="G296" i="3"/>
  <c r="BL297" i="3"/>
  <c r="G298" i="3"/>
  <c r="G300" i="3"/>
  <c r="BA301" i="3"/>
  <c r="BL301" i="3"/>
  <c r="BA302" i="3"/>
  <c r="AZ302" i="3" s="1"/>
  <c r="BL113" i="3"/>
  <c r="G114" i="3"/>
  <c r="G116" i="3"/>
  <c r="BA117" i="3"/>
  <c r="BL117" i="3"/>
  <c r="BL118" i="3"/>
  <c r="G119" i="3"/>
  <c r="BA120" i="3"/>
  <c r="AZ120" i="3" s="1"/>
  <c r="BA122" i="3"/>
  <c r="BL122" i="3"/>
  <c r="BA124" i="3"/>
  <c r="AZ124" i="3" s="1"/>
  <c r="G134" i="3"/>
  <c r="G136" i="3"/>
  <c r="BL137" i="3"/>
  <c r="G138"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BA97" i="3"/>
  <c r="BL97" i="3"/>
  <c r="BA98" i="3"/>
  <c r="AZ98" i="3" s="1"/>
  <c r="BL100" i="3"/>
  <c r="G101" i="3"/>
  <c r="BL102" i="3"/>
  <c r="G103" i="3"/>
  <c r="G107" i="3"/>
  <c r="J51" i="15"/>
  <c r="K100" i="43"/>
  <c r="I10" i="66"/>
  <c r="W21" i="21"/>
  <c r="AB21" i="21"/>
  <c r="U18" i="35"/>
  <c r="AB21" i="34"/>
  <c r="W25" i="40"/>
  <c r="S18" i="35"/>
  <c r="U18" i="36"/>
  <c r="C29" i="39"/>
  <c r="B66" i="43"/>
  <c r="AJ10" i="43"/>
  <c r="Y15" i="71"/>
  <c r="Z15" i="71" s="1"/>
  <c r="Y17" i="71"/>
  <c r="Z17" i="71" s="1"/>
  <c r="AB16" i="71"/>
  <c r="Y21" i="71"/>
  <c r="Z21" i="71" s="1"/>
  <c r="X22" i="71"/>
  <c r="Y25" i="71"/>
  <c r="Z25" i="71" s="1"/>
  <c r="B46" i="71"/>
  <c r="B47" i="71" s="1"/>
  <c r="S47" i="71" s="1"/>
  <c r="E46" i="71"/>
  <c r="E47" i="71" s="1"/>
  <c r="U47" i="71" s="1"/>
  <c r="P61" i="15"/>
  <c r="AB19" i="33"/>
  <c r="U19" i="33"/>
  <c r="P23" i="43"/>
  <c r="B71" i="39" s="1"/>
  <c r="F97" i="39"/>
  <c r="G97" i="39" s="1"/>
  <c r="F23" i="39"/>
  <c r="AA23" i="39" s="1"/>
  <c r="H23" i="39"/>
  <c r="AA43" i="34"/>
  <c r="S43" i="34"/>
  <c r="H52" i="43"/>
  <c r="H50" i="43"/>
  <c r="H53" i="43"/>
  <c r="H83" i="43"/>
  <c r="H85" i="43"/>
  <c r="H84" i="43"/>
  <c r="D8" i="53"/>
  <c r="D120" i="9"/>
  <c r="K120" i="9" s="1"/>
  <c r="A18" i="62" s="1"/>
  <c r="B64" i="72" s="1"/>
  <c r="W15" i="37"/>
  <c r="AC15" i="37"/>
  <c r="S12" i="37"/>
  <c r="AA12" i="37"/>
  <c r="AB9" i="37"/>
  <c r="U9" i="37"/>
  <c r="S36" i="35"/>
  <c r="AA36" i="35"/>
  <c r="AC43" i="33"/>
  <c r="W43" i="33"/>
  <c r="S26" i="36"/>
  <c r="AA26" i="36"/>
  <c r="AA39" i="33"/>
  <c r="S39" i="33"/>
  <c r="AZ571" i="3"/>
  <c r="AB14" i="40"/>
  <c r="U14" i="40"/>
  <c r="S45" i="34"/>
  <c r="AB46" i="33"/>
  <c r="U46" i="33"/>
  <c r="AC44" i="33"/>
  <c r="AB30" i="33"/>
  <c r="U30" i="33"/>
  <c r="U14" i="36"/>
  <c r="AB14" i="36"/>
  <c r="AB10" i="36"/>
  <c r="U10" i="36"/>
  <c r="U26" i="33"/>
  <c r="AB26" i="33"/>
  <c r="AA44" i="34"/>
  <c r="S44" i="34"/>
  <c r="W17" i="34"/>
  <c r="AC17" i="34"/>
  <c r="W36" i="34"/>
  <c r="AC36" i="34"/>
  <c r="AB29" i="35"/>
  <c r="U29" i="35"/>
  <c r="W13" i="40"/>
  <c r="AC13" i="40"/>
  <c r="AZ584" i="3"/>
  <c r="BL581" i="3"/>
  <c r="BL579" i="3"/>
  <c r="BL561" i="3"/>
  <c r="AZ561" i="3" s="1"/>
  <c r="J19" i="33"/>
  <c r="F19" i="33"/>
  <c r="S19" i="33" s="1"/>
  <c r="C20" i="43"/>
  <c r="H73" i="43"/>
  <c r="H71" i="43"/>
  <c r="AZ305" i="3"/>
  <c r="H62" i="43"/>
  <c r="H65" i="43"/>
  <c r="H63" i="43"/>
  <c r="S19" i="40"/>
  <c r="AA19" i="40"/>
  <c r="U31" i="37"/>
  <c r="AB31" i="37"/>
  <c r="AB21" i="40"/>
  <c r="U21" i="40"/>
  <c r="AB12" i="37"/>
  <c r="U12" i="37"/>
  <c r="W9" i="37"/>
  <c r="AC9" i="37"/>
  <c r="S10" i="35"/>
  <c r="AA10" i="35"/>
  <c r="U35" i="34"/>
  <c r="AB35" i="34"/>
  <c r="AZ495" i="3"/>
  <c r="AZ513" i="3"/>
  <c r="AZ580" i="3"/>
  <c r="AC27" i="37"/>
  <c r="W27" i="37"/>
  <c r="AC35" i="40"/>
  <c r="W35" i="40"/>
  <c r="U13" i="37"/>
  <c r="S25" i="35"/>
  <c r="AA25" i="35"/>
  <c r="S47" i="34"/>
  <c r="AA47" i="34"/>
  <c r="U29" i="34"/>
  <c r="S13" i="34"/>
  <c r="S44" i="33"/>
  <c r="AA44" i="33"/>
  <c r="AC25" i="34"/>
  <c r="W25" i="34"/>
  <c r="F12" i="21"/>
  <c r="H12" i="21"/>
  <c r="AB12" i="21" s="1"/>
  <c r="E125" i="21"/>
  <c r="F125" i="21" s="1"/>
  <c r="G125" i="21" s="1"/>
  <c r="F43" i="21"/>
  <c r="S43" i="21" s="1"/>
  <c r="H43" i="21"/>
  <c r="U12" i="33"/>
  <c r="AC34" i="35"/>
  <c r="W34" i="35"/>
  <c r="J12" i="36"/>
  <c r="H12" i="36"/>
  <c r="J23" i="36"/>
  <c r="F23" i="36"/>
  <c r="AB30" i="37"/>
  <c r="U30" i="37"/>
  <c r="H25" i="37"/>
  <c r="J25" i="37"/>
  <c r="AA40" i="39"/>
  <c r="S40" i="39"/>
  <c r="J37" i="39"/>
  <c r="F37" i="39"/>
  <c r="AC8" i="40"/>
  <c r="W8" i="40"/>
  <c r="F38" i="40"/>
  <c r="J38" i="40"/>
  <c r="AA31" i="35"/>
  <c r="S31" i="35"/>
  <c r="AA30" i="36"/>
  <c r="S30" i="36"/>
  <c r="C7" i="43"/>
  <c r="U15" i="34"/>
  <c r="U14" i="35"/>
  <c r="S23" i="40"/>
  <c r="AC21" i="40"/>
  <c r="S14" i="35"/>
  <c r="AZ377" i="3"/>
  <c r="AZ326" i="3"/>
  <c r="AZ390" i="3"/>
  <c r="AZ347" i="3"/>
  <c r="AZ344" i="3"/>
  <c r="AZ313" i="3"/>
  <c r="AZ378" i="3"/>
  <c r="AZ327" i="3"/>
  <c r="S42" i="21"/>
  <c r="W16" i="35"/>
  <c r="AC33" i="36"/>
  <c r="F24" i="35"/>
  <c r="H27" i="34"/>
  <c r="AB27" i="37"/>
  <c r="AZ523" i="3"/>
  <c r="AZ531" i="3"/>
  <c r="AZ539" i="3"/>
  <c r="AZ547" i="3"/>
  <c r="AZ553" i="3"/>
  <c r="BL583" i="3"/>
  <c r="AZ526" i="3"/>
  <c r="AZ566" i="3"/>
  <c r="AZ574" i="3"/>
  <c r="W44" i="39"/>
  <c r="J14" i="37"/>
  <c r="F13" i="39"/>
  <c r="F14" i="37"/>
  <c r="J47" i="34"/>
  <c r="AC47" i="34" s="1"/>
  <c r="F31" i="34"/>
  <c r="J14" i="33"/>
  <c r="F14" i="33"/>
  <c r="F40" i="37"/>
  <c r="J40" i="37"/>
  <c r="AC38" i="34"/>
  <c r="S9" i="34"/>
  <c r="AA39" i="37"/>
  <c r="AB8" i="36"/>
  <c r="F12" i="36"/>
  <c r="W30" i="36"/>
  <c r="S44" i="39"/>
  <c r="AB8" i="39"/>
  <c r="C15" i="39"/>
  <c r="S34" i="39"/>
  <c r="U40" i="40"/>
  <c r="S27" i="35"/>
  <c r="W33" i="33"/>
  <c r="AA31" i="36"/>
  <c r="U14" i="37"/>
  <c r="J35" i="39"/>
  <c r="E77" i="33"/>
  <c r="F77" i="33" s="1"/>
  <c r="F15" i="33" s="1"/>
  <c r="AB34" i="34"/>
  <c r="U34" i="34"/>
  <c r="H23" i="36"/>
  <c r="AB9" i="36"/>
  <c r="U9" i="36"/>
  <c r="J24" i="36"/>
  <c r="H24" i="36"/>
  <c r="H33" i="36"/>
  <c r="F33" i="36"/>
  <c r="AB31" i="36"/>
  <c r="U31" i="36"/>
  <c r="F25" i="37"/>
  <c r="J26" i="37"/>
  <c r="F26" i="37"/>
  <c r="AC32" i="40"/>
  <c r="W32" i="40"/>
  <c r="J39" i="40"/>
  <c r="H39" i="40"/>
  <c r="S41" i="21"/>
  <c r="AA41" i="21"/>
  <c r="BL586" i="3"/>
  <c r="G582" i="3"/>
  <c r="G566" i="3"/>
  <c r="G552" i="3"/>
  <c r="BA551" i="3"/>
  <c r="G551" i="3"/>
  <c r="BL550" i="3"/>
  <c r="BA550" i="3"/>
  <c r="BL548" i="3"/>
  <c r="AZ548" i="3" s="1"/>
  <c r="F7" i="1"/>
  <c r="G7" i="1" s="1"/>
  <c r="BA398" i="3"/>
  <c r="AZ398" i="3" s="1"/>
  <c r="G401" i="3"/>
  <c r="G402" i="3"/>
  <c r="G406" i="3"/>
  <c r="G408" i="3"/>
  <c r="G409" i="3"/>
  <c r="BL409" i="3"/>
  <c r="BA410" i="3"/>
  <c r="AZ410" i="3" s="1"/>
  <c r="BL412" i="3"/>
  <c r="AZ412" i="3" s="1"/>
  <c r="BA413" i="3"/>
  <c r="AZ413" i="3" s="1"/>
  <c r="G416" i="3"/>
  <c r="BL416" i="3"/>
  <c r="BA419" i="3"/>
  <c r="BL419" i="3"/>
  <c r="BA420" i="3"/>
  <c r="AZ420" i="3" s="1"/>
  <c r="BA425" i="3"/>
  <c r="AZ425" i="3" s="1"/>
  <c r="BA427" i="3"/>
  <c r="AZ427" i="3" s="1"/>
  <c r="BA428" i="3"/>
  <c r="AZ428" i="3" s="1"/>
  <c r="BA430" i="3"/>
  <c r="AZ430" i="3" s="1"/>
  <c r="BA432" i="3"/>
  <c r="AZ432" i="3" s="1"/>
  <c r="BA433" i="3"/>
  <c r="BA434" i="3"/>
  <c r="BL434" i="3"/>
  <c r="G436" i="3"/>
  <c r="BL436" i="3"/>
  <c r="BA440" i="3"/>
  <c r="AZ440" i="3" s="1"/>
  <c r="BA441" i="3"/>
  <c r="AZ441" i="3" s="1"/>
  <c r="BA442" i="3"/>
  <c r="BL442" i="3"/>
  <c r="G444" i="3"/>
  <c r="BL444" i="3"/>
  <c r="BA445" i="3"/>
  <c r="AZ445" i="3" s="1"/>
  <c r="BA446" i="3"/>
  <c r="BL446" i="3"/>
  <c r="BA447" i="3"/>
  <c r="G450" i="3"/>
  <c r="G454" i="3"/>
  <c r="G456" i="3"/>
  <c r="BL456" i="3"/>
  <c r="BA459" i="3"/>
  <c r="BL459" i="3"/>
  <c r="BA460" i="3"/>
  <c r="AZ460" i="3" s="1"/>
  <c r="G465" i="3"/>
  <c r="G466" i="3"/>
  <c r="BL466" i="3"/>
  <c r="BA467" i="3"/>
  <c r="AZ467" i="3" s="1"/>
  <c r="G472" i="3"/>
  <c r="BL472" i="3"/>
  <c r="G475" i="3"/>
  <c r="BL475" i="3"/>
  <c r="BA476" i="3"/>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0" i="3"/>
  <c r="AZ340" i="3" s="1"/>
  <c r="G347" i="3"/>
  <c r="BL350" i="3"/>
  <c r="AZ350" i="3" s="1"/>
  <c r="BA353" i="3"/>
  <c r="G358" i="3"/>
  <c r="BL359" i="3"/>
  <c r="AZ359" i="3" s="1"/>
  <c r="BL365" i="3"/>
  <c r="AZ365" i="3" s="1"/>
  <c r="BA368" i="3"/>
  <c r="G378" i="3"/>
  <c r="BL383" i="3"/>
  <c r="AZ383" i="3" s="1"/>
  <c r="BA385" i="3"/>
  <c r="AZ385" i="3" s="1"/>
  <c r="BA388" i="3"/>
  <c r="AZ388" i="3" s="1"/>
  <c r="BA392" i="3"/>
  <c r="AZ392" i="3" s="1"/>
  <c r="G395" i="3"/>
  <c r="BL395" i="3"/>
  <c r="G208" i="3"/>
  <c r="BL208" i="3"/>
  <c r="G211" i="3"/>
  <c r="BL211" i="3"/>
  <c r="BA212" i="3"/>
  <c r="BA213" i="3"/>
  <c r="AZ213" i="3" s="1"/>
  <c r="BA214" i="3"/>
  <c r="AZ214" i="3" s="1"/>
  <c r="BA215" i="3"/>
  <c r="AZ215" i="3" s="1"/>
  <c r="G218" i="3"/>
  <c r="G219" i="3"/>
  <c r="BL219" i="3"/>
  <c r="BA220" i="3"/>
  <c r="BL222" i="3"/>
  <c r="AZ222" i="3" s="1"/>
  <c r="BL224" i="3"/>
  <c r="AZ224" i="3" s="1"/>
  <c r="BA225" i="3"/>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G248" i="3"/>
  <c r="G249" i="3"/>
  <c r="G250" i="3"/>
  <c r="G251" i="3"/>
  <c r="G252" i="3"/>
  <c r="BL252" i="3"/>
  <c r="BL254" i="3"/>
  <c r="AZ254" i="3" s="1"/>
  <c r="BA255" i="3"/>
  <c r="BA256" i="3"/>
  <c r="AZ256" i="3" s="1"/>
  <c r="BA257" i="3"/>
  <c r="BL259" i="3"/>
  <c r="AZ259" i="3" s="1"/>
  <c r="BA260" i="3"/>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D5" i="3"/>
  <c r="BT5" i="3"/>
  <c r="BQ5" i="3"/>
  <c r="AZ416" i="3"/>
  <c r="AZ418" i="3"/>
  <c r="AZ422" i="3"/>
  <c r="AZ436" i="3"/>
  <c r="AZ438" i="3"/>
  <c r="AZ458" i="3"/>
  <c r="AZ462" i="3"/>
  <c r="AZ469" i="3"/>
  <c r="BM5" i="3"/>
  <c r="BL281" i="3"/>
  <c r="AZ281" i="3" s="1"/>
  <c r="BA282" i="3"/>
  <c r="AZ282" i="3" s="1"/>
  <c r="BA283" i="3"/>
  <c r="AZ283" i="3" s="1"/>
  <c r="G286" i="3"/>
  <c r="G287" i="3"/>
  <c r="G288" i="3"/>
  <c r="G289" i="3"/>
  <c r="BL289" i="3"/>
  <c r="BA290" i="3"/>
  <c r="AZ290" i="3" s="1"/>
  <c r="BA291" i="3"/>
  <c r="AZ291" i="3" s="1"/>
  <c r="BA294" i="3"/>
  <c r="AZ294" i="3" s="1"/>
  <c r="BA295" i="3"/>
  <c r="AZ295" i="3" s="1"/>
  <c r="BA296" i="3"/>
  <c r="AZ296" i="3" s="1"/>
  <c r="BA297" i="3"/>
  <c r="AZ297" i="3" s="1"/>
  <c r="BL299" i="3"/>
  <c r="AZ299" i="3" s="1"/>
  <c r="BA300" i="3"/>
  <c r="AZ300" i="3" s="1"/>
  <c r="BA113" i="3"/>
  <c r="AZ113" i="3" s="1"/>
  <c r="BA114" i="3"/>
  <c r="BL115" i="3"/>
  <c r="AZ115" i="3" s="1"/>
  <c r="BA118" i="3"/>
  <c r="BL119" i="3"/>
  <c r="AZ119" i="3" s="1"/>
  <c r="BA121" i="3"/>
  <c r="G124" i="3"/>
  <c r="G127" i="3"/>
  <c r="G130" i="3"/>
  <c r="G131" i="3"/>
  <c r="BL133" i="3"/>
  <c r="AZ133" i="3" s="1"/>
  <c r="BA134" i="3"/>
  <c r="BL135" i="3"/>
  <c r="AZ135" i="3" s="1"/>
  <c r="BA137" i="3"/>
  <c r="BA138" i="3"/>
  <c r="AZ138" i="3" s="1"/>
  <c r="BL139" i="3"/>
  <c r="AZ139" i="3" s="1"/>
  <c r="BA141" i="3"/>
  <c r="AZ141" i="3" s="1"/>
  <c r="BA142" i="3"/>
  <c r="AZ142" i="3" s="1"/>
  <c r="BL143" i="3"/>
  <c r="AZ143" i="3" s="1"/>
  <c r="BA145" i="3"/>
  <c r="BA146" i="3"/>
  <c r="AZ146" i="3" s="1"/>
  <c r="BL147" i="3"/>
  <c r="AZ147" i="3" s="1"/>
  <c r="BL150" i="3"/>
  <c r="AZ150" i="3" s="1"/>
  <c r="BA152" i="3"/>
  <c r="AZ152" i="3" s="1"/>
  <c r="BL153" i="3"/>
  <c r="AZ153" i="3" s="1"/>
  <c r="G156" i="3"/>
  <c r="BA157" i="3"/>
  <c r="AZ157" i="3" s="1"/>
  <c r="BA158" i="3"/>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37" i="3"/>
  <c r="BL37" i="3"/>
  <c r="BA38" i="3"/>
  <c r="AZ38" i="3" s="1"/>
  <c r="BA39" i="3"/>
  <c r="AZ39" i="3" s="1"/>
  <c r="BA41" i="3"/>
  <c r="BL41" i="3"/>
  <c r="BA43" i="3"/>
  <c r="BL43" i="3"/>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BL66" i="3"/>
  <c r="AZ66" i="3" s="1"/>
  <c r="G69" i="3"/>
  <c r="G70" i="3"/>
  <c r="BL70" i="3"/>
  <c r="BL72" i="3"/>
  <c r="AZ72" i="3" s="1"/>
  <c r="BA73" i="3"/>
  <c r="BA74" i="3"/>
  <c r="AZ74" i="3" s="1"/>
  <c r="BA75" i="3"/>
  <c r="BL77" i="3"/>
  <c r="AZ77" i="3" s="1"/>
  <c r="BA78" i="3"/>
  <c r="AZ78" i="3" s="1"/>
  <c r="BA79" i="3"/>
  <c r="AZ79" i="3" s="1"/>
  <c r="BA80" i="3"/>
  <c r="AZ80" i="3" s="1"/>
  <c r="BL82" i="3"/>
  <c r="AZ82" i="3" s="1"/>
  <c r="BL84" i="3"/>
  <c r="AZ84" i="3" s="1"/>
  <c r="BL86" i="3"/>
  <c r="AZ86" i="3" s="1"/>
  <c r="BA87" i="3"/>
  <c r="AZ87" i="3" s="1"/>
  <c r="BA88" i="3"/>
  <c r="AZ88" i="3" s="1"/>
  <c r="D33" i="71"/>
  <c r="C34" i="71"/>
  <c r="D34" i="71" s="1"/>
  <c r="G89" i="3"/>
  <c r="G90" i="3"/>
  <c r="BL90" i="3"/>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AZ112" i="3" s="1"/>
  <c r="K9" i="1"/>
  <c r="M9" i="1" s="1"/>
  <c r="O9" i="1" s="1"/>
  <c r="C7" i="79"/>
  <c r="C58" i="79" s="1"/>
  <c r="C7" i="78"/>
  <c r="C58" i="78" s="1"/>
  <c r="M100" i="43"/>
  <c r="I100" i="43"/>
  <c r="E100" i="43"/>
  <c r="D100" i="43"/>
  <c r="C40" i="68"/>
  <c r="AC18" i="35"/>
  <c r="Y16" i="71"/>
  <c r="Z16" i="71" s="1"/>
  <c r="X16" i="71"/>
  <c r="T23" i="71"/>
  <c r="V15" i="71"/>
  <c r="D22" i="71"/>
  <c r="D38" i="71"/>
  <c r="AB15" i="71"/>
  <c r="D63" i="71"/>
  <c r="C54" i="71"/>
  <c r="Y13" i="71"/>
  <c r="Z13" i="71" s="1"/>
  <c r="Y24" i="71"/>
  <c r="Z24" i="71" s="1"/>
  <c r="X8" i="71"/>
  <c r="F18" i="71"/>
  <c r="F19" i="71" s="1"/>
  <c r="V19" i="71" s="1"/>
  <c r="AA17" i="71"/>
  <c r="F22" i="71"/>
  <c r="F23" i="71" s="1"/>
  <c r="V23" i="71" s="1"/>
  <c r="F26" i="71"/>
  <c r="F27" i="71" s="1"/>
  <c r="V27" i="71" s="1"/>
  <c r="AF10" i="43"/>
  <c r="AB13" i="71"/>
  <c r="Y12" i="71"/>
  <c r="Z12" i="71" s="1"/>
  <c r="V11" i="71"/>
  <c r="E7" i="12"/>
  <c r="K8" i="1"/>
  <c r="M8" i="1" s="1"/>
  <c r="O8" i="1" s="1"/>
  <c r="P8" i="1" s="1"/>
  <c r="C18" i="9"/>
  <c r="D18" i="9" s="1"/>
  <c r="S38" i="39"/>
  <c r="G19" i="3"/>
  <c r="G21" i="3"/>
  <c r="G15" i="3"/>
  <c r="G18" i="3"/>
  <c r="G20" i="3"/>
  <c r="G22" i="3"/>
  <c r="G26" i="3"/>
  <c r="BA15" i="3"/>
  <c r="BH5" i="3"/>
  <c r="BS5" i="3"/>
  <c r="F9" i="1"/>
  <c r="G9" i="1" s="1"/>
  <c r="S17" i="33"/>
  <c r="W21" i="33"/>
  <c r="S26" i="33"/>
  <c r="W27" i="33"/>
  <c r="S23" i="33"/>
  <c r="U17" i="33"/>
  <c r="S36" i="33"/>
  <c r="AA36" i="33"/>
  <c r="J36" i="33"/>
  <c r="H111" i="33"/>
  <c r="I111" i="33" s="1"/>
  <c r="J111" i="33" s="1"/>
  <c r="K111" i="33" s="1"/>
  <c r="L111" i="33" s="1"/>
  <c r="M111" i="33" s="1"/>
  <c r="AC35" i="33"/>
  <c r="U32" i="33"/>
  <c r="U41" i="33"/>
  <c r="AB34" i="33"/>
  <c r="U39" i="33"/>
  <c r="U40" i="33"/>
  <c r="S33" i="33"/>
  <c r="S42" i="33"/>
  <c r="W39" i="33"/>
  <c r="S38" i="33"/>
  <c r="U35" i="33"/>
  <c r="AC34" i="33"/>
  <c r="AC32" i="33"/>
  <c r="U11" i="33"/>
  <c r="S9" i="33"/>
  <c r="U9" i="33"/>
  <c r="U8" i="33"/>
  <c r="G123" i="21"/>
  <c r="H123" i="21" s="1"/>
  <c r="I123" i="21" s="1"/>
  <c r="J123" i="21" s="1"/>
  <c r="K123" i="21" s="1"/>
  <c r="L123" i="21" s="1"/>
  <c r="M123" i="21" s="1"/>
  <c r="J43" i="21"/>
  <c r="AC43" i="21" s="1"/>
  <c r="S39" i="21"/>
  <c r="H37" i="21"/>
  <c r="U37" i="21" s="1"/>
  <c r="J19" i="21"/>
  <c r="W19" i="21" s="1"/>
  <c r="F19" i="21"/>
  <c r="H11" i="21"/>
  <c r="U11" i="21" s="1"/>
  <c r="F11" i="21"/>
  <c r="S11" i="21" s="1"/>
  <c r="G101" i="21"/>
  <c r="H101" i="21" s="1"/>
  <c r="I101" i="21" s="1"/>
  <c r="J101" i="21" s="1"/>
  <c r="K101" i="21" s="1"/>
  <c r="L101" i="21" s="1"/>
  <c r="M101" i="21" s="1"/>
  <c r="G17" i="43"/>
  <c r="C16" i="43" s="1"/>
  <c r="D5" i="43" s="1"/>
  <c r="F3" i="35"/>
  <c r="A24" i="51"/>
  <c r="B18" i="72" s="1"/>
  <c r="W33" i="21"/>
  <c r="AB42" i="21"/>
  <c r="W36" i="21"/>
  <c r="S14" i="21"/>
  <c r="AA14" i="21"/>
  <c r="AC14" i="21"/>
  <c r="AB14" i="21"/>
  <c r="W13" i="39"/>
  <c r="AC13" i="39"/>
  <c r="U12" i="39"/>
  <c r="H13" i="39"/>
  <c r="AC29" i="21"/>
  <c r="W29" i="21"/>
  <c r="AA28" i="21"/>
  <c r="S28" i="21"/>
  <c r="AC26" i="21"/>
  <c r="AA29" i="21"/>
  <c r="AA30" i="21"/>
  <c r="AB25" i="21"/>
  <c r="AC28" i="21"/>
  <c r="F31" i="21"/>
  <c r="H29" i="21"/>
  <c r="S33" i="21"/>
  <c r="AA40" i="21"/>
  <c r="S40" i="21"/>
  <c r="E119" i="21"/>
  <c r="F119" i="21" s="1"/>
  <c r="G119" i="21" s="1"/>
  <c r="H119" i="21" s="1"/>
  <c r="I119" i="21" s="1"/>
  <c r="J119" i="21" s="1"/>
  <c r="K119" i="21" s="1"/>
  <c r="L119" i="21" s="1"/>
  <c r="M119" i="21" s="1"/>
  <c r="H40" i="21"/>
  <c r="AB40" i="21" s="1"/>
  <c r="F38" i="21"/>
  <c r="F37" i="21"/>
  <c r="AB36" i="21"/>
  <c r="S35" i="21"/>
  <c r="AC34" i="21"/>
  <c r="U46" i="21"/>
  <c r="AB46" i="21"/>
  <c r="S44" i="21"/>
  <c r="F46" i="21"/>
  <c r="AC38" i="21"/>
  <c r="W43" i="21"/>
  <c r="AB38" i="21"/>
  <c r="U34" i="21"/>
  <c r="AC35" i="21"/>
  <c r="W39" i="21"/>
  <c r="AA36" i="21"/>
  <c r="AC40" i="21"/>
  <c r="W42" i="21"/>
  <c r="AB19" i="21"/>
  <c r="U19" i="21"/>
  <c r="F17" i="21"/>
  <c r="H17" i="21"/>
  <c r="J17" i="21"/>
  <c r="G77" i="21"/>
  <c r="H15" i="21"/>
  <c r="F15" i="21"/>
  <c r="J15" i="21"/>
  <c r="W15" i="21" s="1"/>
  <c r="AA23" i="21"/>
  <c r="W23" i="21"/>
  <c r="S21" i="21"/>
  <c r="AC19" i="21"/>
  <c r="U9" i="21"/>
  <c r="AB8" i="21"/>
  <c r="S8" i="21"/>
  <c r="AC11" i="21"/>
  <c r="S10" i="21"/>
  <c r="A2" i="9"/>
  <c r="A4" i="52"/>
  <c r="B41" i="72" s="1"/>
  <c r="H32" i="21"/>
  <c r="AC38" i="39"/>
  <c r="AB11" i="21"/>
  <c r="G89" i="39"/>
  <c r="F15" i="39"/>
  <c r="H15" i="39"/>
  <c r="J15" i="39"/>
  <c r="G91" i="39"/>
  <c r="H17" i="39"/>
  <c r="F17" i="39"/>
  <c r="J17" i="39"/>
  <c r="J21" i="39"/>
  <c r="W21" i="39" s="1"/>
  <c r="F21" i="39"/>
  <c r="H21" i="39"/>
  <c r="J23" i="39"/>
  <c r="J27" i="39"/>
  <c r="F27" i="39"/>
  <c r="H27" i="39"/>
  <c r="W32" i="39"/>
  <c r="S29" i="39"/>
  <c r="W29" i="39"/>
  <c r="U29" i="39"/>
  <c r="H42" i="39"/>
  <c r="AB42" i="39" s="1"/>
  <c r="F41" i="39"/>
  <c r="S41" i="39" s="1"/>
  <c r="U32" i="39"/>
  <c r="AA32" i="39"/>
  <c r="AA39" i="39"/>
  <c r="U41" i="39"/>
  <c r="W42" i="39"/>
  <c r="S42" i="39"/>
  <c r="S23" i="39"/>
  <c r="F43" i="39"/>
  <c r="J45" i="39"/>
  <c r="F45" i="39"/>
  <c r="AA36" i="39"/>
  <c r="S36" i="39"/>
  <c r="W34" i="39"/>
  <c r="J36" i="39"/>
  <c r="H36" i="39"/>
  <c r="AB31" i="39"/>
  <c r="U31" i="39"/>
  <c r="J31" i="39"/>
  <c r="F31" i="39"/>
  <c r="W9" i="39"/>
  <c r="B56" i="43"/>
  <c r="B54" i="43"/>
  <c r="C40" i="69"/>
  <c r="B41" i="1"/>
  <c r="F54" i="9" s="1"/>
  <c r="C92" i="9"/>
  <c r="C94" i="9"/>
  <c r="D23" i="67"/>
  <c r="G1" i="69"/>
  <c r="K1" i="12"/>
  <c r="AC5" i="3"/>
  <c r="BC5" i="3"/>
  <c r="BL13" i="3"/>
  <c r="BA18" i="3"/>
  <c r="BA26" i="3"/>
  <c r="BA36" i="3"/>
  <c r="BL16" i="3"/>
  <c r="BA19" i="3"/>
  <c r="BL19" i="3"/>
  <c r="BL21" i="3"/>
  <c r="BL23" i="3"/>
  <c r="BL27" i="3"/>
  <c r="BL29" i="3"/>
  <c r="BA31" i="3"/>
  <c r="BA33" i="3"/>
  <c r="BL35" i="3"/>
  <c r="BA14" i="3"/>
  <c r="BI5" i="3"/>
  <c r="BE5" i="3"/>
  <c r="BP5" i="3"/>
  <c r="G29" i="6" s="1"/>
  <c r="BO5" i="3"/>
  <c r="F29" i="6" s="1"/>
  <c r="BF5" i="3"/>
  <c r="BJ5" i="3"/>
  <c r="BL18" i="3"/>
  <c r="BL20" i="3"/>
  <c r="BR5" i="3"/>
  <c r="BL24" i="3"/>
  <c r="BL28" i="3"/>
  <c r="G31" i="3"/>
  <c r="G33" i="3"/>
  <c r="BL34" i="3"/>
  <c r="BA17" i="3"/>
  <c r="AZ17" i="3" s="1"/>
  <c r="BA16" i="3"/>
  <c r="BA23" i="3"/>
  <c r="BA24" i="3"/>
  <c r="AZ24" i="3" s="1"/>
  <c r="BA25" i="3"/>
  <c r="BL25" i="3"/>
  <c r="BA27" i="3"/>
  <c r="AZ27" i="3" s="1"/>
  <c r="BA28" i="3"/>
  <c r="BA29" i="3"/>
  <c r="BA30" i="3"/>
  <c r="BL30" i="3"/>
  <c r="BA32" i="3"/>
  <c r="BL32" i="3"/>
  <c r="BA34" i="3"/>
  <c r="AZ34" i="3" s="1"/>
  <c r="BA35" i="3"/>
  <c r="AZ35" i="3" s="1"/>
  <c r="G36" i="3"/>
  <c r="BL36" i="3"/>
  <c r="AZ36" i="3" s="1"/>
  <c r="G35" i="3"/>
  <c r="BL15" i="3"/>
  <c r="BL22" i="3"/>
  <c r="G23" i="3"/>
  <c r="G24" i="3"/>
  <c r="G25" i="3"/>
  <c r="BL26" i="3"/>
  <c r="AZ26" i="3" s="1"/>
  <c r="G27" i="3"/>
  <c r="G28" i="3"/>
  <c r="G29" i="3"/>
  <c r="G30" i="3"/>
  <c r="BL31" i="3"/>
  <c r="AZ31" i="3" s="1"/>
  <c r="G32" i="3"/>
  <c r="BL33" i="3"/>
  <c r="G34" i="3"/>
  <c r="AR11" i="1"/>
  <c r="T11" i="1"/>
  <c r="BA20" i="3"/>
  <c r="BA21" i="3"/>
  <c r="P10" i="1"/>
  <c r="G14" i="3"/>
  <c r="BA22" i="3"/>
  <c r="AZ14" i="3"/>
  <c r="AR13" i="1"/>
  <c r="AQ13" i="1"/>
  <c r="T13" i="1"/>
  <c r="AQ10" i="1"/>
  <c r="T10" i="1"/>
  <c r="AR12" i="1"/>
  <c r="T12" i="1"/>
  <c r="A15" i="62"/>
  <c r="B61" i="72" s="1"/>
  <c r="G8" i="1"/>
  <c r="G10" i="1"/>
  <c r="G11" i="1"/>
  <c r="D19" i="53"/>
  <c r="K56" i="9"/>
  <c r="B5" i="49"/>
  <c r="C65" i="40"/>
  <c r="D63" i="40"/>
  <c r="C24" i="12"/>
  <c r="C74" i="9"/>
  <c r="E9" i="49"/>
  <c r="E22" i="49"/>
  <c r="E7" i="49"/>
  <c r="B14" i="49"/>
  <c r="E6" i="49"/>
  <c r="E14" i="49"/>
  <c r="E13" i="49"/>
  <c r="E4" i="49"/>
  <c r="E5" i="49"/>
  <c r="E11" i="49"/>
  <c r="B4" i="49"/>
  <c r="E10" i="49"/>
  <c r="B22" i="49"/>
  <c r="E15" i="49"/>
  <c r="B16" i="49"/>
  <c r="B11" i="49"/>
  <c r="E21" i="49"/>
  <c r="B8" i="49"/>
  <c r="E8" i="49"/>
  <c r="B10" i="49"/>
  <c r="E16" i="49"/>
  <c r="B9" i="49"/>
  <c r="B13" i="49"/>
  <c r="E4" i="4" s="1"/>
  <c r="B5" i="62" s="1"/>
  <c r="B73" i="72" s="1"/>
  <c r="B6" i="49"/>
  <c r="B15" i="49"/>
  <c r="B7" i="49"/>
  <c r="E20" i="43"/>
  <c r="B11" i="70"/>
  <c r="F65" i="15"/>
  <c r="B9" i="70"/>
  <c r="N59" i="15"/>
  <c r="L59" i="15" s="1"/>
  <c r="B10" i="70"/>
  <c r="B8" i="70"/>
  <c r="C27" i="15"/>
  <c r="I1" i="73"/>
  <c r="B39" i="1" s="1"/>
  <c r="F66" i="15"/>
  <c r="Q71" i="67"/>
  <c r="B13" i="70"/>
  <c r="Q71" i="15"/>
  <c r="F64" i="15"/>
  <c r="F70" i="67"/>
  <c r="F68" i="67"/>
  <c r="F51" i="15"/>
  <c r="B12" i="70"/>
  <c r="B6" i="70"/>
  <c r="B20" i="31"/>
  <c r="F68" i="15"/>
  <c r="C5" i="43"/>
  <c r="F58" i="21"/>
  <c r="G58" i="21" s="1"/>
  <c r="H58" i="21" s="1"/>
  <c r="I58" i="21" s="1"/>
  <c r="J58" i="21" s="1"/>
  <c r="K58" i="21" s="1"/>
  <c r="L58" i="21" s="1"/>
  <c r="M58" i="21" s="1"/>
  <c r="N58" i="21" s="1"/>
  <c r="O58" i="21" s="1"/>
  <c r="I14" i="74"/>
  <c r="B8" i="74" s="1"/>
  <c r="D127" i="9"/>
  <c r="D13" i="52" s="1"/>
  <c r="D12" i="52"/>
  <c r="H46" i="36"/>
  <c r="I46" i="36" s="1"/>
  <c r="J46" i="36" s="1"/>
  <c r="K46" i="36" s="1"/>
  <c r="L46" i="36" s="1"/>
  <c r="M46" i="36" s="1"/>
  <c r="N46" i="36" s="1"/>
  <c r="O46" i="36" s="1"/>
  <c r="G59" i="34"/>
  <c r="H59" i="34" s="1"/>
  <c r="I59" i="34" s="1"/>
  <c r="J59" i="34" s="1"/>
  <c r="K59" i="34" s="1"/>
  <c r="L59" i="34" s="1"/>
  <c r="M59" i="34" s="1"/>
  <c r="N59" i="34" s="1"/>
  <c r="O59" i="34" s="1"/>
  <c r="F58" i="33"/>
  <c r="G58" i="33" s="1"/>
  <c r="H58" i="33" s="1"/>
  <c r="I58" i="33" s="1"/>
  <c r="J58" i="33" s="1"/>
  <c r="K58" i="33" s="1"/>
  <c r="L58" i="33" s="1"/>
  <c r="M58" i="33" s="1"/>
  <c r="N58" i="33" s="1"/>
  <c r="O58" i="33" s="1"/>
  <c r="E48" i="35"/>
  <c r="F48" i="35" s="1"/>
  <c r="G48" i="35" s="1"/>
  <c r="H48" i="35" s="1"/>
  <c r="I48" i="35" s="1"/>
  <c r="J48" i="35" s="1"/>
  <c r="K48" i="35" s="1"/>
  <c r="L48" i="35" s="1"/>
  <c r="M48" i="35" s="1"/>
  <c r="N48" i="35" s="1"/>
  <c r="O48" i="35" s="1"/>
  <c r="D9" i="53"/>
  <c r="B25" i="72" s="1"/>
  <c r="B24" i="72"/>
  <c r="V7" i="71"/>
  <c r="P22" i="43"/>
  <c r="P21" i="43"/>
  <c r="H52" i="37"/>
  <c r="D124" i="9"/>
  <c r="P11" i="1"/>
  <c r="AZ557" i="3"/>
  <c r="W9" i="34"/>
  <c r="AC9" i="34"/>
  <c r="AZ409" i="3"/>
  <c r="AA19" i="33"/>
  <c r="AA10" i="33"/>
  <c r="AA35" i="33"/>
  <c r="AC39" i="34"/>
  <c r="U44" i="34"/>
  <c r="AB27" i="36"/>
  <c r="AA27" i="40"/>
  <c r="AB27" i="40"/>
  <c r="AA34" i="33"/>
  <c r="AA39" i="34"/>
  <c r="H87" i="43"/>
  <c r="H86" i="43"/>
  <c r="S15" i="37"/>
  <c r="AA25" i="21"/>
  <c r="W47" i="34"/>
  <c r="AB28" i="37"/>
  <c r="U35" i="35"/>
  <c r="W31" i="34"/>
  <c r="AB30" i="21"/>
  <c r="AA13" i="35"/>
  <c r="S41" i="33"/>
  <c r="W31" i="40"/>
  <c r="BL585" i="3"/>
  <c r="AZ585" i="3" s="1"/>
  <c r="AZ399" i="3"/>
  <c r="AZ404" i="3"/>
  <c r="AZ414" i="3"/>
  <c r="AZ423" i="3"/>
  <c r="AZ424" i="3"/>
  <c r="AZ426" i="3"/>
  <c r="AZ429" i="3"/>
  <c r="AZ431" i="3"/>
  <c r="AZ444" i="3"/>
  <c r="AZ456" i="3"/>
  <c r="AZ466" i="3"/>
  <c r="AZ472" i="3"/>
  <c r="AZ483" i="3"/>
  <c r="AZ489" i="3"/>
  <c r="AZ316" i="3"/>
  <c r="AZ395" i="3"/>
  <c r="AZ211" i="3"/>
  <c r="AZ219" i="3"/>
  <c r="AZ236" i="3"/>
  <c r="AZ252" i="3"/>
  <c r="AZ272" i="3"/>
  <c r="AZ276" i="3"/>
  <c r="AZ289" i="3"/>
  <c r="H9" i="34"/>
  <c r="AC31" i="35"/>
  <c r="F34" i="35"/>
  <c r="H34" i="35"/>
  <c r="J36" i="35"/>
  <c r="AZ435" i="3"/>
  <c r="AZ439" i="3"/>
  <c r="AZ267" i="3"/>
  <c r="AZ293" i="3"/>
  <c r="AZ54" i="3"/>
  <c r="AZ70" i="3"/>
  <c r="AZ92" i="3"/>
  <c r="AZ103" i="3"/>
  <c r="D22" i="67"/>
  <c r="AA21" i="33"/>
  <c r="T39" i="71"/>
  <c r="AA15" i="71"/>
  <c r="AA3" i="71"/>
  <c r="F14" i="71"/>
  <c r="F13" i="71" s="1"/>
  <c r="E62" i="71"/>
  <c r="E61" i="71" s="1"/>
  <c r="C30" i="71"/>
  <c r="X13" i="71"/>
  <c r="B14" i="71"/>
  <c r="B13" i="71" s="1"/>
  <c r="S15" i="71"/>
  <c r="Y14" i="71"/>
  <c r="Z14" i="71" s="1"/>
  <c r="X25" i="71"/>
  <c r="X23" i="71"/>
  <c r="AA19" i="71"/>
  <c r="AA20" i="71"/>
  <c r="AA24" i="71"/>
  <c r="E26" i="71"/>
  <c r="E27" i="71" s="1"/>
  <c r="U27" i="71" s="1"/>
  <c r="T15" i="71"/>
  <c r="D15" i="71"/>
  <c r="U15" i="71" s="1"/>
  <c r="X12" i="71"/>
  <c r="X14" i="71"/>
  <c r="E17" i="71"/>
  <c r="E18" i="71" s="1"/>
  <c r="E19" i="71" s="1"/>
  <c r="U19" i="71" s="1"/>
  <c r="AA16" i="71"/>
  <c r="AA12" i="71"/>
  <c r="AA14" i="71"/>
  <c r="X17" i="71"/>
  <c r="AB17" i="71"/>
  <c r="AA21" i="71"/>
  <c r="Y22" i="71"/>
  <c r="Z22" i="71" s="1"/>
  <c r="Y20" i="71"/>
  <c r="Z20" i="71" s="1"/>
  <c r="B25" i="71"/>
  <c r="B26" i="71" s="1"/>
  <c r="B27" i="71" s="1"/>
  <c r="S27" i="71" s="1"/>
  <c r="X24" i="71"/>
  <c r="AB25" i="71"/>
  <c r="AB24" i="71"/>
  <c r="AI10" i="43"/>
  <c r="Y8" i="71"/>
  <c r="Z8" i="71" s="1"/>
  <c r="AA18" i="36"/>
  <c r="S18" i="36"/>
  <c r="C13" i="71"/>
  <c r="D13" i="71" s="1"/>
  <c r="D14" i="71"/>
  <c r="Y18" i="71"/>
  <c r="Z18" i="71" s="1"/>
  <c r="C19" i="71"/>
  <c r="X18" i="71"/>
  <c r="X19" i="71"/>
  <c r="AB21" i="71"/>
  <c r="AB20" i="71"/>
  <c r="AA22" i="71"/>
  <c r="AA23" i="71"/>
  <c r="P55" i="71"/>
  <c r="E54" i="71"/>
  <c r="AC12" i="43"/>
  <c r="AC10" i="43"/>
  <c r="AE12" i="43"/>
  <c r="AE10" i="43"/>
  <c r="AG12" i="43"/>
  <c r="AG10" i="43"/>
  <c r="AB14" i="71"/>
  <c r="AB12" i="71"/>
  <c r="X11" i="71"/>
  <c r="Y9" i="71"/>
  <c r="Z9" i="71" s="1"/>
  <c r="Y10" i="71"/>
  <c r="Z10" i="71" s="1"/>
  <c r="C11" i="71"/>
  <c r="AB10" i="71"/>
  <c r="AB11" i="71"/>
  <c r="Y5" i="71"/>
  <c r="Z5" i="71" s="1"/>
  <c r="AB5" i="71"/>
  <c r="V55" i="71"/>
  <c r="F54" i="71"/>
  <c r="Z12" i="43"/>
  <c r="Z10" i="43"/>
  <c r="AD12" i="43"/>
  <c r="AD10" i="43"/>
  <c r="AH12" i="43"/>
  <c r="AH10" i="43"/>
  <c r="Y11" i="71"/>
  <c r="Z11" i="71" s="1"/>
  <c r="F11" i="71"/>
  <c r="F10" i="71" s="1"/>
  <c r="F9" i="71" s="1"/>
  <c r="F8" i="71" s="1"/>
  <c r="F7" i="71" s="1"/>
  <c r="F6" i="71" s="1"/>
  <c r="F5" i="71" s="1"/>
  <c r="AA10" i="71"/>
  <c r="AA11" i="71"/>
  <c r="X9" i="71"/>
  <c r="B11" i="71"/>
  <c r="AA9" i="71"/>
  <c r="AB8" i="71"/>
  <c r="AA8" i="71"/>
  <c r="X5" i="71"/>
  <c r="AA5" i="71"/>
  <c r="M17" i="15"/>
  <c r="F59" i="67"/>
  <c r="F59" i="15"/>
  <c r="M17" i="67"/>
  <c r="F43" i="67"/>
  <c r="F7" i="67"/>
  <c r="F9" i="67"/>
  <c r="D7" i="73"/>
  <c r="L47" i="67"/>
  <c r="M27" i="67"/>
  <c r="M24" i="67"/>
  <c r="F37" i="67"/>
  <c r="M23" i="67"/>
  <c r="F8" i="67"/>
  <c r="D6" i="73"/>
  <c r="J15" i="67"/>
  <c r="F35" i="67"/>
  <c r="M28" i="67"/>
  <c r="F16" i="67"/>
  <c r="D5" i="73"/>
  <c r="F41" i="67"/>
  <c r="F26" i="67"/>
  <c r="M29" i="67"/>
  <c r="M21" i="67"/>
  <c r="D3" i="73"/>
  <c r="F36" i="67"/>
  <c r="L48" i="67"/>
  <c r="F38" i="67"/>
  <c r="M22" i="67"/>
  <c r="L48" i="15"/>
  <c r="F6" i="67"/>
  <c r="C27" i="67" l="1"/>
  <c r="C34" i="67"/>
  <c r="F63" i="67"/>
  <c r="C62" i="67" s="1"/>
  <c r="J57" i="67"/>
  <c r="J55" i="67" s="1"/>
  <c r="J58" i="67" s="1"/>
  <c r="Q50" i="67" s="1"/>
  <c r="I54" i="67"/>
  <c r="L56" i="67"/>
  <c r="M7" i="67"/>
  <c r="J6" i="67" s="1"/>
  <c r="F50" i="67"/>
  <c r="F65" i="67"/>
  <c r="F71" i="67"/>
  <c r="AB38" i="37"/>
  <c r="U38" i="37"/>
  <c r="W14" i="40"/>
  <c r="AC14" i="40"/>
  <c r="U34" i="36"/>
  <c r="AB34" i="36"/>
  <c r="S30" i="34"/>
  <c r="AA30" i="34"/>
  <c r="AC24" i="35"/>
  <c r="W24" i="35"/>
  <c r="U12" i="35"/>
  <c r="AB12" i="35"/>
  <c r="W46" i="34"/>
  <c r="AC46" i="34"/>
  <c r="U29" i="33"/>
  <c r="AB29" i="33"/>
  <c r="W9" i="35"/>
  <c r="AC9" i="35"/>
  <c r="W46" i="21"/>
  <c r="AC46" i="21"/>
  <c r="AC30" i="21"/>
  <c r="W30" i="21"/>
  <c r="AB28" i="21"/>
  <c r="U28" i="21"/>
  <c r="AA12" i="34"/>
  <c r="D17" i="53"/>
  <c r="B36" i="72" s="1"/>
  <c r="U25" i="39"/>
  <c r="AA43" i="21"/>
  <c r="S27" i="21"/>
  <c r="AC37" i="21"/>
  <c r="AB36" i="33"/>
  <c r="U23" i="33"/>
  <c r="F28" i="6"/>
  <c r="AZ90" i="3"/>
  <c r="AZ75" i="3"/>
  <c r="AZ73" i="3"/>
  <c r="AZ64" i="3"/>
  <c r="AZ134" i="3"/>
  <c r="AZ121" i="3"/>
  <c r="AZ114" i="3"/>
  <c r="AZ260" i="3"/>
  <c r="AZ257" i="3"/>
  <c r="AZ255" i="3"/>
  <c r="AZ245" i="3"/>
  <c r="AZ225" i="3"/>
  <c r="AZ212" i="3"/>
  <c r="AZ368" i="3"/>
  <c r="AZ353" i="3"/>
  <c r="AZ476" i="3"/>
  <c r="AZ447" i="3"/>
  <c r="AZ433" i="3"/>
  <c r="AZ551" i="3"/>
  <c r="AZ586" i="3"/>
  <c r="S35" i="39"/>
  <c r="AZ583" i="3"/>
  <c r="S32" i="33"/>
  <c r="AZ579" i="3"/>
  <c r="S25" i="39"/>
  <c r="AZ69" i="3"/>
  <c r="AZ449" i="3"/>
  <c r="AZ288" i="3"/>
  <c r="AZ235" i="3"/>
  <c r="AZ231" i="3"/>
  <c r="AZ108" i="3"/>
  <c r="AZ107" i="3"/>
  <c r="AZ104" i="3"/>
  <c r="C61" i="71"/>
  <c r="D61" i="71" s="1"/>
  <c r="AZ126" i="3"/>
  <c r="AZ125" i="3"/>
  <c r="AZ271" i="3"/>
  <c r="AZ249" i="3"/>
  <c r="AZ246" i="3"/>
  <c r="AZ221" i="3"/>
  <c r="AZ217" i="3"/>
  <c r="AZ216" i="3"/>
  <c r="AZ210" i="3"/>
  <c r="AZ397" i="3"/>
  <c r="AZ367" i="3"/>
  <c r="AZ488" i="3"/>
  <c r="AZ482" i="3"/>
  <c r="AZ479" i="3"/>
  <c r="AZ405" i="3"/>
  <c r="AZ464" i="3"/>
  <c r="AZ443" i="3"/>
  <c r="AZ411" i="3"/>
  <c r="AZ565" i="3"/>
  <c r="AZ521" i="3"/>
  <c r="AZ496" i="3"/>
  <c r="AZ497" i="3"/>
  <c r="AZ498" i="3"/>
  <c r="AZ500" i="3"/>
  <c r="AZ504" i="3"/>
  <c r="AZ506" i="3"/>
  <c r="AZ507" i="3"/>
  <c r="AZ514" i="3"/>
  <c r="AZ522" i="3"/>
  <c r="AZ528" i="3"/>
  <c r="AZ536" i="3"/>
  <c r="AZ541" i="3"/>
  <c r="AZ554" i="3"/>
  <c r="AZ564" i="3"/>
  <c r="AZ570" i="3"/>
  <c r="AZ273" i="3"/>
  <c r="AZ269" i="3"/>
  <c r="AZ209" i="3"/>
  <c r="AZ485" i="3"/>
  <c r="AZ76" i="3"/>
  <c r="AZ55" i="3"/>
  <c r="AB14" i="39"/>
  <c r="U14" i="39"/>
  <c r="S38" i="37"/>
  <c r="AA38" i="37"/>
  <c r="S9" i="37"/>
  <c r="AA9" i="37"/>
  <c r="U30" i="34"/>
  <c r="AB30" i="34"/>
  <c r="U44" i="21"/>
  <c r="AB44" i="21"/>
  <c r="U43" i="39"/>
  <c r="AB43" i="39"/>
  <c r="S32" i="40"/>
  <c r="AA32" i="40"/>
  <c r="AC39" i="37"/>
  <c r="W39" i="37"/>
  <c r="S46" i="34"/>
  <c r="AA46" i="34"/>
  <c r="W45" i="33"/>
  <c r="AC45" i="33"/>
  <c r="AA9" i="35"/>
  <c r="S9" i="35"/>
  <c r="W26" i="33"/>
  <c r="AC26" i="33"/>
  <c r="S9" i="21"/>
  <c r="AA9" i="21"/>
  <c r="AP9" i="1"/>
  <c r="W23" i="33"/>
  <c r="AC25" i="39"/>
  <c r="AB23" i="21"/>
  <c r="AC21" i="39"/>
  <c r="W39" i="39"/>
  <c r="U39" i="39"/>
  <c r="AB39" i="39"/>
  <c r="AC46" i="33"/>
  <c r="W46" i="33"/>
  <c r="AA30" i="33"/>
  <c r="S30" i="33"/>
  <c r="AA27" i="33"/>
  <c r="S27" i="33"/>
  <c r="U33" i="40"/>
  <c r="AB33" i="40"/>
  <c r="U13" i="35"/>
  <c r="AB13" i="35"/>
  <c r="U45" i="34"/>
  <c r="AB45" i="34"/>
  <c r="AZ170" i="3"/>
  <c r="AZ165" i="3"/>
  <c r="AZ258" i="3"/>
  <c r="AZ223" i="3"/>
  <c r="AZ354" i="3"/>
  <c r="AZ490" i="3"/>
  <c r="C57" i="71"/>
  <c r="D57" i="71" s="1"/>
  <c r="D58" i="71"/>
  <c r="AZ494" i="3"/>
  <c r="AZ572" i="3"/>
  <c r="J26" i="35"/>
  <c r="AA31" i="40"/>
  <c r="S31" i="40"/>
  <c r="AA46" i="33"/>
  <c r="S46" i="33"/>
  <c r="W30" i="33"/>
  <c r="AC30" i="33"/>
  <c r="U27" i="33"/>
  <c r="AB27" i="33"/>
  <c r="W27" i="21"/>
  <c r="AC27" i="21"/>
  <c r="AA33" i="40"/>
  <c r="S33" i="40"/>
  <c r="AA12" i="33"/>
  <c r="S12" i="33"/>
  <c r="W33" i="40"/>
  <c r="AC33" i="40"/>
  <c r="AC13" i="35"/>
  <c r="W13" i="35"/>
  <c r="W45" i="34"/>
  <c r="AC45" i="34"/>
  <c r="W13" i="34"/>
  <c r="AC13" i="34"/>
  <c r="F26" i="35"/>
  <c r="F69" i="67"/>
  <c r="L59" i="67"/>
  <c r="Q74" i="67" s="1"/>
  <c r="L58" i="67"/>
  <c r="Q73" i="67" s="1"/>
  <c r="N59" i="67"/>
  <c r="J20" i="67"/>
  <c r="F51" i="67"/>
  <c r="C49" i="67" s="1"/>
  <c r="C6" i="67"/>
  <c r="F66" i="67"/>
  <c r="F64" i="67"/>
  <c r="AZ43" i="3"/>
  <c r="AZ41" i="3"/>
  <c r="AZ89" i="3"/>
  <c r="AZ455" i="3"/>
  <c r="AZ286" i="3"/>
  <c r="AZ233" i="3"/>
  <c r="AZ386" i="3"/>
  <c r="AZ468" i="3"/>
  <c r="AZ558" i="3"/>
  <c r="AZ578" i="3"/>
  <c r="AZ111" i="3"/>
  <c r="AC12" i="34"/>
  <c r="AZ396" i="3"/>
  <c r="AC12" i="40"/>
  <c r="W12" i="40"/>
  <c r="AB32" i="34"/>
  <c r="U32" i="34"/>
  <c r="W14" i="34"/>
  <c r="AC14" i="34"/>
  <c r="W13" i="33"/>
  <c r="AC13" i="33"/>
  <c r="AZ543" i="3"/>
  <c r="AZ511" i="3"/>
  <c r="AZ538" i="3"/>
  <c r="AZ540" i="3"/>
  <c r="AZ555" i="3"/>
  <c r="AZ562" i="3"/>
  <c r="AB44" i="39"/>
  <c r="U44" i="39"/>
  <c r="AA27" i="37"/>
  <c r="S27" i="37"/>
  <c r="W13" i="37"/>
  <c r="AC13" i="37"/>
  <c r="AB32" i="36"/>
  <c r="U32" i="36"/>
  <c r="S32" i="36"/>
  <c r="AA32" i="36"/>
  <c r="AB25" i="36"/>
  <c r="U25" i="36"/>
  <c r="AC35" i="35"/>
  <c r="W35" i="35"/>
  <c r="AB25" i="35"/>
  <c r="U25" i="35"/>
  <c r="AC23" i="35"/>
  <c r="W23" i="35"/>
  <c r="W28" i="34"/>
  <c r="AC28" i="34"/>
  <c r="W45" i="21"/>
  <c r="AC45" i="21"/>
  <c r="U13" i="21"/>
  <c r="AB13" i="21"/>
  <c r="AZ587" i="3"/>
  <c r="D70" i="39"/>
  <c r="E68" i="39"/>
  <c r="C27" i="71"/>
  <c r="D26" i="71"/>
  <c r="S12" i="40"/>
  <c r="AA12" i="40"/>
  <c r="S11" i="35"/>
  <c r="AA11" i="35"/>
  <c r="W32" i="34"/>
  <c r="AC32" i="34"/>
  <c r="AB14" i="34"/>
  <c r="U14" i="34"/>
  <c r="S31" i="33"/>
  <c r="AA31" i="33"/>
  <c r="S13" i="33"/>
  <c r="AA13" i="33"/>
  <c r="AA23" i="35"/>
  <c r="S23" i="35"/>
  <c r="AB28" i="34"/>
  <c r="U28" i="34"/>
  <c r="W41" i="39"/>
  <c r="AC41" i="39"/>
  <c r="S13" i="37"/>
  <c r="AA13" i="37"/>
  <c r="W32" i="36"/>
  <c r="AC32" i="36"/>
  <c r="S25" i="36"/>
  <c r="AA25" i="36"/>
  <c r="W25" i="36"/>
  <c r="AC25" i="36"/>
  <c r="AA35" i="35"/>
  <c r="S35" i="35"/>
  <c r="W25" i="35"/>
  <c r="AC25" i="35"/>
  <c r="U23" i="35"/>
  <c r="AB23" i="35"/>
  <c r="AA28" i="34"/>
  <c r="S28" i="34"/>
  <c r="AA45" i="21"/>
  <c r="S45" i="21"/>
  <c r="AC13" i="21"/>
  <c r="W13" i="21"/>
  <c r="AZ186" i="3"/>
  <c r="AZ181" i="3"/>
  <c r="AZ117" i="3"/>
  <c r="AZ301" i="3"/>
  <c r="AZ71" i="3"/>
  <c r="AZ67" i="3"/>
  <c r="AZ65" i="3"/>
  <c r="AZ42" i="3"/>
  <c r="AZ457" i="3"/>
  <c r="AZ452" i="3"/>
  <c r="AZ450" i="3"/>
  <c r="AZ284" i="3"/>
  <c r="AZ237" i="3"/>
  <c r="N54" i="71"/>
  <c r="B53" i="71"/>
  <c r="AZ202" i="3"/>
  <c r="AZ197" i="3"/>
  <c r="AZ348" i="3"/>
  <c r="AZ481" i="3"/>
  <c r="AZ406" i="3"/>
  <c r="AZ401" i="3"/>
  <c r="AZ473" i="3"/>
  <c r="AZ463" i="3"/>
  <c r="AA27" i="34"/>
  <c r="S27" i="34"/>
  <c r="AB27" i="21"/>
  <c r="U27" i="21"/>
  <c r="AB31" i="34"/>
  <c r="U31" i="34"/>
  <c r="U42" i="39"/>
  <c r="AZ581" i="3"/>
  <c r="C47" i="71"/>
  <c r="D46" i="71"/>
  <c r="AC9" i="33"/>
  <c r="W9" i="33"/>
  <c r="W28" i="33"/>
  <c r="AC28" i="33"/>
  <c r="AC31" i="21"/>
  <c r="W31" i="21"/>
  <c r="W29" i="34"/>
  <c r="AC29" i="34"/>
  <c r="H7" i="21"/>
  <c r="J7" i="21"/>
  <c r="AZ20" i="3"/>
  <c r="AZ33" i="3"/>
  <c r="AZ29" i="3"/>
  <c r="G28" i="6"/>
  <c r="AB37" i="21"/>
  <c r="U12" i="21"/>
  <c r="AZ37" i="3"/>
  <c r="AZ158" i="3"/>
  <c r="AZ145" i="3"/>
  <c r="AZ137" i="3"/>
  <c r="AZ118" i="3"/>
  <c r="AZ220" i="3"/>
  <c r="AZ477" i="3"/>
  <c r="AZ459" i="3"/>
  <c r="AZ442" i="3"/>
  <c r="AZ434" i="3"/>
  <c r="AZ550" i="3"/>
  <c r="I21" i="66"/>
  <c r="D1" i="66" s="1"/>
  <c r="E10" i="66" s="1"/>
  <c r="AZ97" i="3"/>
  <c r="AZ154" i="3"/>
  <c r="AZ149" i="3"/>
  <c r="AZ122" i="3"/>
  <c r="AZ85" i="3"/>
  <c r="AZ83" i="3"/>
  <c r="AZ81" i="3"/>
  <c r="AZ46" i="3"/>
  <c r="AZ40" i="3"/>
  <c r="AZ461" i="3"/>
  <c r="AZ454" i="3"/>
  <c r="AZ448" i="3"/>
  <c r="AZ437" i="3"/>
  <c r="AZ417" i="3"/>
  <c r="AZ402" i="3"/>
  <c r="AA40" i="40"/>
  <c r="S40" i="40"/>
  <c r="AZ280" i="3"/>
  <c r="AZ278" i="3"/>
  <c r="AZ262" i="3"/>
  <c r="AZ230" i="3"/>
  <c r="AA41" i="39"/>
  <c r="D50" i="71"/>
  <c r="C51" i="71"/>
  <c r="AC9" i="36"/>
  <c r="W9" i="36"/>
  <c r="L58" i="15"/>
  <c r="Q73" i="15" s="1"/>
  <c r="I54" i="15"/>
  <c r="J57" i="15"/>
  <c r="J55" i="15" s="1"/>
  <c r="J58" i="15" s="1"/>
  <c r="Q50" i="15" s="1"/>
  <c r="F7" i="35"/>
  <c r="F7" i="33"/>
  <c r="AZ21" i="3"/>
  <c r="AZ32" i="3"/>
  <c r="AZ30" i="3"/>
  <c r="AZ28" i="3"/>
  <c r="D58" i="78"/>
  <c r="E58" i="78" s="1"/>
  <c r="F58" i="78" s="1"/>
  <c r="G58" i="78" s="1"/>
  <c r="H58" i="78" s="1"/>
  <c r="I58" i="78" s="1"/>
  <c r="J58" i="78" s="1"/>
  <c r="K58" i="78" s="1"/>
  <c r="L58" i="78" s="1"/>
  <c r="M58" i="78" s="1"/>
  <c r="N58" i="78" s="1"/>
  <c r="O58" i="78" s="1"/>
  <c r="F7" i="78"/>
  <c r="J7" i="78"/>
  <c r="H7" i="78"/>
  <c r="AZ446" i="3"/>
  <c r="AZ419" i="3"/>
  <c r="W39" i="40"/>
  <c r="AC39" i="40"/>
  <c r="AC26" i="37"/>
  <c r="W26" i="37"/>
  <c r="AA33" i="36"/>
  <c r="S33" i="36"/>
  <c r="AB24" i="36"/>
  <c r="U24" i="36"/>
  <c r="AB23" i="36"/>
  <c r="U23" i="36"/>
  <c r="G77" i="33"/>
  <c r="H15" i="33"/>
  <c r="J15" i="33"/>
  <c r="S12" i="36"/>
  <c r="AA12" i="36"/>
  <c r="AA40" i="37"/>
  <c r="S40" i="37"/>
  <c r="W14" i="33"/>
  <c r="AC14" i="33"/>
  <c r="AA13" i="39"/>
  <c r="S13" i="39"/>
  <c r="AB27" i="34"/>
  <c r="U27" i="34"/>
  <c r="AC38" i="40"/>
  <c r="W38" i="40"/>
  <c r="AA37" i="39"/>
  <c r="S37" i="39"/>
  <c r="AC25" i="37"/>
  <c r="W25" i="37"/>
  <c r="AA23" i="36"/>
  <c r="S23" i="36"/>
  <c r="U12" i="36"/>
  <c r="AB12" i="36"/>
  <c r="AB43" i="21"/>
  <c r="U43" i="21"/>
  <c r="S12" i="21"/>
  <c r="AA12" i="21"/>
  <c r="D6" i="52"/>
  <c r="D121" i="9"/>
  <c r="D7" i="52" s="1"/>
  <c r="U23" i="39"/>
  <c r="AB23" i="39"/>
  <c r="C53" i="71"/>
  <c r="D54" i="71"/>
  <c r="O54" i="71"/>
  <c r="D58" i="79"/>
  <c r="E58" i="79" s="1"/>
  <c r="F58" i="79" s="1"/>
  <c r="G58" i="79" s="1"/>
  <c r="H58" i="79" s="1"/>
  <c r="I58" i="79" s="1"/>
  <c r="J58" i="79" s="1"/>
  <c r="K58" i="79" s="1"/>
  <c r="L58" i="79" s="1"/>
  <c r="M58" i="79" s="1"/>
  <c r="N58" i="79" s="1"/>
  <c r="O58" i="79" s="1"/>
  <c r="J7" i="79"/>
  <c r="F7" i="79"/>
  <c r="H7" i="79"/>
  <c r="U39" i="40"/>
  <c r="AB39" i="40"/>
  <c r="AA26" i="37"/>
  <c r="S26" i="37"/>
  <c r="AA25" i="37"/>
  <c r="S25" i="37"/>
  <c r="AB33" i="36"/>
  <c r="U33" i="36"/>
  <c r="AC24" i="36"/>
  <c r="W24" i="36"/>
  <c r="AA15" i="33"/>
  <c r="S15" i="33"/>
  <c r="AC35" i="39"/>
  <c r="W35" i="39"/>
  <c r="AC40" i="37"/>
  <c r="W40" i="37"/>
  <c r="S14" i="33"/>
  <c r="AA14" i="33"/>
  <c r="S31" i="34"/>
  <c r="AA31" i="34"/>
  <c r="S14" i="37"/>
  <c r="AA14" i="37"/>
  <c r="AC14" i="37"/>
  <c r="W14" i="37"/>
  <c r="AA24" i="35"/>
  <c r="S24" i="35"/>
  <c r="AA38" i="40"/>
  <c r="S38" i="40"/>
  <c r="W37" i="39"/>
  <c r="AC37" i="39"/>
  <c r="U25" i="37"/>
  <c r="AB25" i="37"/>
  <c r="AC23" i="36"/>
  <c r="W23" i="36"/>
  <c r="AC12" i="36"/>
  <c r="W12" i="36"/>
  <c r="AC19" i="33"/>
  <c r="W19" i="33"/>
  <c r="F30" i="6"/>
  <c r="E28" i="6"/>
  <c r="K14" i="1" s="1"/>
  <c r="AZ15" i="3"/>
  <c r="AP8" i="1"/>
  <c r="AZ19" i="3"/>
  <c r="AZ16" i="3"/>
  <c r="AZ23" i="3"/>
  <c r="AZ18" i="3"/>
  <c r="F32" i="21"/>
  <c r="S32" i="21" s="1"/>
  <c r="J32" i="21"/>
  <c r="W32" i="21" s="1"/>
  <c r="AA32" i="21"/>
  <c r="H13" i="3"/>
  <c r="BB13" i="3"/>
  <c r="I5" i="3"/>
  <c r="F19" i="6" s="1"/>
  <c r="W36" i="33"/>
  <c r="AC36" i="33"/>
  <c r="AA11" i="21"/>
  <c r="AC32" i="21"/>
  <c r="AA19" i="21"/>
  <c r="S19" i="21"/>
  <c r="U13" i="39"/>
  <c r="AB13" i="39"/>
  <c r="U29" i="21"/>
  <c r="AB29" i="21"/>
  <c r="S31" i="21"/>
  <c r="AA31" i="21"/>
  <c r="U40" i="21"/>
  <c r="S38" i="21"/>
  <c r="AA38" i="21"/>
  <c r="AA37" i="21"/>
  <c r="S37" i="21"/>
  <c r="AA46" i="21"/>
  <c r="S46" i="21"/>
  <c r="AB17" i="21"/>
  <c r="U17" i="21"/>
  <c r="W17" i="21"/>
  <c r="AC17" i="21"/>
  <c r="AA17" i="21"/>
  <c r="S17" i="21"/>
  <c r="U15" i="21"/>
  <c r="AB15" i="21"/>
  <c r="AC15" i="21"/>
  <c r="S15" i="21"/>
  <c r="AA15" i="21"/>
  <c r="U32" i="21"/>
  <c r="AB32" i="21"/>
  <c r="S15" i="39"/>
  <c r="AA15" i="39"/>
  <c r="AC15" i="39"/>
  <c r="W15" i="39"/>
  <c r="U15" i="39"/>
  <c r="AB15" i="39"/>
  <c r="W17" i="39"/>
  <c r="AC17" i="39"/>
  <c r="AB17" i="39"/>
  <c r="U17" i="39"/>
  <c r="AA17" i="39"/>
  <c r="S17" i="39"/>
  <c r="AA21" i="39"/>
  <c r="S21" i="39"/>
  <c r="AB21" i="39"/>
  <c r="U21" i="39"/>
  <c r="AC23" i="39"/>
  <c r="W23" i="39"/>
  <c r="AA27" i="39"/>
  <c r="S27" i="39"/>
  <c r="U27" i="39"/>
  <c r="AB27" i="39"/>
  <c r="AC27" i="39"/>
  <c r="W27" i="39"/>
  <c r="W45" i="39"/>
  <c r="AC45" i="39"/>
  <c r="S45" i="39"/>
  <c r="AA45" i="39"/>
  <c r="AA43" i="39"/>
  <c r="S43" i="39"/>
  <c r="AC36" i="39"/>
  <c r="W36" i="39"/>
  <c r="AB36" i="39"/>
  <c r="U36" i="39"/>
  <c r="AA31" i="39"/>
  <c r="S31" i="39"/>
  <c r="W31" i="39"/>
  <c r="AC31" i="39"/>
  <c r="F28" i="67"/>
  <c r="C28" i="67" s="1"/>
  <c r="F32" i="67"/>
  <c r="F60" i="67" s="1"/>
  <c r="F32" i="15"/>
  <c r="F60" i="15" s="1"/>
  <c r="F30" i="11"/>
  <c r="C48" i="11" s="1"/>
  <c r="F52" i="9"/>
  <c r="F30" i="69"/>
  <c r="M18" i="15"/>
  <c r="F53" i="9"/>
  <c r="F31" i="12"/>
  <c r="F28" i="15"/>
  <c r="C28" i="15" s="1"/>
  <c r="D68" i="9"/>
  <c r="F30" i="68"/>
  <c r="M18" i="67"/>
  <c r="C30" i="11"/>
  <c r="K1" i="73"/>
  <c r="G30" i="6"/>
  <c r="G31" i="6" s="1"/>
  <c r="E29" i="6"/>
  <c r="AZ25" i="3"/>
  <c r="BL5" i="3"/>
  <c r="AZ22" i="3"/>
  <c r="B38" i="72"/>
  <c r="D20" i="53"/>
  <c r="B40" i="72" s="1"/>
  <c r="C4" i="4"/>
  <c r="K4" i="4" s="1"/>
  <c r="B46" i="48" s="1"/>
  <c r="B4" i="72" s="1"/>
  <c r="D65" i="40"/>
  <c r="E63" i="40"/>
  <c r="H7" i="36"/>
  <c r="AB7" i="36" s="1"/>
  <c r="T36" i="36" s="1"/>
  <c r="G36" i="36" s="1"/>
  <c r="H7" i="35"/>
  <c r="U7" i="35" s="1"/>
  <c r="J7" i="35"/>
  <c r="AC7" i="35" s="1"/>
  <c r="V38" i="35" s="1"/>
  <c r="I38" i="35" s="1"/>
  <c r="H7" i="33"/>
  <c r="U7" i="33" s="1"/>
  <c r="J7" i="33"/>
  <c r="AC7" i="33" s="1"/>
  <c r="J7" i="34"/>
  <c r="AC7" i="34" s="1"/>
  <c r="V49" i="34" s="1"/>
  <c r="I49" i="34" s="1"/>
  <c r="H7" i="34"/>
  <c r="AB7" i="34" s="1"/>
  <c r="T49" i="34" s="1"/>
  <c r="G49" i="34" s="1"/>
  <c r="J7" i="36"/>
  <c r="AC7" i="36" s="1"/>
  <c r="V36" i="36" s="1"/>
  <c r="I36" i="36" s="1"/>
  <c r="F7" i="21"/>
  <c r="AA7" i="21" s="1"/>
  <c r="T14" i="43"/>
  <c r="V14" i="43" s="1"/>
  <c r="T8" i="43"/>
  <c r="V8" i="43" s="1"/>
  <c r="T13" i="43"/>
  <c r="V13" i="43" s="1"/>
  <c r="T15" i="43"/>
  <c r="V15" i="43" s="1"/>
  <c r="T9" i="43"/>
  <c r="V9" i="43" s="1"/>
  <c r="T12" i="43"/>
  <c r="V12" i="43" s="1"/>
  <c r="T10" i="43"/>
  <c r="V10" i="43" s="1"/>
  <c r="T16" i="43"/>
  <c r="V16" i="43" s="1"/>
  <c r="T11" i="43"/>
  <c r="V11" i="43" s="1"/>
  <c r="F11" i="67"/>
  <c r="M11" i="67"/>
  <c r="J10" i="67" s="1"/>
  <c r="J5" i="67" s="1"/>
  <c r="M11" i="15"/>
  <c r="F11" i="15"/>
  <c r="Q74" i="15"/>
  <c r="Q61" i="15"/>
  <c r="C31" i="71"/>
  <c r="D30" i="71"/>
  <c r="AB34" i="35"/>
  <c r="U34" i="35"/>
  <c r="D10" i="52"/>
  <c r="D125" i="9"/>
  <c r="D11" i="52" s="1"/>
  <c r="H14" i="74"/>
  <c r="B7" i="74" s="1"/>
  <c r="I52" i="37"/>
  <c r="J52" i="37" s="1"/>
  <c r="K52" i="37" s="1"/>
  <c r="L52" i="37" s="1"/>
  <c r="M52" i="37" s="1"/>
  <c r="N52" i="37" s="1"/>
  <c r="O52" i="37" s="1"/>
  <c r="U7" i="36"/>
  <c r="AB7" i="35"/>
  <c r="T38" i="35" s="1"/>
  <c r="G38" i="35" s="1"/>
  <c r="W7" i="35"/>
  <c r="AB7" i="33"/>
  <c r="W7" i="34"/>
  <c r="B10" i="71"/>
  <c r="B9" i="71" s="1"/>
  <c r="B8" i="71" s="1"/>
  <c r="B7" i="71" s="1"/>
  <c r="S11" i="71"/>
  <c r="Q54" i="71"/>
  <c r="F53" i="71"/>
  <c r="C10" i="71"/>
  <c r="T11" i="71"/>
  <c r="D11" i="71"/>
  <c r="U11" i="71" s="1"/>
  <c r="P54" i="71"/>
  <c r="E53" i="71"/>
  <c r="D19" i="71"/>
  <c r="T19" i="71"/>
  <c r="W36" i="35"/>
  <c r="AC36" i="35"/>
  <c r="S34" i="35"/>
  <c r="AA34" i="35"/>
  <c r="U9" i="34"/>
  <c r="AB9" i="34"/>
  <c r="U7" i="21"/>
  <c r="AB7" i="21"/>
  <c r="T48" i="21" s="1"/>
  <c r="G48" i="21" s="1"/>
  <c r="P9" i="1"/>
  <c r="AA7" i="35"/>
  <c r="R38" i="35" s="1"/>
  <c r="S7" i="35"/>
  <c r="AA7" i="33"/>
  <c r="R48" i="33" s="1"/>
  <c r="S7" i="33"/>
  <c r="F7" i="34"/>
  <c r="F7" i="36"/>
  <c r="AC7" i="21"/>
  <c r="W7" i="21"/>
  <c r="C34" i="43"/>
  <c r="C39" i="43"/>
  <c r="C38" i="43"/>
  <c r="C36" i="43"/>
  <c r="C35" i="43"/>
  <c r="C37" i="43"/>
  <c r="C33" i="43"/>
  <c r="L56" i="15"/>
  <c r="J18" i="67"/>
  <c r="Q60" i="67"/>
  <c r="M28" i="43"/>
  <c r="O28" i="43"/>
  <c r="P28" i="43"/>
  <c r="N28" i="43"/>
  <c r="G1" i="73"/>
  <c r="C16" i="67"/>
  <c r="C14" i="67"/>
  <c r="C17" i="67"/>
  <c r="C15" i="67" l="1"/>
  <c r="C18" i="67"/>
  <c r="AA26" i="35"/>
  <c r="S26" i="35"/>
  <c r="W26" i="35"/>
  <c r="AC26" i="35"/>
  <c r="Q61" i="67"/>
  <c r="C32" i="67"/>
  <c r="D27" i="71"/>
  <c r="T27" i="71"/>
  <c r="F68" i="39"/>
  <c r="E70" i="39"/>
  <c r="D47" i="71"/>
  <c r="T47" i="71"/>
  <c r="N53" i="71"/>
  <c r="N52" i="71"/>
  <c r="W7" i="36"/>
  <c r="D51" i="71"/>
  <c r="T51" i="71"/>
  <c r="Q60" i="15"/>
  <c r="U7" i="34"/>
  <c r="S7" i="21"/>
  <c r="AA7" i="79"/>
  <c r="R48" i="79" s="1"/>
  <c r="S7" i="79"/>
  <c r="AC15" i="33"/>
  <c r="W15" i="33"/>
  <c r="AC7" i="78"/>
  <c r="V48" i="78" s="1"/>
  <c r="I48" i="78" s="1"/>
  <c r="W7" i="78"/>
  <c r="V48" i="33"/>
  <c r="I48" i="33" s="1"/>
  <c r="I52" i="33" s="1"/>
  <c r="J52" i="33" s="1"/>
  <c r="U7" i="79"/>
  <c r="AB7" i="79"/>
  <c r="T48" i="79" s="1"/>
  <c r="G48" i="79" s="1"/>
  <c r="AC7" i="79"/>
  <c r="V48" i="79" s="1"/>
  <c r="I48" i="79" s="1"/>
  <c r="I52" i="79" s="1"/>
  <c r="J52" i="79" s="1"/>
  <c r="W7" i="79"/>
  <c r="D53" i="71"/>
  <c r="O53" i="71"/>
  <c r="O52" i="71"/>
  <c r="AB15" i="33"/>
  <c r="T48" i="33" s="1"/>
  <c r="U15" i="33"/>
  <c r="U7" i="78"/>
  <c r="AB7" i="78"/>
  <c r="T48" i="78" s="1"/>
  <c r="G48" i="78" s="1"/>
  <c r="S7" i="78"/>
  <c r="AA7" i="78"/>
  <c r="R48" i="78" s="1"/>
  <c r="BB5" i="3"/>
  <c r="BA13" i="3"/>
  <c r="E20" i="6"/>
  <c r="E19" i="6"/>
  <c r="I4" i="6"/>
  <c r="G3" i="43" s="1"/>
  <c r="G13" i="3"/>
  <c r="AY3" i="3" s="1"/>
  <c r="H5" i="3"/>
  <c r="W7" i="33"/>
  <c r="V48" i="21"/>
  <c r="I48" i="21" s="1"/>
  <c r="R48" i="21"/>
  <c r="C48" i="69"/>
  <c r="C30" i="69"/>
  <c r="C48" i="68"/>
  <c r="C30" i="68"/>
  <c r="B40" i="1"/>
  <c r="F22" i="68" s="1"/>
  <c r="M14" i="1"/>
  <c r="O14" i="1" s="1"/>
  <c r="K15" i="1"/>
  <c r="L20" i="6"/>
  <c r="E30" i="6"/>
  <c r="B4" i="62"/>
  <c r="B71" i="72" s="1"/>
  <c r="F63" i="40"/>
  <c r="E65" i="40"/>
  <c r="AA7" i="34"/>
  <c r="R49" i="34" s="1"/>
  <c r="S7" i="34"/>
  <c r="E48" i="33"/>
  <c r="R39" i="35"/>
  <c r="E38" i="35"/>
  <c r="P52" i="71"/>
  <c r="P53" i="71"/>
  <c r="C9" i="71"/>
  <c r="D10" i="71"/>
  <c r="B6" i="71"/>
  <c r="B5" i="71" s="1"/>
  <c r="S7" i="71"/>
  <c r="I40" i="36"/>
  <c r="J40" i="36" s="1"/>
  <c r="I42" i="35"/>
  <c r="J42" i="35" s="1"/>
  <c r="I43" i="35"/>
  <c r="J43" i="35" s="1"/>
  <c r="G42" i="35"/>
  <c r="H42" i="35" s="1"/>
  <c r="G43" i="35"/>
  <c r="H43" i="35" s="1"/>
  <c r="G40" i="36"/>
  <c r="H40" i="36" s="1"/>
  <c r="G41" i="36"/>
  <c r="H41" i="36" s="1"/>
  <c r="D31" i="71"/>
  <c r="T31" i="71"/>
  <c r="C53" i="67"/>
  <c r="C48" i="67" s="1"/>
  <c r="C10" i="67"/>
  <c r="C5" i="67" s="1"/>
  <c r="F7" i="37"/>
  <c r="J26" i="67"/>
  <c r="J29" i="67" s="1"/>
  <c r="J24" i="67"/>
  <c r="E37" i="43"/>
  <c r="G37" i="43"/>
  <c r="I37" i="43" s="1"/>
  <c r="E36" i="43"/>
  <c r="G36" i="43"/>
  <c r="I36" i="43" s="1"/>
  <c r="E39" i="43"/>
  <c r="G39" i="43"/>
  <c r="I39" i="43" s="1"/>
  <c r="E33" i="43"/>
  <c r="G33" i="43"/>
  <c r="I33" i="43" s="1"/>
  <c r="E35" i="43"/>
  <c r="G35" i="43"/>
  <c r="I35" i="43" s="1"/>
  <c r="G38" i="43"/>
  <c r="I38" i="43" s="1"/>
  <c r="E38" i="43"/>
  <c r="E34" i="43"/>
  <c r="G34" i="43"/>
  <c r="I34" i="43" s="1"/>
  <c r="I52" i="21"/>
  <c r="J52" i="21" s="1"/>
  <c r="S7" i="36"/>
  <c r="AA7" i="36"/>
  <c r="R36" i="36" s="1"/>
  <c r="G52" i="21"/>
  <c r="H52" i="21" s="1"/>
  <c r="G53" i="21"/>
  <c r="H53" i="21" s="1"/>
  <c r="H7" i="37"/>
  <c r="Q53" i="71"/>
  <c r="Q52" i="71"/>
  <c r="G53" i="34"/>
  <c r="H53" i="34" s="1"/>
  <c r="G54" i="34"/>
  <c r="H54" i="34" s="1"/>
  <c r="I53" i="34"/>
  <c r="J53" i="34" s="1"/>
  <c r="J7" i="37"/>
  <c r="C53" i="15"/>
  <c r="C19" i="67" l="1"/>
  <c r="C20" i="67" s="1"/>
  <c r="C26" i="67" s="1"/>
  <c r="G68" i="39"/>
  <c r="F70" i="39"/>
  <c r="I53" i="33"/>
  <c r="J53" i="33" s="1"/>
  <c r="G48" i="33"/>
  <c r="R49" i="33"/>
  <c r="C48" i="33" s="1"/>
  <c r="D6" i="12" s="1"/>
  <c r="R49" i="78"/>
  <c r="E48" i="78"/>
  <c r="G52" i="78"/>
  <c r="H52" i="78" s="1"/>
  <c r="G53" i="78"/>
  <c r="H53" i="78" s="1"/>
  <c r="G52" i="79"/>
  <c r="H52" i="79" s="1"/>
  <c r="G53" i="79"/>
  <c r="H53" i="79" s="1"/>
  <c r="I52" i="78"/>
  <c r="J52" i="78" s="1"/>
  <c r="I53" i="78"/>
  <c r="J53" i="78" s="1"/>
  <c r="E48" i="79"/>
  <c r="R49" i="79"/>
  <c r="K7" i="1"/>
  <c r="M7" i="1" s="1"/>
  <c r="D7" i="12"/>
  <c r="C7" i="12"/>
  <c r="K6" i="1"/>
  <c r="E32" i="6"/>
  <c r="L19" i="6" s="1"/>
  <c r="B113" i="43"/>
  <c r="F22" i="43"/>
  <c r="AA11" i="43"/>
  <c r="AA13" i="43" s="1"/>
  <c r="AF11" i="43"/>
  <c r="AF13" i="43" s="1"/>
  <c r="AG11" i="43"/>
  <c r="AG13" i="43" s="1"/>
  <c r="G101" i="43"/>
  <c r="D101" i="43"/>
  <c r="AI11" i="43"/>
  <c r="AI13" i="43" s="1"/>
  <c r="J22" i="43"/>
  <c r="J101" i="43"/>
  <c r="N104" i="46"/>
  <c r="M101" i="43"/>
  <c r="AH11" i="43"/>
  <c r="AH13" i="43" s="1"/>
  <c r="AE11" i="43"/>
  <c r="AE13" i="43" s="1"/>
  <c r="AB11" i="43"/>
  <c r="AB13" i="43" s="1"/>
  <c r="H22" i="43"/>
  <c r="N101" i="43"/>
  <c r="K101" i="43"/>
  <c r="AD11" i="43"/>
  <c r="AD13" i="43" s="1"/>
  <c r="AJ11" i="43"/>
  <c r="AJ13" i="43" s="1"/>
  <c r="AC11" i="43"/>
  <c r="AC13" i="43" s="1"/>
  <c r="L101" i="43"/>
  <c r="Z11" i="43"/>
  <c r="Z13" i="43" s="1"/>
  <c r="Y11" i="43"/>
  <c r="Y13" i="43" s="1"/>
  <c r="Z7" i="43"/>
  <c r="H101" i="43"/>
  <c r="F101" i="43"/>
  <c r="C101" i="43"/>
  <c r="E22" i="43"/>
  <c r="E101" i="43"/>
  <c r="I101" i="43"/>
  <c r="G22" i="43"/>
  <c r="BA5" i="3"/>
  <c r="AZ13" i="3"/>
  <c r="AZ5" i="3" s="1"/>
  <c r="G5" i="3"/>
  <c r="B3" i="3" s="1"/>
  <c r="E13" i="3" s="1"/>
  <c r="E5" i="6"/>
  <c r="E15" i="6"/>
  <c r="E11" i="6"/>
  <c r="E13" i="6"/>
  <c r="E8" i="6"/>
  <c r="E12" i="6"/>
  <c r="E14" i="6"/>
  <c r="E10" i="6"/>
  <c r="R49" i="21"/>
  <c r="C49" i="21" s="1"/>
  <c r="E48" i="21"/>
  <c r="I53" i="21" s="1"/>
  <c r="J53" i="21" s="1"/>
  <c r="F24" i="15"/>
  <c r="C24" i="15" s="1"/>
  <c r="F22" i="11"/>
  <c r="F24" i="67"/>
  <c r="C24" i="67" s="1"/>
  <c r="F22" i="69"/>
  <c r="C44" i="69" s="1"/>
  <c r="D41" i="69" s="1"/>
  <c r="F25" i="12"/>
  <c r="P14" i="1"/>
  <c r="G63" i="40"/>
  <c r="F65" i="40"/>
  <c r="AC7" i="37"/>
  <c r="V42" i="37" s="1"/>
  <c r="I42" i="37" s="1"/>
  <c r="W7" i="37"/>
  <c r="E36" i="36"/>
  <c r="R37" i="36"/>
  <c r="D3" i="21"/>
  <c r="D3" i="33"/>
  <c r="E43" i="35"/>
  <c r="F43" i="35" s="1"/>
  <c r="E42" i="35"/>
  <c r="F42" i="35" s="1"/>
  <c r="E53" i="33"/>
  <c r="F53" i="33" s="1"/>
  <c r="E52" i="33"/>
  <c r="F52" i="33" s="1"/>
  <c r="C48" i="21"/>
  <c r="C66" i="67"/>
  <c r="C60" i="67"/>
  <c r="AB7" i="37"/>
  <c r="T42" i="37" s="1"/>
  <c r="G42" i="37" s="1"/>
  <c r="U7" i="37"/>
  <c r="AA7" i="37"/>
  <c r="R42" i="37" s="1"/>
  <c r="S7" i="37"/>
  <c r="C38" i="67"/>
  <c r="D9" i="71"/>
  <c r="C8" i="71"/>
  <c r="C39" i="35"/>
  <c r="B2" i="35" s="1"/>
  <c r="B3" i="35" s="1"/>
  <c r="C38" i="35"/>
  <c r="E49" i="34"/>
  <c r="R50" i="34"/>
  <c r="M29" i="15"/>
  <c r="F43" i="15"/>
  <c r="F7" i="15"/>
  <c r="C16" i="15"/>
  <c r="G70" i="39" l="1"/>
  <c r="H68" i="39"/>
  <c r="C49" i="33"/>
  <c r="B2" i="33" s="1"/>
  <c r="B3" i="33" s="1"/>
  <c r="I53" i="79"/>
  <c r="J53" i="79" s="1"/>
  <c r="E53" i="79"/>
  <c r="F53" i="79" s="1"/>
  <c r="E52" i="79"/>
  <c r="F52" i="79" s="1"/>
  <c r="C48" i="78"/>
  <c r="C49" i="78"/>
  <c r="G53" i="33"/>
  <c r="H53" i="33" s="1"/>
  <c r="G52" i="33"/>
  <c r="H52" i="33" s="1"/>
  <c r="C49" i="79"/>
  <c r="C48" i="79"/>
  <c r="E53" i="78"/>
  <c r="F53" i="78" s="1"/>
  <c r="E52" i="78"/>
  <c r="F52" i="78" s="1"/>
  <c r="AP7" i="1"/>
  <c r="D8" i="12"/>
  <c r="K16" i="1"/>
  <c r="D22" i="43"/>
  <c r="F71" i="15"/>
  <c r="C6" i="15"/>
  <c r="C32" i="15" s="1"/>
  <c r="M7" i="15"/>
  <c r="J6" i="15" s="1"/>
  <c r="J18" i="15" s="1"/>
  <c r="F50" i="15"/>
  <c r="C49" i="15" s="1"/>
  <c r="C48" i="15" s="1"/>
  <c r="C60" i="15" s="1"/>
  <c r="E63" i="39"/>
  <c r="E58" i="40"/>
  <c r="D106" i="43"/>
  <c r="D103" i="43"/>
  <c r="D105" i="43"/>
  <c r="D102" i="43"/>
  <c r="D104" i="43"/>
  <c r="D107" i="43"/>
  <c r="D109" i="43"/>
  <c r="B115" i="43"/>
  <c r="D118" i="43"/>
  <c r="E118" i="43" s="1"/>
  <c r="F118" i="43" s="1"/>
  <c r="D117" i="43"/>
  <c r="E117" i="43" s="1"/>
  <c r="F117" i="43" s="1"/>
  <c r="G117" i="43" s="1"/>
  <c r="H117" i="43" s="1"/>
  <c r="D115" i="43"/>
  <c r="E115" i="43" s="1"/>
  <c r="F115" i="43" s="1"/>
  <c r="G115" i="43" s="1"/>
  <c r="H115" i="43" s="1"/>
  <c r="I115" i="43"/>
  <c r="J115" i="43" s="1"/>
  <c r="K115" i="43" s="1"/>
  <c r="L115" i="43" s="1"/>
  <c r="M115" i="43" s="1"/>
  <c r="B118" i="43"/>
  <c r="C118" i="43" s="1"/>
  <c r="D116" i="43"/>
  <c r="E116" i="43" s="1"/>
  <c r="F116" i="43" s="1"/>
  <c r="G116" i="43" s="1"/>
  <c r="H116" i="43" s="1"/>
  <c r="G118" i="43"/>
  <c r="H118" i="43" s="1"/>
  <c r="I118" i="43"/>
  <c r="J118" i="43" s="1"/>
  <c r="K118" i="43" s="1"/>
  <c r="L118" i="43" s="1"/>
  <c r="M118" i="43" s="1"/>
  <c r="B116" i="43"/>
  <c r="C116" i="43" s="1"/>
  <c r="I116" i="43"/>
  <c r="J116" i="43" s="1"/>
  <c r="K116" i="43" s="1"/>
  <c r="L116" i="43" s="1"/>
  <c r="M116" i="43" s="1"/>
  <c r="B117" i="43"/>
  <c r="C117" i="43" s="1"/>
  <c r="I117" i="43"/>
  <c r="J117" i="43" s="1"/>
  <c r="K117" i="43" s="1"/>
  <c r="L117" i="43" s="1"/>
  <c r="M117" i="43" s="1"/>
  <c r="H16" i="1"/>
  <c r="Q16" i="1"/>
  <c r="M6" i="1"/>
  <c r="AP6" i="1"/>
  <c r="G16" i="1"/>
  <c r="C34" i="69"/>
  <c r="E59" i="40"/>
  <c r="E64" i="39"/>
  <c r="F27" i="6"/>
  <c r="F31" i="6" s="1"/>
  <c r="E56" i="39"/>
  <c r="E16" i="6"/>
  <c r="E51" i="40"/>
  <c r="E61" i="39"/>
  <c r="E56" i="40"/>
  <c r="D9" i="68"/>
  <c r="C9" i="68" s="1"/>
  <c r="D9" i="11"/>
  <c r="C9" i="11" s="1"/>
  <c r="D9" i="69"/>
  <c r="C9" i="69" s="1"/>
  <c r="D19" i="12"/>
  <c r="C19" i="12" s="1"/>
  <c r="AY6" i="3"/>
  <c r="E3" i="6"/>
  <c r="E104" i="43"/>
  <c r="E109" i="43"/>
  <c r="E107" i="43"/>
  <c r="E106" i="43"/>
  <c r="E103" i="43"/>
  <c r="E105" i="43"/>
  <c r="E102" i="43"/>
  <c r="C103" i="43"/>
  <c r="C105" i="43"/>
  <c r="C107" i="43"/>
  <c r="C102" i="43"/>
  <c r="C104" i="43"/>
  <c r="C109" i="43"/>
  <c r="C106" i="43"/>
  <c r="H107" i="43"/>
  <c r="H105" i="43"/>
  <c r="H102" i="43"/>
  <c r="H106" i="43"/>
  <c r="H103" i="43"/>
  <c r="H109" i="43"/>
  <c r="H104" i="43"/>
  <c r="L102" i="43"/>
  <c r="L109" i="43"/>
  <c r="L107" i="43"/>
  <c r="L106" i="43"/>
  <c r="L105" i="43"/>
  <c r="L103" i="43"/>
  <c r="L104" i="43"/>
  <c r="K105" i="43"/>
  <c r="K107" i="43"/>
  <c r="K109" i="43"/>
  <c r="K104" i="43"/>
  <c r="K103" i="43"/>
  <c r="K102" i="43"/>
  <c r="K106" i="43"/>
  <c r="M104" i="43"/>
  <c r="M109" i="43"/>
  <c r="M106" i="43"/>
  <c r="M102" i="43"/>
  <c r="M107" i="43"/>
  <c r="M103" i="43"/>
  <c r="M105" i="43"/>
  <c r="J105" i="43"/>
  <c r="J109" i="43"/>
  <c r="J102" i="43"/>
  <c r="J106" i="43"/>
  <c r="J104" i="43"/>
  <c r="J107" i="43"/>
  <c r="J103" i="43"/>
  <c r="G102" i="43"/>
  <c r="G104" i="43"/>
  <c r="G107" i="43"/>
  <c r="G106" i="43"/>
  <c r="G109" i="43"/>
  <c r="G103" i="43"/>
  <c r="G105" i="43"/>
  <c r="L22" i="6"/>
  <c r="L21" i="6"/>
  <c r="E62" i="39"/>
  <c r="E57" i="40"/>
  <c r="E60" i="40"/>
  <c r="E65" i="39"/>
  <c r="E199" i="3"/>
  <c r="E227" i="3"/>
  <c r="E532" i="3"/>
  <c r="E134" i="3"/>
  <c r="E514" i="3"/>
  <c r="E560" i="3"/>
  <c r="E141" i="3"/>
  <c r="E221" i="3"/>
  <c r="E294" i="3"/>
  <c r="E551" i="3"/>
  <c r="E205" i="3"/>
  <c r="E530" i="3"/>
  <c r="E305" i="3"/>
  <c r="E347" i="3"/>
  <c r="E399" i="3"/>
  <c r="E124" i="3"/>
  <c r="E533" i="3"/>
  <c r="E561" i="3"/>
  <c r="E439" i="3"/>
  <c r="E231" i="3"/>
  <c r="E185" i="3"/>
  <c r="E161" i="3"/>
  <c r="E271" i="3"/>
  <c r="E107" i="3"/>
  <c r="E493" i="3"/>
  <c r="E543" i="3"/>
  <c r="E415" i="3"/>
  <c r="E366" i="3"/>
  <c r="E282" i="3"/>
  <c r="E183" i="3"/>
  <c r="O6" i="3"/>
  <c r="E359" i="3"/>
  <c r="E97" i="3"/>
  <c r="E518" i="3"/>
  <c r="E578" i="3"/>
  <c r="E382" i="3"/>
  <c r="E245" i="3"/>
  <c r="E188" i="3"/>
  <c r="E237" i="3"/>
  <c r="E253" i="3"/>
  <c r="E461" i="3"/>
  <c r="E172" i="3"/>
  <c r="E212" i="3"/>
  <c r="E407" i="3"/>
  <c r="E510" i="3"/>
  <c r="E343" i="3"/>
  <c r="AA6" i="3"/>
  <c r="E270" i="3"/>
  <c r="E538" i="3"/>
  <c r="E216" i="3"/>
  <c r="E207" i="3"/>
  <c r="E393" i="3"/>
  <c r="E260" i="3"/>
  <c r="E553" i="3"/>
  <c r="E261" i="3"/>
  <c r="E574" i="3"/>
  <c r="E385" i="3"/>
  <c r="E423" i="3"/>
  <c r="E191" i="3"/>
  <c r="E17" i="3"/>
  <c r="E569" i="3"/>
  <c r="E229" i="3"/>
  <c r="E314" i="3"/>
  <c r="E16" i="3"/>
  <c r="E434" i="3"/>
  <c r="E296" i="3"/>
  <c r="E136" i="3"/>
  <c r="E269" i="3"/>
  <c r="E120" i="3"/>
  <c r="E277" i="3"/>
  <c r="E177" i="3"/>
  <c r="E133" i="3"/>
  <c r="E312" i="3"/>
  <c r="AD6" i="3"/>
  <c r="E542" i="3"/>
  <c r="E552"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E580" i="3"/>
  <c r="E31" i="3"/>
  <c r="E74" i="3"/>
  <c r="E93" i="3"/>
  <c r="E43" i="3"/>
  <c r="E488" i="3"/>
  <c r="E428" i="3"/>
  <c r="E482" i="3"/>
  <c r="E509" i="3"/>
  <c r="E201" i="3"/>
  <c r="E549" i="3"/>
  <c r="E196" i="3"/>
  <c r="E85" i="3"/>
  <c r="E116" i="3"/>
  <c r="E379" i="3"/>
  <c r="U6"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46" i="3"/>
  <c r="E47" i="3"/>
  <c r="E98" i="3"/>
  <c r="E65" i="3"/>
  <c r="E138" i="3"/>
  <c r="E195" i="3"/>
  <c r="E163" i="3"/>
  <c r="E248" i="3"/>
  <c r="E209" i="3"/>
  <c r="E266" i="3"/>
  <c r="E387" i="3"/>
  <c r="K6" i="3"/>
  <c r="E358" i="3"/>
  <c r="E508" i="3"/>
  <c r="AR6" i="3"/>
  <c r="E135" i="3"/>
  <c r="E564" i="3"/>
  <c r="N6" i="3"/>
  <c r="E285" i="3"/>
  <c r="E263" i="3"/>
  <c r="E516" i="3"/>
  <c r="E151" i="3"/>
  <c r="AK6" i="3"/>
  <c r="E262" i="3"/>
  <c r="E89" i="3"/>
  <c r="E224" i="3"/>
  <c r="E286" i="3"/>
  <c r="E499" i="3"/>
  <c r="E502" i="3"/>
  <c r="E458" i="3"/>
  <c r="E474" i="3"/>
  <c r="E527" i="3"/>
  <c r="E438" i="3"/>
  <c r="E457" i="3"/>
  <c r="E288" i="3"/>
  <c r="E562" i="3"/>
  <c r="W6" i="3"/>
  <c r="E571" i="3"/>
  <c r="E537" i="3"/>
  <c r="E450" i="3"/>
  <c r="E471" i="3"/>
  <c r="E433" i="3"/>
  <c r="E475" i="3"/>
  <c r="E72" i="3"/>
  <c r="E54" i="3"/>
  <c r="E111" i="3"/>
  <c r="E168" i="3"/>
  <c r="E150" i="3"/>
  <c r="E208" i="3"/>
  <c r="E279" i="3"/>
  <c r="E257" i="3"/>
  <c r="E351" i="3"/>
  <c r="E357" i="3"/>
  <c r="E318" i="3"/>
  <c r="AL6" i="3"/>
  <c r="E42" i="3"/>
  <c r="E94" i="3"/>
  <c r="E409" i="3"/>
  <c r="E213" i="3"/>
  <c r="E397" i="3"/>
  <c r="E148" i="3"/>
  <c r="E105" i="3"/>
  <c r="E515" i="3"/>
  <c r="E466" i="3"/>
  <c r="E430" i="3"/>
  <c r="E255" i="3"/>
  <c r="AP6" i="3"/>
  <c r="E517" i="3"/>
  <c r="E491" i="3"/>
  <c r="E479" i="3"/>
  <c r="E37" i="3"/>
  <c r="E152" i="3"/>
  <c r="E192" i="3"/>
  <c r="E241" i="3"/>
  <c r="E363" i="3"/>
  <c r="E389" i="3"/>
  <c r="E76" i="3"/>
  <c r="E462" i="3"/>
  <c r="E467" i="3"/>
  <c r="E46" i="3"/>
  <c r="E160" i="3"/>
  <c r="E200" i="3"/>
  <c r="E249" i="3"/>
  <c r="E335" i="3"/>
  <c r="E445" i="3"/>
  <c r="E130" i="3"/>
  <c r="E280" i="3"/>
  <c r="E145" i="3"/>
  <c r="E503" i="3"/>
  <c r="E181" i="3"/>
  <c r="E511" i="3"/>
  <c r="E236" i="3"/>
  <c r="E193" i="3"/>
  <c r="R6" i="3"/>
  <c r="E472" i="3"/>
  <c r="E406" i="3"/>
  <c r="E465" i="3"/>
  <c r="E587" i="3"/>
  <c r="E577" i="3"/>
  <c r="E468" i="3"/>
  <c r="E454" i="3"/>
  <c r="E106" i="3"/>
  <c r="E146" i="3"/>
  <c r="E171" i="3"/>
  <c r="E214" i="3"/>
  <c r="E315" i="3"/>
  <c r="E362" i="3"/>
  <c r="E60" i="3"/>
  <c r="E473" i="3"/>
  <c r="E368" i="3"/>
  <c r="E585" i="3"/>
  <c r="E541" i="3"/>
  <c r="I3" i="6"/>
  <c r="E435" i="3"/>
  <c r="E56" i="3"/>
  <c r="E132" i="3"/>
  <c r="E292" i="3"/>
  <c r="E544" i="3"/>
  <c r="E425" i="3"/>
  <c r="E103" i="3"/>
  <c r="E267" i="3"/>
  <c r="E307" i="3"/>
  <c r="E386" i="3"/>
  <c r="E354" i="3"/>
  <c r="E584" i="3"/>
  <c r="E84" i="3"/>
  <c r="E67" i="3"/>
  <c r="E33" i="3"/>
  <c r="E144" i="3"/>
  <c r="E184" i="3"/>
  <c r="E233" i="3"/>
  <c r="E355" i="3"/>
  <c r="E381" i="3"/>
  <c r="E68" i="3"/>
  <c r="E63" i="3"/>
  <c r="E81" i="3"/>
  <c r="E118" i="3"/>
  <c r="E264" i="3"/>
  <c r="E283" i="3"/>
  <c r="E309" i="3"/>
  <c r="E513" i="3"/>
  <c r="E21" i="3"/>
  <c r="E302" i="3"/>
  <c r="E247" i="3"/>
  <c r="E536" i="3"/>
  <c r="E244" i="3"/>
  <c r="E122" i="3"/>
  <c r="E223" i="3"/>
  <c r="E173" i="3"/>
  <c r="E576" i="3"/>
  <c r="AG6"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4" i="3"/>
  <c r="I6" i="3"/>
  <c r="E175" i="3"/>
  <c r="E380" i="3"/>
  <c r="E125" i="3"/>
  <c r="AI6" i="3"/>
  <c r="E396" i="3"/>
  <c r="E306" i="3"/>
  <c r="E45" i="3"/>
  <c r="E575" i="3"/>
  <c r="E437" i="3"/>
  <c r="E481" i="3"/>
  <c r="E424" i="3"/>
  <c r="E344" i="3"/>
  <c r="AE6" i="3"/>
  <c r="E429" i="3"/>
  <c r="E496" i="3"/>
  <c r="E55" i="3"/>
  <c r="E73" i="3"/>
  <c r="E203" i="3"/>
  <c r="E256" i="3"/>
  <c r="E274" i="3"/>
  <c r="E394" i="3"/>
  <c r="L6" i="3"/>
  <c r="E431" i="3"/>
  <c r="E442" i="3"/>
  <c r="E554" i="3"/>
  <c r="E95" i="3"/>
  <c r="E349" i="3"/>
  <c r="E64" i="3"/>
  <c r="E300" i="3"/>
  <c r="E310" i="3"/>
  <c r="E66" i="3"/>
  <c r="E48" i="3"/>
  <c r="E127" i="3"/>
  <c r="E284" i="3"/>
  <c r="Y6" i="3"/>
  <c r="E19" i="3"/>
  <c r="E179" i="3"/>
  <c r="E323" i="3"/>
  <c r="E82" i="3"/>
  <c r="E579" i="3"/>
  <c r="E453" i="3"/>
  <c r="E140" i="3"/>
  <c r="E327" i="3"/>
  <c r="AO6" i="3"/>
  <c r="E485" i="3"/>
  <c r="E400" i="3"/>
  <c r="E345" i="3"/>
  <c r="E557" i="3"/>
  <c r="E531" i="3"/>
  <c r="E489" i="3"/>
  <c r="E28" i="3"/>
  <c r="E70" i="3"/>
  <c r="E182" i="3"/>
  <c r="E211" i="3"/>
  <c r="E273" i="3"/>
  <c r="E377" i="3"/>
  <c r="E572" i="3"/>
  <c r="E109" i="3"/>
  <c r="E484" i="3"/>
  <c r="E18" i="3"/>
  <c r="E78" i="3"/>
  <c r="E190" i="3"/>
  <c r="E220" i="3"/>
  <c r="E235" i="3"/>
  <c r="E383" i="3"/>
  <c r="E522" i="3"/>
  <c r="E86" i="3"/>
  <c r="E49" i="3"/>
  <c r="E232" i="3"/>
  <c r="E370" i="3"/>
  <c r="E102" i="3"/>
  <c r="E113" i="3"/>
  <c r="E287" i="3"/>
  <c r="E326" i="3"/>
  <c r="E83" i="3"/>
  <c r="E23" i="3"/>
  <c r="E75" i="3"/>
  <c r="E238" i="3"/>
  <c r="E449" i="3"/>
  <c r="E417" i="3"/>
  <c r="E258" i="3"/>
  <c r="E59" i="3"/>
  <c r="E142" i="3"/>
  <c r="E371" i="3"/>
  <c r="E492" i="3"/>
  <c r="E24" i="3"/>
  <c r="E87" i="3"/>
  <c r="E250" i="3"/>
  <c r="E341" i="3"/>
  <c r="E51" i="3"/>
  <c r="E154" i="3"/>
  <c r="E222" i="3"/>
  <c r="E373" i="3"/>
  <c r="E304" i="3"/>
  <c r="E568" i="3"/>
  <c r="E156" i="3"/>
  <c r="E197" i="3"/>
  <c r="Z6" i="3"/>
  <c r="E448" i="3"/>
  <c r="P6" i="3"/>
  <c r="E443" i="3"/>
  <c r="E558" i="3"/>
  <c r="E581" i="3"/>
  <c r="E444" i="3"/>
  <c r="E404" i="3"/>
  <c r="E88" i="3"/>
  <c r="E121" i="3"/>
  <c r="E166" i="3"/>
  <c r="E295" i="3"/>
  <c r="E316" i="3"/>
  <c r="E334" i="3"/>
  <c r="E30" i="3"/>
  <c r="E480" i="3"/>
  <c r="E412" i="3"/>
  <c r="E96" i="3"/>
  <c r="E129" i="3"/>
  <c r="E174" i="3"/>
  <c r="E275" i="3"/>
  <c r="E324" i="3"/>
  <c r="E342" i="3"/>
  <c r="E35" i="3"/>
  <c r="E34" i="3"/>
  <c r="E206" i="3"/>
  <c r="E251" i="3"/>
  <c r="AF6" i="3"/>
  <c r="E80" i="3"/>
  <c r="E158" i="3"/>
  <c r="E308" i="3"/>
  <c r="E22" i="3"/>
  <c r="E32" i="3"/>
  <c r="E311" i="3"/>
  <c r="E563" i="3"/>
  <c r="AJ6" i="3"/>
  <c r="E180" i="3"/>
  <c r="E535" i="3"/>
  <c r="E149" i="3"/>
  <c r="E128" i="3"/>
  <c r="E319" i="3"/>
  <c r="X6" i="3"/>
  <c r="E246" i="3"/>
  <c r="E523" i="3"/>
  <c r="E169" i="3"/>
  <c r="E252" i="3"/>
  <c r="E525" i="3"/>
  <c r="E395" i="3"/>
  <c r="E268" i="3"/>
  <c r="E388" i="3"/>
  <c r="E143" i="3"/>
  <c r="E586" i="3"/>
  <c r="E301" i="3"/>
  <c r="E157" i="3"/>
  <c r="E329" i="3"/>
  <c r="E189" i="3"/>
  <c r="E567" i="3"/>
  <c r="E77" i="3"/>
  <c r="E573" i="3"/>
  <c r="E570" i="3"/>
  <c r="E69" i="3"/>
  <c r="E313" i="3"/>
  <c r="E215" i="3"/>
  <c r="E165" i="3"/>
  <c r="E278" i="3"/>
  <c r="Q6" i="3"/>
  <c r="E167" i="3"/>
  <c r="E254" i="3"/>
  <c r="E320" i="3"/>
  <c r="E559" i="3"/>
  <c r="E352" i="3"/>
  <c r="E53" i="3"/>
  <c r="E501" i="3"/>
  <c r="E426" i="3"/>
  <c r="E583" i="3"/>
  <c r="E336" i="3"/>
  <c r="E293" i="3"/>
  <c r="S6" i="3"/>
  <c r="E506" i="3"/>
  <c r="E338" i="3"/>
  <c r="E298" i="3"/>
  <c r="E61" i="3"/>
  <c r="E117" i="3"/>
  <c r="E204" i="3"/>
  <c r="E369" i="3"/>
  <c r="E534" i="3"/>
  <c r="E550" i="3"/>
  <c r="E114" i="3"/>
  <c r="E526" i="3"/>
  <c r="E322" i="3"/>
  <c r="E361" i="3"/>
  <c r="E555" i="3"/>
  <c r="E337" i="3"/>
  <c r="E353" i="3"/>
  <c r="AN6" i="3"/>
  <c r="E402" i="3"/>
  <c r="E303" i="3"/>
  <c r="E159" i="3"/>
  <c r="E228" i="3"/>
  <c r="E565" i="3"/>
  <c r="E519" i="3"/>
  <c r="AB6" i="3"/>
  <c r="E91" i="3"/>
  <c r="E529" i="3"/>
  <c r="M6" i="3"/>
  <c r="E539" i="3"/>
  <c r="E330" i="3"/>
  <c r="E230" i="3"/>
  <c r="V6" i="3"/>
  <c r="E545" i="3"/>
  <c r="E153" i="3"/>
  <c r="E328" i="3"/>
  <c r="E390" i="3"/>
  <c r="E418" i="3"/>
  <c r="E321" i="3"/>
  <c r="E290" i="3"/>
  <c r="E164" i="3"/>
  <c r="T6" i="3"/>
  <c r="E217" i="3"/>
  <c r="E528" i="3"/>
  <c r="E410" i="3"/>
  <c r="E495" i="3"/>
  <c r="E350" i="3"/>
  <c r="E99" i="3"/>
  <c r="E239" i="3"/>
  <c r="O7" i="1"/>
  <c r="P7" i="1" s="1"/>
  <c r="I104" i="43"/>
  <c r="I105" i="43"/>
  <c r="I102" i="43"/>
  <c r="I103" i="43"/>
  <c r="I109" i="43"/>
  <c r="I106" i="43"/>
  <c r="I107" i="43"/>
  <c r="F107" i="43"/>
  <c r="F104" i="43"/>
  <c r="F102" i="43"/>
  <c r="F106" i="43"/>
  <c r="F109" i="43"/>
  <c r="F103" i="43"/>
  <c r="F105" i="43"/>
  <c r="N102" i="43"/>
  <c r="N103" i="43"/>
  <c r="N109" i="43"/>
  <c r="N106" i="43"/>
  <c r="N104" i="43"/>
  <c r="N107" i="43"/>
  <c r="N105" i="43"/>
  <c r="E53" i="21"/>
  <c r="F53" i="21" s="1"/>
  <c r="C26" i="69"/>
  <c r="D22" i="69" s="1"/>
  <c r="E52" i="21"/>
  <c r="F52" i="21" s="1"/>
  <c r="B2" i="21"/>
  <c r="C8" i="12" s="1"/>
  <c r="B3" i="21"/>
  <c r="C6" i="12" s="1"/>
  <c r="C23" i="67"/>
  <c r="C29" i="67" s="1"/>
  <c r="J19" i="67" s="1"/>
  <c r="J17" i="67" s="1"/>
  <c r="G65" i="40"/>
  <c r="H63" i="40"/>
  <c r="C50" i="34"/>
  <c r="C49" i="34"/>
  <c r="D8" i="71"/>
  <c r="C7" i="71"/>
  <c r="E54" i="34"/>
  <c r="F54" i="34" s="1"/>
  <c r="E53" i="34"/>
  <c r="F53" i="34" s="1"/>
  <c r="I54" i="34"/>
  <c r="J54" i="34" s="1"/>
  <c r="C36" i="36"/>
  <c r="C37" i="36"/>
  <c r="B2" i="36" s="1"/>
  <c r="B3" i="36" s="1"/>
  <c r="E42" i="37"/>
  <c r="R43" i="37"/>
  <c r="G46" i="37"/>
  <c r="H46" i="37" s="1"/>
  <c r="G47" i="37"/>
  <c r="H47" i="37" s="1"/>
  <c r="J59" i="15"/>
  <c r="J60" i="15" s="1"/>
  <c r="E40" i="36"/>
  <c r="F40" i="36" s="1"/>
  <c r="E41" i="36"/>
  <c r="F41" i="36" s="1"/>
  <c r="I41" i="36"/>
  <c r="J41" i="36" s="1"/>
  <c r="I46" i="37"/>
  <c r="J46" i="37" s="1"/>
  <c r="H70" i="39" l="1"/>
  <c r="I68" i="39"/>
  <c r="B3" i="79"/>
  <c r="F6" i="12" s="1"/>
  <c r="B2" i="79"/>
  <c r="F8" i="12" s="1"/>
  <c r="B3" i="78"/>
  <c r="E6" i="12" s="1"/>
  <c r="B2" i="78"/>
  <c r="E8" i="12" s="1"/>
  <c r="J10" i="15"/>
  <c r="J5" i="15" s="1"/>
  <c r="J24" i="15" s="1"/>
  <c r="C36" i="69"/>
  <c r="E27" i="6"/>
  <c r="C33" i="15"/>
  <c r="C10" i="15"/>
  <c r="C5" i="15" s="1"/>
  <c r="C38" i="15" s="1"/>
  <c r="C66" i="15"/>
  <c r="L27" i="6"/>
  <c r="C17" i="4"/>
  <c r="B4" i="52" s="1"/>
  <c r="B43" i="72" s="1"/>
  <c r="D3" i="37"/>
  <c r="D19" i="11"/>
  <c r="C19" i="11" s="1"/>
  <c r="L18" i="9"/>
  <c r="D3" i="34"/>
  <c r="E6" i="6"/>
  <c r="D14" i="12"/>
  <c r="D17" i="12" s="1"/>
  <c r="C17" i="12" s="1"/>
  <c r="D37" i="11"/>
  <c r="M18" i="9"/>
  <c r="B118" i="9" s="1"/>
  <c r="E66" i="39"/>
  <c r="F10" i="39"/>
  <c r="J10" i="40"/>
  <c r="H10" i="39"/>
  <c r="F10" i="40"/>
  <c r="J10" i="39"/>
  <c r="H10" i="40"/>
  <c r="O6" i="1"/>
  <c r="M16" i="1"/>
  <c r="B2" i="34"/>
  <c r="B3" i="34" s="1"/>
  <c r="AC6" i="3"/>
  <c r="H6" i="3"/>
  <c r="S2" i="43"/>
  <c r="T2" i="43" s="1"/>
  <c r="V2" i="43" s="1"/>
  <c r="S6" i="43"/>
  <c r="T6" i="43" s="1"/>
  <c r="V6" i="43" s="1"/>
  <c r="C23" i="43"/>
  <c r="C21" i="43" s="1"/>
  <c r="S3" i="43"/>
  <c r="T3" i="43" s="1"/>
  <c r="V3" i="43" s="1"/>
  <c r="S4" i="43"/>
  <c r="T4" i="43" s="1"/>
  <c r="V4" i="43" s="1"/>
  <c r="S5" i="43"/>
  <c r="T5" i="43" s="1"/>
  <c r="V5" i="43" s="1"/>
  <c r="AY87" i="3"/>
  <c r="AY51" i="3"/>
  <c r="AY34" i="3"/>
  <c r="AY207" i="3"/>
  <c r="AY144" i="3"/>
  <c r="AY124" i="3"/>
  <c r="AY42" i="3"/>
  <c r="AY152" i="3"/>
  <c r="AY281" i="3"/>
  <c r="AY168" i="3"/>
  <c r="AY253" i="3"/>
  <c r="AY382" i="3"/>
  <c r="AY366" i="3"/>
  <c r="AY473" i="3"/>
  <c r="AY441" i="3"/>
  <c r="AY26" i="3"/>
  <c r="AY260" i="3"/>
  <c r="AY372" i="3"/>
  <c r="AY310" i="3"/>
  <c r="AY463" i="3"/>
  <c r="AY401" i="3"/>
  <c r="AY544" i="3"/>
  <c r="B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5" i="3"/>
  <c r="AY111" i="3"/>
  <c r="AY236" i="3"/>
  <c r="AY303" i="3"/>
  <c r="AY460" i="3"/>
  <c r="AY529" i="3"/>
  <c r="AY300" i="3"/>
  <c r="AY217" i="3"/>
  <c r="AY327" i="3"/>
  <c r="AY420" i="3"/>
  <c r="AY549" i="3"/>
  <c r="AY533"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37" i="3"/>
  <c r="AY224" i="3"/>
  <c r="AY511" i="3"/>
  <c r="AY50" i="3"/>
  <c r="AY160" i="3"/>
  <c r="AY183" i="3"/>
  <c r="AY284" i="3"/>
  <c r="AY497" i="3"/>
  <c r="AY116" i="3"/>
  <c r="AY212" i="3"/>
  <c r="AY343" i="3"/>
  <c r="AY478" i="3"/>
  <c r="AY417" i="3"/>
  <c r="AY539" i="3"/>
  <c r="AY100" i="3"/>
  <c r="AY20" i="3"/>
  <c r="AY173" i="3"/>
  <c r="AY134" i="3"/>
  <c r="AY270" i="3"/>
  <c r="AY373" i="3"/>
  <c r="AY507" i="3"/>
  <c r="AY29" i="3"/>
  <c r="AY275" i="3"/>
  <c r="AY341" i="3"/>
  <c r="AY324" i="3"/>
  <c r="AY438" i="3"/>
  <c r="AY580" i="3"/>
  <c r="AY536" i="3"/>
  <c r="AY532" i="3"/>
  <c r="AY64" i="3"/>
  <c r="AY174" i="3"/>
  <c r="AY361" i="3"/>
  <c r="AY479" i="3"/>
  <c r="AY445" i="3"/>
  <c r="AY522" i="3"/>
  <c r="BP6" i="3"/>
  <c r="AY19" i="3"/>
  <c r="AY151" i="3"/>
  <c r="AY265" i="3"/>
  <c r="AY315" i="3"/>
  <c r="AY500" i="3"/>
  <c r="AY568" i="3"/>
  <c r="AY200" i="3"/>
  <c r="AY257" i="3"/>
  <c r="AY307" i="3"/>
  <c r="AY521"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560" i="3"/>
  <c r="AY91" i="3"/>
  <c r="AY38" i="3"/>
  <c r="AY148" i="3"/>
  <c r="AY277" i="3"/>
  <c r="AY354" i="3"/>
  <c r="AY490" i="3"/>
  <c r="AY429" i="3"/>
  <c r="AY103" i="3"/>
  <c r="AY289" i="3"/>
  <c r="AY261" i="3"/>
  <c r="AY209" i="3"/>
  <c r="AY319" i="3"/>
  <c r="AY455" i="3"/>
  <c r="AY573" i="3"/>
  <c r="AY84" i="3"/>
  <c r="AY193" i="3"/>
  <c r="AY286" i="3"/>
  <c r="AY227" i="3"/>
  <c r="AY88" i="3"/>
  <c r="AY161" i="3"/>
  <c r="AY215" i="3"/>
  <c r="AY480" i="3"/>
  <c r="AY419" i="3"/>
  <c r="AY552" i="3"/>
  <c r="AY523" i="3"/>
  <c r="AY113" i="3"/>
  <c r="AY250" i="3"/>
  <c r="AY305" i="3"/>
  <c r="AY402" i="3"/>
  <c r="AY505" i="3"/>
  <c r="AY551" i="3"/>
  <c r="AY79" i="3"/>
  <c r="AY394" i="3"/>
  <c r="AY451" i="3"/>
  <c r="AY71" i="3"/>
  <c r="AY143" i="3"/>
  <c r="AY386" i="3"/>
  <c r="AY443" i="3"/>
  <c r="BT6" i="3"/>
  <c r="C38" i="69"/>
  <c r="C35" i="69"/>
  <c r="F27" i="11"/>
  <c r="F28" i="12"/>
  <c r="F27" i="68"/>
  <c r="F27" i="69"/>
  <c r="C115" i="43"/>
  <c r="D113" i="43" s="1"/>
  <c r="S7" i="43"/>
  <c r="T7" i="43" s="1"/>
  <c r="V7" i="43" s="1"/>
  <c r="J59" i="67"/>
  <c r="C36" i="67"/>
  <c r="Q49" i="67"/>
  <c r="C33" i="67"/>
  <c r="C31" i="67" s="1"/>
  <c r="C57" i="67"/>
  <c r="C64" i="67" s="1"/>
  <c r="J14" i="67"/>
  <c r="J22" i="67" s="1"/>
  <c r="C13" i="67"/>
  <c r="C56" i="67" s="1"/>
  <c r="C65" i="67" s="1"/>
  <c r="I63" i="40"/>
  <c r="H65" i="40"/>
  <c r="Q48" i="15"/>
  <c r="E47" i="37"/>
  <c r="F47" i="37" s="1"/>
  <c r="E46" i="37"/>
  <c r="F46" i="37" s="1"/>
  <c r="C6" i="71"/>
  <c r="T7" i="71"/>
  <c r="D7" i="71"/>
  <c r="U7" i="71" s="1"/>
  <c r="I47" i="37"/>
  <c r="J47" i="37" s="1"/>
  <c r="C42" i="37"/>
  <c r="C43" i="37"/>
  <c r="I70" i="39" l="1"/>
  <c r="J68" i="39"/>
  <c r="B14" i="74"/>
  <c r="J26" i="15"/>
  <c r="B2" i="37"/>
  <c r="B3" i="37" s="1"/>
  <c r="K19" i="6"/>
  <c r="K21" i="6"/>
  <c r="E31" i="6"/>
  <c r="K25" i="6"/>
  <c r="M25" i="6" s="1"/>
  <c r="I25" i="6" s="1"/>
  <c r="S25" i="6" s="1"/>
  <c r="K24" i="6"/>
  <c r="M24" i="6" s="1"/>
  <c r="I24" i="6" s="1"/>
  <c r="S24" i="6" s="1"/>
  <c r="K22" i="6"/>
  <c r="K26" i="6"/>
  <c r="M26" i="6" s="1"/>
  <c r="I26" i="6" s="1"/>
  <c r="K20" i="6"/>
  <c r="K23" i="6"/>
  <c r="M23" i="6" s="1"/>
  <c r="I23" i="6" s="1"/>
  <c r="S23" i="6" s="1"/>
  <c r="C47" i="68"/>
  <c r="D45" i="68" s="1"/>
  <c r="M19" i="9"/>
  <c r="C118" i="9" s="1"/>
  <c r="D26" i="6"/>
  <c r="D8" i="6"/>
  <c r="D14" i="6"/>
  <c r="D12" i="6"/>
  <c r="D13" i="6"/>
  <c r="E61" i="40"/>
  <c r="D15" i="6"/>
  <c r="D21" i="6"/>
  <c r="D20" i="6"/>
  <c r="D9" i="6"/>
  <c r="L19" i="9"/>
  <c r="C18" i="4"/>
  <c r="D5" i="6"/>
  <c r="D28" i="6"/>
  <c r="D24" i="6"/>
  <c r="D10" i="6"/>
  <c r="D19" i="6"/>
  <c r="D23" i="6"/>
  <c r="D11" i="6"/>
  <c r="D25" i="6"/>
  <c r="D22" i="6"/>
  <c r="D6" i="6"/>
  <c r="D29" i="6"/>
  <c r="L16" i="1"/>
  <c r="N16" i="1"/>
  <c r="B21" i="1" s="1"/>
  <c r="C29" i="11" s="1"/>
  <c r="D27" i="11" s="1"/>
  <c r="AB10" i="40"/>
  <c r="U10" i="40"/>
  <c r="S10" i="40"/>
  <c r="AA10" i="40"/>
  <c r="D10" i="68"/>
  <c r="D20" i="12"/>
  <c r="C20" i="12" s="1"/>
  <c r="C18" i="12" s="1"/>
  <c r="D10" i="11"/>
  <c r="C10" i="11" s="1"/>
  <c r="D10" i="69"/>
  <c r="C47" i="11"/>
  <c r="D45" i="11" s="1"/>
  <c r="C29" i="43"/>
  <c r="AC10" i="40"/>
  <c r="W10" i="40"/>
  <c r="C47" i="69"/>
  <c r="D45" i="69" s="1"/>
  <c r="C29" i="69"/>
  <c r="D27" i="69" s="1"/>
  <c r="E6" i="3"/>
  <c r="P6" i="1"/>
  <c r="O16" i="1"/>
  <c r="W10" i="39"/>
  <c r="AC10" i="39"/>
  <c r="AB10" i="39"/>
  <c r="U10" i="39"/>
  <c r="AA10" i="39"/>
  <c r="S10" i="39"/>
  <c r="C20" i="11"/>
  <c r="Q70" i="67"/>
  <c r="C61" i="67"/>
  <c r="C59" i="67" s="1"/>
  <c r="C58" i="67" s="1"/>
  <c r="C67" i="67" s="1"/>
  <c r="C68" i="67" s="1"/>
  <c r="J13" i="67"/>
  <c r="J23" i="67" s="1"/>
  <c r="J16" i="67" s="1"/>
  <c r="J25" i="67" s="1"/>
  <c r="C37" i="67"/>
  <c r="C30" i="67" s="1"/>
  <c r="C39" i="67" s="1"/>
  <c r="C40" i="67" s="1"/>
  <c r="C75" i="67"/>
  <c r="I65" i="40"/>
  <c r="J63" i="40"/>
  <c r="D6" i="71"/>
  <c r="C5" i="71"/>
  <c r="J70" i="39" l="1"/>
  <c r="K68" i="39"/>
  <c r="C24" i="11"/>
  <c r="C14" i="74"/>
  <c r="H25" i="6"/>
  <c r="B23" i="1"/>
  <c r="B24" i="1"/>
  <c r="F11" i="12" s="1"/>
  <c r="C14" i="12" s="1"/>
  <c r="C44" i="68"/>
  <c r="D41" i="68" s="1"/>
  <c r="C44" i="11"/>
  <c r="D41" i="11" s="1"/>
  <c r="C29" i="68"/>
  <c r="D27" i="68" s="1"/>
  <c r="R25" i="6"/>
  <c r="H24" i="6"/>
  <c r="R24" i="6" s="1"/>
  <c r="H23" i="6"/>
  <c r="R23" i="6" s="1"/>
  <c r="S7" i="1"/>
  <c r="M20" i="6"/>
  <c r="I20" i="6" s="1"/>
  <c r="M22" i="6"/>
  <c r="I22" i="6" s="1"/>
  <c r="S9" i="1"/>
  <c r="S8" i="1"/>
  <c r="M21" i="6"/>
  <c r="I21" i="6" s="1"/>
  <c r="S26" i="6"/>
  <c r="H26" i="6"/>
  <c r="R26" i="6" s="1"/>
  <c r="M19" i="6"/>
  <c r="K27" i="6"/>
  <c r="S6" i="1"/>
  <c r="C30" i="43"/>
  <c r="E30" i="43" s="1"/>
  <c r="C27" i="43" s="1"/>
  <c r="E29" i="43"/>
  <c r="C26" i="43" s="1"/>
  <c r="C10" i="69"/>
  <c r="C8" i="69" s="1"/>
  <c r="C5" i="69" s="1"/>
  <c r="C23" i="69" s="1"/>
  <c r="D19" i="69"/>
  <c r="D16" i="6"/>
  <c r="C25" i="11"/>
  <c r="C28" i="11"/>
  <c r="C27" i="11" s="1"/>
  <c r="C13" i="12"/>
  <c r="P16" i="1"/>
  <c r="C11" i="12" s="1"/>
  <c r="C10" i="68"/>
  <c r="D19" i="68"/>
  <c r="D27" i="6"/>
  <c r="D30" i="6"/>
  <c r="A7" i="51"/>
  <c r="B7" i="72" s="1"/>
  <c r="A10" i="51"/>
  <c r="B9" i="72" s="1"/>
  <c r="C4" i="52"/>
  <c r="B45" i="72" s="1"/>
  <c r="C80" i="67"/>
  <c r="C79" i="67" s="1"/>
  <c r="Q69" i="67"/>
  <c r="Q68" i="67" s="1"/>
  <c r="K63" i="40"/>
  <c r="J65" i="40"/>
  <c r="Q47" i="67"/>
  <c r="Q65" i="67"/>
  <c r="Q56" i="67"/>
  <c r="C43" i="67"/>
  <c r="C83" i="67"/>
  <c r="C82" i="67" s="1"/>
  <c r="C71" i="67"/>
  <c r="C45" i="67"/>
  <c r="C46" i="67" s="1"/>
  <c r="D5" i="71"/>
  <c r="M20" i="43" s="1"/>
  <c r="E6" i="76"/>
  <c r="L51" i="67"/>
  <c r="C17" i="15"/>
  <c r="K70" i="39" l="1"/>
  <c r="L68" i="39"/>
  <c r="F34" i="68"/>
  <c r="C34" i="68" s="1"/>
  <c r="F34" i="11"/>
  <c r="C34" i="11" s="1"/>
  <c r="M59" i="67"/>
  <c r="J53" i="15"/>
  <c r="M59" i="15"/>
  <c r="J53" i="67"/>
  <c r="C26" i="12"/>
  <c r="D25" i="12" s="1"/>
  <c r="F50" i="69"/>
  <c r="F50" i="68"/>
  <c r="F50" i="11"/>
  <c r="C29" i="12"/>
  <c r="D28" i="12" s="1"/>
  <c r="C26" i="68"/>
  <c r="D22" i="68" s="1"/>
  <c r="C26" i="11"/>
  <c r="D22" i="11" s="1"/>
  <c r="C23" i="11"/>
  <c r="C22" i="11" s="1"/>
  <c r="S21" i="6"/>
  <c r="H21" i="6"/>
  <c r="R21" i="6" s="1"/>
  <c r="R8" i="1" s="1"/>
  <c r="AR9" i="1"/>
  <c r="T9" i="1"/>
  <c r="AQ9" i="1"/>
  <c r="S20" i="6"/>
  <c r="H20" i="6"/>
  <c r="R20" i="6" s="1"/>
  <c r="S16" i="1"/>
  <c r="AQ6" i="1"/>
  <c r="AR6" i="1"/>
  <c r="T6" i="1"/>
  <c r="M27" i="6"/>
  <c r="I19" i="6"/>
  <c r="AR8" i="1"/>
  <c r="AQ8" i="1"/>
  <c r="T8" i="1"/>
  <c r="S22" i="6"/>
  <c r="H22" i="6"/>
  <c r="R22" i="6" s="1"/>
  <c r="R9" i="1" s="1"/>
  <c r="AR7" i="1"/>
  <c r="AQ7" i="1"/>
  <c r="E7" i="70"/>
  <c r="E2" i="70" s="1"/>
  <c r="T7" i="1"/>
  <c r="L57" i="67"/>
  <c r="L60" i="67" s="1"/>
  <c r="Q57" i="67" s="1"/>
  <c r="Q62" i="67" s="1"/>
  <c r="Q67" i="67"/>
  <c r="E2" i="76"/>
  <c r="C36" i="11"/>
  <c r="D31" i="6"/>
  <c r="D37" i="68"/>
  <c r="C19" i="68"/>
  <c r="C15" i="12"/>
  <c r="C12" i="12"/>
  <c r="D37" i="69"/>
  <c r="C37" i="69" s="1"/>
  <c r="C33" i="69" s="1"/>
  <c r="C19" i="69"/>
  <c r="B2" i="43"/>
  <c r="K65" i="40"/>
  <c r="L63" i="40"/>
  <c r="C14" i="15"/>
  <c r="B6" i="76"/>
  <c r="C36" i="68" l="1"/>
  <c r="C37" i="11"/>
  <c r="M68" i="39"/>
  <c r="L70" i="39"/>
  <c r="C37" i="68"/>
  <c r="C31" i="11"/>
  <c r="Q52" i="67"/>
  <c r="F1" i="67"/>
  <c r="J60" i="67"/>
  <c r="Q52" i="15"/>
  <c r="F1" i="15"/>
  <c r="Q66" i="67"/>
  <c r="Q75" i="67" s="1"/>
  <c r="C15" i="15"/>
  <c r="C18" i="15"/>
  <c r="I27" i="6"/>
  <c r="S19" i="6"/>
  <c r="S27" i="6" s="1"/>
  <c r="H19" i="6"/>
  <c r="T16" i="1"/>
  <c r="C16" i="12"/>
  <c r="C21" i="12" s="1"/>
  <c r="C22" i="12" s="1"/>
  <c r="B2" i="76"/>
  <c r="B3" i="76" s="1"/>
  <c r="C24" i="69"/>
  <c r="C20" i="69"/>
  <c r="B3" i="43"/>
  <c r="C39" i="69"/>
  <c r="C42" i="69"/>
  <c r="C24" i="68"/>
  <c r="C38" i="68"/>
  <c r="C35" i="68"/>
  <c r="I5" i="6"/>
  <c r="I6" i="6"/>
  <c r="C11" i="39" s="1"/>
  <c r="C38" i="11"/>
  <c r="C35" i="11"/>
  <c r="M63" i="40"/>
  <c r="L65" i="40"/>
  <c r="AE7" i="1"/>
  <c r="M70" i="39" l="1"/>
  <c r="N68" i="39"/>
  <c r="Q48" i="67"/>
  <c r="Q53" i="67" s="1"/>
  <c r="L46" i="67"/>
  <c r="D2" i="67" s="1"/>
  <c r="C19" i="15"/>
  <c r="C20" i="15" s="1"/>
  <c r="C26" i="15" s="1"/>
  <c r="H27" i="6"/>
  <c r="R19" i="6"/>
  <c r="C33" i="11"/>
  <c r="C42" i="11" s="1"/>
  <c r="C33" i="68"/>
  <c r="C42" i="68" s="1"/>
  <c r="J11" i="39"/>
  <c r="F11" i="39"/>
  <c r="H11" i="39"/>
  <c r="C43" i="69"/>
  <c r="C41" i="69" s="1"/>
  <c r="C46" i="69"/>
  <c r="C45" i="69" s="1"/>
  <c r="C25" i="69"/>
  <c r="C22" i="69" s="1"/>
  <c r="C28" i="69"/>
  <c r="C27" i="69" s="1"/>
  <c r="L57" i="15"/>
  <c r="L60" i="15" s="1"/>
  <c r="N63" i="40"/>
  <c r="M65" i="40"/>
  <c r="F41" i="15"/>
  <c r="O68" i="39" l="1"/>
  <c r="O70" i="39" s="1"/>
  <c r="N70" i="39"/>
  <c r="H7" i="39"/>
  <c r="F7" i="39"/>
  <c r="J7" i="39"/>
  <c r="C39" i="11"/>
  <c r="C43" i="11" s="1"/>
  <c r="C41" i="11" s="1"/>
  <c r="F69" i="15"/>
  <c r="J29" i="15"/>
  <c r="B2" i="67"/>
  <c r="B3" i="67"/>
  <c r="C23" i="15"/>
  <c r="C29" i="15" s="1"/>
  <c r="C46" i="11"/>
  <c r="C45" i="11" s="1"/>
  <c r="R7" i="1"/>
  <c r="R27" i="6"/>
  <c r="R6" i="1"/>
  <c r="C39" i="68"/>
  <c r="C46" i="68" s="1"/>
  <c r="C45" i="68" s="1"/>
  <c r="C49" i="69"/>
  <c r="C51" i="69" s="1"/>
  <c r="C31" i="69"/>
  <c r="S11" i="39"/>
  <c r="AA11" i="39"/>
  <c r="U11" i="39"/>
  <c r="AB11" i="39"/>
  <c r="AC11" i="39"/>
  <c r="W11" i="39"/>
  <c r="L46" i="15"/>
  <c r="Q57" i="15"/>
  <c r="Q66" i="15"/>
  <c r="O63" i="40"/>
  <c r="O65" i="40" s="1"/>
  <c r="N65" i="40"/>
  <c r="H7" i="40" s="1"/>
  <c r="F35" i="15"/>
  <c r="M21" i="15"/>
  <c r="F7" i="40" l="1"/>
  <c r="AA7" i="40" s="1"/>
  <c r="R42" i="40" s="1"/>
  <c r="AA7" i="39"/>
  <c r="R47" i="39" s="1"/>
  <c r="E47" i="39" s="1"/>
  <c r="E51" i="39" s="1"/>
  <c r="F51" i="39" s="1"/>
  <c r="S7" i="39"/>
  <c r="W7" i="39"/>
  <c r="AC7" i="39"/>
  <c r="V47" i="39" s="1"/>
  <c r="I47" i="39" s="1"/>
  <c r="I51" i="39" s="1"/>
  <c r="J51" i="39" s="1"/>
  <c r="U7" i="39"/>
  <c r="AB7" i="39"/>
  <c r="T47" i="39" s="1"/>
  <c r="G47" i="39" s="1"/>
  <c r="R16" i="1"/>
  <c r="C49" i="11"/>
  <c r="C51" i="11" s="1"/>
  <c r="C52" i="11" s="1"/>
  <c r="B2" i="11" s="1"/>
  <c r="B3" i="11" s="1"/>
  <c r="C43" i="68"/>
  <c r="C41" i="68" s="1"/>
  <c r="C49" i="68" s="1"/>
  <c r="C51" i="68" s="1"/>
  <c r="J14" i="15"/>
  <c r="J13" i="15" s="1"/>
  <c r="J23" i="15" s="1"/>
  <c r="C57" i="15"/>
  <c r="C61" i="15" s="1"/>
  <c r="J19" i="15"/>
  <c r="C13" i="15"/>
  <c r="C75" i="15" s="1"/>
  <c r="Q49" i="15"/>
  <c r="C36" i="15"/>
  <c r="F63" i="15"/>
  <c r="C62" i="15" s="1"/>
  <c r="C34" i="15"/>
  <c r="C31" i="15" s="1"/>
  <c r="J20" i="15"/>
  <c r="C52" i="69"/>
  <c r="B2" i="69" s="1"/>
  <c r="B3" i="69" s="1"/>
  <c r="AB7" i="40"/>
  <c r="T42" i="40" s="1"/>
  <c r="G42" i="40" s="1"/>
  <c r="U7" i="40"/>
  <c r="J7" i="40"/>
  <c r="R48" i="39" l="1"/>
  <c r="C48" i="39" s="1"/>
  <c r="B59" i="39" s="1"/>
  <c r="F59" i="39" s="1"/>
  <c r="G51" i="39"/>
  <c r="H51" i="39" s="1"/>
  <c r="G52" i="39"/>
  <c r="H52" i="39" s="1"/>
  <c r="S7" i="40"/>
  <c r="C56" i="11"/>
  <c r="C57" i="11" s="1"/>
  <c r="C64" i="15"/>
  <c r="I52" i="39"/>
  <c r="J52" i="39" s="1"/>
  <c r="E52" i="39"/>
  <c r="F52" i="39" s="1"/>
  <c r="C47" i="39"/>
  <c r="C59" i="15"/>
  <c r="C56" i="15"/>
  <c r="C65" i="15" s="1"/>
  <c r="C37" i="15"/>
  <c r="C30" i="15" s="1"/>
  <c r="C39" i="15" s="1"/>
  <c r="C40" i="15" s="1"/>
  <c r="Q70" i="15"/>
  <c r="J17" i="15"/>
  <c r="J22" i="15"/>
  <c r="C57" i="69"/>
  <c r="C56" i="69" s="1"/>
  <c r="E42" i="40"/>
  <c r="R43" i="40"/>
  <c r="W7" i="40"/>
  <c r="AC7" i="40"/>
  <c r="V42" i="40" s="1"/>
  <c r="I42" i="40" s="1"/>
  <c r="G47" i="40" s="1"/>
  <c r="H47" i="40" s="1"/>
  <c r="G46" i="40"/>
  <c r="H46" i="40" s="1"/>
  <c r="B60" i="39"/>
  <c r="F60" i="39" s="1"/>
  <c r="B62" i="39"/>
  <c r="F62" i="39" s="1"/>
  <c r="L51" i="15"/>
  <c r="B61" i="39" l="1"/>
  <c r="F61" i="39" s="1"/>
  <c r="B64" i="39"/>
  <c r="F64" i="39" s="1"/>
  <c r="B65" i="39"/>
  <c r="F65" i="39" s="1"/>
  <c r="B56" i="39"/>
  <c r="F56" i="39" s="1"/>
  <c r="B57" i="39"/>
  <c r="F57" i="39" s="1"/>
  <c r="B58" i="39"/>
  <c r="F58" i="39" s="1"/>
  <c r="B63" i="39"/>
  <c r="F63" i="39" s="1"/>
  <c r="Q69" i="15"/>
  <c r="Q68" i="15" s="1"/>
  <c r="C58" i="15"/>
  <c r="C67" i="15" s="1"/>
  <c r="C68" i="15" s="1"/>
  <c r="C46" i="15" s="1"/>
  <c r="C80" i="15"/>
  <c r="C79" i="15" s="1"/>
  <c r="Q67" i="15"/>
  <c r="J16" i="15"/>
  <c r="J25" i="15" s="1"/>
  <c r="C83" i="15"/>
  <c r="C82" i="15" s="1"/>
  <c r="C43" i="15"/>
  <c r="Q47" i="15"/>
  <c r="Q53" i="15" s="1"/>
  <c r="B2" i="15"/>
  <c r="Q56" i="15"/>
  <c r="Q62" i="15" s="1"/>
  <c r="Q65" i="15"/>
  <c r="Q75" i="15" s="1"/>
  <c r="I46" i="40"/>
  <c r="J46" i="40" s="1"/>
  <c r="I47" i="40"/>
  <c r="J47" i="40" s="1"/>
  <c r="C43" i="40"/>
  <c r="C42" i="40"/>
  <c r="E46" i="40"/>
  <c r="F46" i="40" s="1"/>
  <c r="E47" i="40"/>
  <c r="F47" i="40" s="1"/>
  <c r="AO7" i="1"/>
  <c r="F66" i="39" l="1"/>
  <c r="B2" i="39" s="1"/>
  <c r="C71" i="15"/>
  <c r="B7" i="70"/>
  <c r="B2" i="70" s="1"/>
  <c r="B3" i="70" s="1"/>
  <c r="C4" i="12"/>
  <c r="C31" i="12" s="1"/>
  <c r="B3" i="15"/>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6" i="68" l="1"/>
  <c r="C7" i="68" s="1"/>
  <c r="C5" i="68" s="1"/>
  <c r="C23" i="68" s="1"/>
  <c r="B3" i="39"/>
  <c r="C23" i="12"/>
  <c r="C20" i="68" l="1"/>
  <c r="C25" i="68" s="1"/>
  <c r="C22" i="68" s="1"/>
  <c r="C30" i="12"/>
  <c r="C28" i="12" s="1"/>
  <c r="C27" i="12"/>
  <c r="C25" i="12" s="1"/>
  <c r="C28" i="68" l="1"/>
  <c r="C27" i="68" s="1"/>
  <c r="C31" i="68" s="1"/>
  <c r="C32" i="12"/>
  <c r="B2" i="12" s="1"/>
  <c r="D19" i="9"/>
  <c r="C52" i="68" l="1"/>
  <c r="D102" i="9"/>
  <c r="D21" i="9"/>
  <c r="B3" i="12"/>
  <c r="D20" i="9"/>
  <c r="B2" i="68" l="1"/>
  <c r="C57" i="68"/>
  <c r="C56" i="68" s="1"/>
  <c r="D103" i="9"/>
  <c r="C19" i="9"/>
  <c r="C102" i="9" l="1"/>
  <c r="C21" i="9"/>
  <c r="D22" i="9"/>
  <c r="G19" i="9"/>
  <c r="C32" i="9" s="1"/>
  <c r="B3" i="68"/>
  <c r="C20" i="9"/>
  <c r="G21" i="9" l="1"/>
  <c r="F34" i="9"/>
  <c r="G34" i="9" s="1"/>
  <c r="C103" i="9"/>
  <c r="G20" i="9"/>
  <c r="H118" i="9"/>
  <c r="J10" i="68" l="1"/>
  <c r="J19" i="68" s="1"/>
  <c r="C34" i="9"/>
  <c r="F35" i="9"/>
  <c r="C35" i="9" s="1"/>
  <c r="D35" i="9" s="1"/>
  <c r="H101" i="9"/>
  <c r="H107" i="9" s="1"/>
  <c r="D13" i="53" s="1"/>
  <c r="H119" i="9"/>
  <c r="H5" i="52" s="1"/>
  <c r="I118" i="9"/>
  <c r="C105" i="9" s="1"/>
  <c r="H4" i="52"/>
  <c r="D14" i="74"/>
  <c r="F14" i="74" s="1"/>
  <c r="C104" i="9"/>
  <c r="K10" i="68"/>
  <c r="K19" i="68" s="1"/>
  <c r="M49" i="9" l="1"/>
  <c r="L66" i="9" s="1"/>
  <c r="M66" i="9" s="1"/>
  <c r="E14" i="74"/>
  <c r="F118" i="9"/>
  <c r="D34" i="9"/>
  <c r="D118" i="9"/>
  <c r="D122" i="9"/>
  <c r="G14" i="74" s="1"/>
  <c r="M48" i="9"/>
  <c r="H108" i="9"/>
  <c r="D15" i="53" s="1"/>
  <c r="B31" i="72" s="1"/>
  <c r="D5" i="53"/>
  <c r="D6" i="53" s="1"/>
  <c r="B22" i="72" s="1"/>
  <c r="D45" i="9"/>
  <c r="C93" i="9" s="1"/>
  <c r="C86" i="9" s="1"/>
  <c r="I4" i="52"/>
  <c r="H102" i="9"/>
  <c r="D7" i="53" s="1"/>
  <c r="B21" i="72" s="1"/>
  <c r="B20" i="72"/>
  <c r="D8" i="52"/>
  <c r="L68" i="9"/>
  <c r="M68" i="9" s="1"/>
  <c r="B30" i="72"/>
  <c r="D14" i="53"/>
  <c r="B32" i="72" s="1"/>
  <c r="G118" i="9" l="1"/>
  <c r="L64" i="9"/>
  <c r="M64" i="9" s="1"/>
  <c r="L63" i="9"/>
  <c r="M63" i="9" s="1"/>
  <c r="F4" i="52"/>
  <c r="B51" i="72" s="1"/>
  <c r="L67" i="9"/>
  <c r="M67" i="9" s="1"/>
  <c r="L65" i="9"/>
  <c r="M65" i="9" s="1"/>
  <c r="F119" i="9"/>
  <c r="F5" i="52" s="1"/>
  <c r="B53" i="72" s="1"/>
  <c r="C72" i="9"/>
  <c r="C64" i="9"/>
  <c r="C63" i="9" s="1"/>
  <c r="C67" i="9" s="1"/>
  <c r="C68" i="9" s="1"/>
  <c r="D54" i="9" s="1"/>
  <c r="D119" i="9"/>
  <c r="D5" i="52" s="1"/>
  <c r="B49" i="72" s="1"/>
  <c r="E118" i="9"/>
  <c r="D4" i="52"/>
  <c r="B47" i="72" s="1"/>
  <c r="D123" i="9"/>
  <c r="D9" i="52" s="1"/>
  <c r="D53" i="9"/>
  <c r="C85" i="9"/>
  <c r="C95" i="9" s="1"/>
  <c r="C96" i="9" s="1"/>
  <c r="E96" i="9" s="1"/>
  <c r="E97" i="9" s="1"/>
  <c r="C78" i="9"/>
  <c r="C73" i="9" s="1"/>
  <c r="C79" i="9" s="1"/>
  <c r="C80" i="9" s="1"/>
  <c r="E80" i="9" s="1"/>
  <c r="E81" i="9" s="1"/>
  <c r="D52" i="9"/>
  <c r="D55" i="9"/>
  <c r="M53" i="9" s="1"/>
  <c r="G4" i="52" l="1"/>
  <c r="B52" i="72" s="1"/>
  <c r="E4" i="52"/>
  <c r="B48" i="72" s="1"/>
  <c r="M69" i="9"/>
  <c r="N69" i="9" s="1"/>
  <c r="C81" i="9"/>
  <c r="C97" i="9"/>
  <c r="D58" i="9" s="1"/>
  <c r="D56" i="9" s="1"/>
  <c r="M54" i="9" s="1"/>
  <c r="N57" i="9" s="1"/>
  <c r="P57" i="9" l="1"/>
  <c r="N59" i="9"/>
  <c r="N58" i="9"/>
  <c r="N61" i="9" l="1"/>
  <c r="N60" i="9"/>
  <c r="B16" i="74" l="1"/>
  <c r="B1" i="74" s="1"/>
  <c r="C16" i="74" l="1"/>
  <c r="B2" i="74" s="1"/>
  <c r="C8" i="74"/>
  <c r="C7" i="74"/>
  <c r="D8" i="74" l="1"/>
  <c r="D7" i="74"/>
  <c r="D16" i="74" l="1"/>
  <c r="G16" i="74" l="1"/>
  <c r="B6" i="74" s="1"/>
  <c r="E16" i="74"/>
  <c r="F16" i="74"/>
  <c r="B5" i="74"/>
  <c r="C5" i="74" l="1"/>
  <c r="D5" i="74"/>
  <c r="C6" i="74"/>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<sst xmlns="http://schemas.openxmlformats.org/spreadsheetml/2006/main" count="10093" uniqueCount="3555">
  <si>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</si>
  <si>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</si>
  <si>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</si>
  <si>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</si>
  <si>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</si>
  <si>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</si>
  <si>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</si>
  <si>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</si>
  <si>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</si>
  <si>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</si>
  <si>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</si>
  <si>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</si>
  <si>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</si>
  <si>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</si>
  <si>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</si>
  <si>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</si>
  <si>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</si>
  <si>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</si>
  <si>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</si>
  <si>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</si>
  <si>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</si>
  <si>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</si>
  <si>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</si>
  <si>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</si>
  <si>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</si>
  <si>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</si>
  <si>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</si>
  <si>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</si>
  <si>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</si>
  <si>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</si>
  <si>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</si>
  <si>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</si>
  <si>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</si>
  <si>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</si>
  <si>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</si>
  <si>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</si>
  <si>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</si>
  <si>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</si>
  <si>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</si>
  <si>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</si>
  <si>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</si>
  <si>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</si>
  <si>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</si>
  <si>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</si>
  <si>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</si>
  <si>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</si>
  <si>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</si>
  <si>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</si>
  <si>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</si>
  <si>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</si>
  <si>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</si>
  <si>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</si>
  <si>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</si>
  <si>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</si>
  <si>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</si>
  <si>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</si>
  <si>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</si>
  <si>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</si>
  <si>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</si>
  <si>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</si>
  <si>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</si>
  <si>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</si>
  <si>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</si>
  <si>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</si>
  <si>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</si>
  <si>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</si>
  <si>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</si>
  <si>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</si>
  <si>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</si>
  <si>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</si>
  <si>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</si>
  <si>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</si>
  <si>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</si>
  <si>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</si>
  <si>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</si>
  <si>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</si>
  <si>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</si>
  <si>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</si>
  <si>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</si>
  <si>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</si>
  <si>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</si>
  <si>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</si>
  <si>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</si>
  <si>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</si>
  <si>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</si>
  <si>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</si>
  <si>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</si>
  <si>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</si>
  <si>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</si>
  <si>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</si>
  <si>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</si>
  <si>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</si>
  <si>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</si>
  <si>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</si>
  <si>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</si>
  <si>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</si>
  <si>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</si>
  <si>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</si>
  <si>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</si>
  <si>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</si>
  <si>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</si>
  <si>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</si>
  <si>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</si>
  <si>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</si>
  <si>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</si>
  <si>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</si>
  <si>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</si>
  <si>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</si>
  <si>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</si>
  <si>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</si>
  <si>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</si>
  <si>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</si>
  <si>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</si>
  <si>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</si>
  <si>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</si>
  <si>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</si>
  <si>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</si>
  <si>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</si>
  <si>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</si>
  <si>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</si>
  <si>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</si>
  <si>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</si>
  <si>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</si>
  <si>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</si>
  <si>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</si>
  <si>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</si>
  <si>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</si>
  <si>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</si>
  <si>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</si>
  <si>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</si>
  <si>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</si>
  <si>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</si>
  <si>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</si>
  <si>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</si>
  <si>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</si>
  <si>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</si>
  <si>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</si>
  <si>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</si>
  <si>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</si>
  <si>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</si>
  <si>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</si>
  <si>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</si>
  <si>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</si>
  <si>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</si>
  <si>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</si>
  <si>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</si>
  <si>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</si>
  <si>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</si>
  <si>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</si>
  <si>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</si>
  <si>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</si>
  <si>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</si>
  <si>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</si>
  <si>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</si>
  <si>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</si>
  <si>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</si>
  <si>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</si>
  <si>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</si>
  <si>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</si>
  <si>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</si>
  <si>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</si>
  <si>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</si>
  <si>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</si>
  <si>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</si>
  <si>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</si>
  <si>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</si>
  <si>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</si>
  <si>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</si>
  <si>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</si>
  <si>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</si>
  <si>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</si>
  <si>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</si>
  <si>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</si>
  <si>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</si>
  <si>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</si>
  <si>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</si>
  <si>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</si>
  <si>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</si>
  <si>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</si>
  <si>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</si>
  <si>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</si>
  <si>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</si>
  <si>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</si>
  <si>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</si>
  <si>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</si>
  <si>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</si>
  <si>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</si>
  <si>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</si>
  <si>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</si>
  <si>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</si>
  <si>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</si>
  <si>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</si>
  <si>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</si>
  <si>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</si>
  <si>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</si>
  <si>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</si>
  <si>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</si>
  <si>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</si>
  <si>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</si>
  <si>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</si>
  <si>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</si>
  <si>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</si>
  <si>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</si>
  <si>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</si>
  <si>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</si>
  <si>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</si>
  <si>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</si>
  <si>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</si>
  <si>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</si>
  <si>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</si>
  <si>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</si>
  <si>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</si>
  <si>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</si>
  <si>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</si>
  <si>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</si>
  <si>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</si>
  <si>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</si>
  <si>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</si>
  <si>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</si>
  <si>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</si>
  <si>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</si>
  <si>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</si>
  <si>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</si>
  <si>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</si>
  <si>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</si>
  <si>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</si>
  <si>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</si>
  <si>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</si>
  <si>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</si>
  <si>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</si>
  <si>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</si>
  <si>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</si>
  <si>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</si>
  <si>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</si>
  <si>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</si>
  <si>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</si>
  <si>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</si>
  <si>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</si>
  <si>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</si>
  <si>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</si>
  <si>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</si>
  <si>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</si>
  <si>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</si>
  <si>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</si>
  <si>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</si>
  <si>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</si>
  <si>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</si>
  <si>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</si>
  <si>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</si>
  <si>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</si>
  <si>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</si>
  <si>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</si>
  <si>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</si>
  <si>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</si>
  <si>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</si>
  <si>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</si>
  <si>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</si>
  <si>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</si>
  <si>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</si>
  <si>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</si>
  <si>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</si>
  <si>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</si>
  <si>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</si>
  <si>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</si>
  <si>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</si>
  <si>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</si>
  <si>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</si>
  <si>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</si>
  <si>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</si>
  <si>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</si>
  <si>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</si>
  <si>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</si>
  <si>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</si>
  <si>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</si>
  <si>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</si>
  <si>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</si>
  <si>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</si>
  <si>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</si>
  <si>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</si>
  <si>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</si>
  <si>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</si>
  <si>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</si>
  <si>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</si>
  <si>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</si>
  <si>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</si>
  <si>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</si>
  <si>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</si>
  <si>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</si>
  <si>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</si>
  <si>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</si>
  <si>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</si>
  <si>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</si>
  <si>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</si>
  <si>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</si>
  <si>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</si>
  <si>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</si>
  <si>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</si>
  <si>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</si>
  <si>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</si>
  <si>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</si>
  <si>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</si>
  <si>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</si>
  <si>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</si>
  <si>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</si>
  <si>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</si>
  <si>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</si>
  <si>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</si>
  <si>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</si>
  <si>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</si>
  <si>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</si>
  <si>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</si>
  <si>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</si>
  <si>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</si>
  <si>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</si>
  <si>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</si>
  <si>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</si>
  <si>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</si>
  <si>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</si>
  <si>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</si>
  <si>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</si>
  <si>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</si>
  <si>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</si>
  <si>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</si>
  <si>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</si>
  <si>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</si>
  <si>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</si>
  <si>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</si>
  <si>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</si>
  <si>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</si>
  <si>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</si>
  <si>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</si>
  <si>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</si>
  <si>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</si>
  <si>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</si>
  <si>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</si>
  <si>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</si>
  <si>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</si>
  <si>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</si>
  <si>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</si>
  <si>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</si>
  <si>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</si>
  <si>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</si>
  <si>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</si>
  <si>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</si>
  <si>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</si>
  <si>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</si>
  <si>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</si>
  <si>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</si>
  <si>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</si>
  <si>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</si>
  <si>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</si>
  <si>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</si>
  <si>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</si>
  <si>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</si>
  <si>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</si>
  <si>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</si>
  <si>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</si>
  <si>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</si>
  <si>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</si>
  <si>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</si>
  <si>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</si>
  <si>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</si>
  <si>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</si>
  <si>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</si>
  <si>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</si>
  <si>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</si>
  <si>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</si>
  <si>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</si>
  <si>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</si>
  <si>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</si>
  <si>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</si>
  <si>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</si>
  <si>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</si>
  <si>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</si>
  <si>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</si>
  <si>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</si>
  <si>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</si>
  <si>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</si>
  <si>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</si>
  <si>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</si>
  <si>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</si>
  <si>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</si>
  <si>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</si>
  <si>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</si>
  <si>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</si>
  <si>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</si>
  <si>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</si>
  <si>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</si>
  <si>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</si>
  <si>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</si>
  <si>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</si>
  <si>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</si>
  <si>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</si>
  <si>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</si>
  <si>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</si>
  <si>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</si>
  <si>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</si>
  <si>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</si>
  <si>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</si>
  <si>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</si>
  <si>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</si>
  <si>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</si>
  <si>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</si>
  <si>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</si>
  <si>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</si>
  <si>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</si>
  <si>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</si>
  <si>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</si>
  <si>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</si>
  <si>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</si>
  <si>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</si>
  <si>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</si>
  <si>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</si>
  <si>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</si>
  <si>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</si>
  <si>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</si>
  <si>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</si>
  <si>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</si>
  <si>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</si>
  <si>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</si>
  <si>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</si>
  <si>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</si>
  <si>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</si>
  <si>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</si>
  <si>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</si>
  <si>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</si>
  <si>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</si>
  <si>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</si>
  <si>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</si>
  <si>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</si>
  <si>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</si>
  <si>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</si>
  <si>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</si>
  <si>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</si>
  <si>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</si>
  <si>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</si>
  <si>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</si>
  <si>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</si>
  <si>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</si>
  <si>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</si>
  <si>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</si>
  <si>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</si>
  <si>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</si>
  <si>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</si>
  <si>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</si>
  <si>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</si>
  <si>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</si>
  <si>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</si>
  <si>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</si>
  <si>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</si>
  <si>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</si>
  <si>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</si>
  <si>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</si>
  <si>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</si>
  <si>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</si>
  <si>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</si>
  <si>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</si>
  <si>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</si>
  <si>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</si>
  <si>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</si>
  <si>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</si>
  <si>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</si>
  <si>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</si>
  <si>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</si>
  <si>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</si>
  <si>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</si>
  <si>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</si>
  <si>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</si>
  <si>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</si>
  <si>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</si>
  <si>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</si>
  <si>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</si>
  <si>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</si>
  <si>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</si>
  <si>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</si>
  <si>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</si>
  <si>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</si>
  <si>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</si>
  <si>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</si>
  <si>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</si>
  <si>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</si>
  <si>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</si>
  <si>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</si>
  <si>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</si>
  <si>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</si>
  <si>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</si>
  <si>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</si>
  <si>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</si>
  <si>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</si>
  <si>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</si>
  <si>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</si>
  <si>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</si>
  <si>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</si>
  <si>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</si>
  <si>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</si>
  <si>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</si>
  <si>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</si>
  <si>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</si>
  <si>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</si>
  <si>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</si>
  <si>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</si>
  <si>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</si>
  <si>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</si>
  <si>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</si>
  <si>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</si>
  <si>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</si>
  <si>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</si>
  <si>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</si>
  <si>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</si>
  <si>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</si>
  <si>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</si>
  <si>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</si>
  <si>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</si>
  <si>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</si>
  <si>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</si>
  <si>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</si>
  <si>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</si>
  <si>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</si>
  <si>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</si>
  <si>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</si>
  <si>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</si>
  <si>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</si>
  <si>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</si>
  <si>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</si>
  <si>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</si>
  <si>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</si>
  <si>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</si>
  <si>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</si>
  <si>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</si>
  <si>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</si>
  <si>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</si>
  <si>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</si>
  <si>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</si>
  <si>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</si>
  <si>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</si>
  <si>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</si>
  <si>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</si>
  <si>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</si>
  <si>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</si>
  <si>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</si>
  <si>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</si>
  <si>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</si>
  <si>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</si>
  <si>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</si>
  <si>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</si>
  <si>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</si>
  <si>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</si>
  <si>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</si>
  <si>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</si>
  <si>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</si>
  <si>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</si>
  <si>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</si>
  <si>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</si>
  <si>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</si>
  <si>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</si>
  <si>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</si>
  <si>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</si>
  <si>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</si>
  <si>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</si>
  <si>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</si>
  <si>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</si>
  <si>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</si>
  <si>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</si>
  <si>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</si>
  <si>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</si>
  <si>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</si>
  <si>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</si>
  <si>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</si>
  <si>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</si>
  <si>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</si>
  <si>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</si>
  <si>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</si>
  <si>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</si>
  <si>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</si>
  <si>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</si>
  <si>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</si>
  <si>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</si>
  <si>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</si>
  <si>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</si>
  <si>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</si>
  <si>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</si>
  <si>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</si>
  <si>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</si>
  <si>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</si>
  <si>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</si>
  <si>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</si>
  <si>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</si>
  <si>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</si>
  <si>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</si>
  <si>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</si>
  <si>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</si>
  <si>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</si>
  <si>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</si>
  <si>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</si>
  <si>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</si>
  <si>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</si>
  <si>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</si>
  <si>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</si>
  <si>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</si>
  <si>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</si>
  <si>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</si>
  <si>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</si>
  <si>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</si>
  <si>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</si>
  <si>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</si>
  <si>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</si>
  <si>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</si>
  <si>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</si>
  <si>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</si>
  <si>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</si>
  <si>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</si>
  <si>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</si>
  <si>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</si>
  <si>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</si>
  <si>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</si>
  <si>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</si>
  <si>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</si>
  <si>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</si>
  <si>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</si>
  <si>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</si>
  <si>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</si>
  <si>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</si>
  <si>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</si>
  <si>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</si>
  <si>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</si>
  <si>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</si>
  <si>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</si>
  <si>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</si>
  <si>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</si>
  <si>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</si>
  <si>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</si>
  <si>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</si>
  <si>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</si>
  <si>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</si>
  <si>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</si>
  <si>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</si>
  <si>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</si>
  <si>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</si>
  <si>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</si>
  <si>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</si>
  <si>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</si>
  <si>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</si>
  <si>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</si>
  <si>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</si>
  <si>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</si>
  <si>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</si>
  <si>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</si>
  <si>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</si>
  <si>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</si>
  <si>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</si>
  <si>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</si>
  <si>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</si>
  <si>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</si>
  <si>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</si>
  <si>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</si>
  <si>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</si>
  <si>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</si>
  <si>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</si>
  <si>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</si>
  <si>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</si>
  <si>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</si>
  <si>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</si>
  <si>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</si>
  <si>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</si>
  <si>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</si>
  <si>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</si>
  <si>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</si>
  <si>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</si>
  <si>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</si>
  <si>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</si>
  <si>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</si>
  <si>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</si>
  <si>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</si>
  <si>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</si>
  <si>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</si>
  <si>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</si>
  <si>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</si>
  <si>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</si>
  <si>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</si>
  <si>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</si>
  <si>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</si>
  <si>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</si>
  <si>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</si>
  <si>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</si>
  <si>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</si>
  <si>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</si>
  <si>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</si>
  <si>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</si>
  <si>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</si>
  <si>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</si>
  <si>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</si>
  <si>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</si>
  <si>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</si>
  <si>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</si>
  <si>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</si>
  <si>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</si>
  <si>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</si>
  <si>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</si>
  <si>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</si>
  <si>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</si>
  <si>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</si>
  <si>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</si>
  <si>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</si>
  <si>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</si>
  <si>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</si>
  <si>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</si>
  <si>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</si>
  <si>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</si>
  <si>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</si>
  <si>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</si>
  <si>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</si>
  <si>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</si>
  <si>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</si>
  <si>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</si>
  <si>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</si>
  <si>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</si>
  <si>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</si>
  <si>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</si>
  <si>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</si>
  <si>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</si>
  <si>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</si>
  <si>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</si>
  <si>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</si>
  <si>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</si>
  <si>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</si>
  <si>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</si>
  <si>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</si>
  <si>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</si>
  <si>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</si>
  <si>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</si>
  <si>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</si>
  <si>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</si>
  <si>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</si>
  <si>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</si>
  <si>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</si>
  <si>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</si>
  <si>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</si>
  <si>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</si>
  <si>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</si>
  <si>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</si>
  <si>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</si>
  <si>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</si>
  <si>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</si>
  <si>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</si>
  <si>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</si>
  <si>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</si>
  <si>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</si>
  <si>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</si>
  <si>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</si>
  <si>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</si>
  <si>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</si>
  <si>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</si>
  <si>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</si>
  <si>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</si>
  <si>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</si>
  <si>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</si>
  <si>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</si>
  <si>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</si>
  <si>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</si>
  <si>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</si>
  <si>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</si>
  <si>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</si>
  <si>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</si>
  <si>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</si>
  <si>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</si>
  <si>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</si>
  <si>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</si>
  <si>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</si>
  <si>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</si>
  <si>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</si>
  <si>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</si>
  <si>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</si>
  <si>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</si>
  <si>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</si>
  <si>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</si>
  <si>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</si>
  <si>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</si>
  <si>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</si>
  <si>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</si>
  <si>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</si>
  <si>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</si>
  <si>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</si>
  <si>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</si>
  <si>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</si>
  <si>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</si>
  <si>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</si>
  <si>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</si>
  <si>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</si>
  <si>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</si>
  <si>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</si>
  <si>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</si>
  <si>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</si>
  <si>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</si>
  <si>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</si>
  <si>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</si>
  <si>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</si>
  <si>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</si>
  <si>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</si>
  <si>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</si>
  <si>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</si>
  <si>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</si>
  <si>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</si>
  <si>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</si>
  <si>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</si>
  <si>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</si>
  <si>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</si>
  <si>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</si>
  <si>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</si>
  <si>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</si>
  <si>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</si>
  <si>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</si>
  <si>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</si>
  <si>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</si>
  <si>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</si>
  <si>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</si>
  <si>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</si>
  <si>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</si>
  <si>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</si>
  <si>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</si>
  <si>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</si>
  <si>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</si>
  <si>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</si>
  <si>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</si>
  <si>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</si>
  <si>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</si>
  <si>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</si>
  <si>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</si>
  <si>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</si>
  <si>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</si>
  <si>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</si>
  <si>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</si>
  <si>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</si>
  <si>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</si>
  <si>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</si>
  <si>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</si>
  <si>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</si>
  <si>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</si>
  <si>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</si>
  <si>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</si>
  <si>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</si>
  <si>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</si>
  <si>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</si>
  <si>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</si>
  <si>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</si>
  <si>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</si>
  <si>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</si>
  <si>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</si>
  <si>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</si>
  <si>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</si>
  <si>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</si>
  <si>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</si>
  <si>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</si>
  <si>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</si>
  <si>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</si>
  <si>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</si>
  <si>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</si>
  <si>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</si>
  <si>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</si>
  <si>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</si>
  <si>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</si>
  <si>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</si>
  <si>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</si>
  <si>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</si>
  <si>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</si>
  <si>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</si>
  <si>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</si>
  <si>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</si>
  <si>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</si>
  <si>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</si>
  <si>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</si>
  <si>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</si>
  <si>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</si>
  <si>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</si>
  <si>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</si>
  <si>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</si>
  <si>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</si>
  <si>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</si>
  <si>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</si>
  <si>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</si>
  <si>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</si>
  <si>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</si>
  <si>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</si>
  <si>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</si>
  <si>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</si>
  <si>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</si>
  <si>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</si>
  <si>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</si>
  <si>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</si>
  <si>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</si>
  <si>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</si>
  <si>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</si>
  <si>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</si>
  <si>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</si>
  <si>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</si>
  <si>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</si>
  <si>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</si>
  <si>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</si>
  <si>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</si>
  <si>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</si>
  <si>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</si>
  <si>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</si>
  <si>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</si>
  <si>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</si>
  <si>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</si>
  <si>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</si>
  <si>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</si>
  <si>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</si>
  <si>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</si>
  <si>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</si>
  <si>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</si>
  <si>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</si>
  <si>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</si>
  <si>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</si>
  <si>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</si>
  <si>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</si>
  <si>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</si>
  <si>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</si>
  <si>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</si>
  <si>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</si>
  <si>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</si>
  <si>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</si>
  <si>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</si>
  <si>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</si>
  <si>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</si>
  <si>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</si>
  <si>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</si>
  <si>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</si>
  <si>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</si>
  <si>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</si>
  <si>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</si>
  <si>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</si>
  <si>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</si>
  <si>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</si>
  <si>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</si>
  <si>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</si>
  <si>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</si>
  <si>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</si>
  <si>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</si>
  <si>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</si>
  <si>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</si>
  <si>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</si>
  <si>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</si>
  <si>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</si>
  <si>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</si>
  <si>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</si>
  <si>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</si>
  <si>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</si>
  <si>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</si>
  <si>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</si>
  <si>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</si>
  <si>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</si>
  <si>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</si>
  <si>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</si>
  <si>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</si>
  <si>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</si>
  <si>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</si>
  <si>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</si>
  <si>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</si>
  <si>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</si>
  <si>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</si>
  <si>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</si>
  <si>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</si>
  <si>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</si>
  <si>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</si>
  <si>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</si>
  <si>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</si>
  <si>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</si>
  <si>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</si>
  <si>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</si>
  <si>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</si>
  <si>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</si>
  <si>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</si>
  <si>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</si>
  <si>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</si>
  <si>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</si>
  <si>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</si>
  <si>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</si>
  <si>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</si>
  <si>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</si>
  <si>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</si>
  <si>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</si>
  <si>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</si>
  <si>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</si>
  <si>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</si>
  <si>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</si>
  <si>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</si>
  <si>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</si>
  <si>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</si>
  <si>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</si>
  <si>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</si>
  <si>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</si>
  <si>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</si>
  <si>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</si>
  <si>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</si>
  <si>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</si>
  <si>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</si>
  <si>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</si>
  <si>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</si>
  <si>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</si>
  <si>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</si>
  <si>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</si>
  <si>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</si>
  <si>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</si>
  <si>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</si>
  <si>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</si>
  <si>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</si>
  <si>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</si>
  <si>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</si>
  <si>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</si>
  <si>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</si>
  <si>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</si>
  <si>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</si>
  <si>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</si>
  <si>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</si>
  <si>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</si>
  <si>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</si>
  <si>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</si>
  <si>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</si>
  <si>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</si>
  <si>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</si>
  <si>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</si>
  <si>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</si>
  <si>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</si>
  <si>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</si>
  <si>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</si>
  <si>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</si>
  <si>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</si>
  <si>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</si>
  <si>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</si>
  <si>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</si>
  <si>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</si>
  <si>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</si>
  <si>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</si>
  <si>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</si>
  <si>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</si>
  <si>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</si>
  <si>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</si>
  <si>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</si>
  <si>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</si>
  <si>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</si>
  <si>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</si>
  <si>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</si>
  <si>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</si>
  <si>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</si>
  <si>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</si>
  <si>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</si>
  <si>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</si>
  <si>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</si>
  <si>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</si>
  <si>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</si>
  <si>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</si>
  <si>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</si>
  <si>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</si>
  <si>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</si>
  <si>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</si>
  <si>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</si>
  <si>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</si>
  <si>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</si>
  <si>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</si>
  <si>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</si>
  <si>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</si>
  <si>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</si>
  <si>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</si>
  <si>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</si>
  <si>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</si>
  <si>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</si>
  <si>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</si>
  <si>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</si>
  <si>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</si>
  <si>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</si>
  <si>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</si>
  <si>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</si>
  <si>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</si>
  <si>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</si>
  <si>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</si>
  <si>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</si>
  <si>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</si>
  <si>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</si>
  <si>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</si>
  <si>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</si>
  <si>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</si>
  <si>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</si>
  <si>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</si>
  <si>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</si>
  <si>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</si>
  <si>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</si>
  <si>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</si>
  <si>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</si>
  <si>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</si>
  <si>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</si>
  <si>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</si>
  <si>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</si>
  <si>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</si>
  <si>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</si>
  <si>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</si>
  <si>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</si>
  <si>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</si>
  <si>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</si>
  <si>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</si>
  <si>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</si>
  <si>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</si>
  <si>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</si>
  <si>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</si>
  <si>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</si>
  <si>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</si>
  <si>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</si>
  <si>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</si>
  <si>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</si>
  <si>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</si>
  <si>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</si>
  <si>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</si>
  <si>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</si>
  <si>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</si>
  <si>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</si>
  <si>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</si>
  <si>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</si>
  <si>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</si>
  <si>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</si>
  <si>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</si>
  <si>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</si>
  <si>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</si>
  <si>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</si>
  <si>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</si>
  <si>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</si>
  <si>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</si>
  <si>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</si>
  <si>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</si>
  <si>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</si>
  <si>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</si>
  <si>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</si>
  <si>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</si>
  <si>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</si>
  <si>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</si>
  <si>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</si>
  <si>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</si>
  <si>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</si>
  <si>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</si>
  <si>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</si>
  <si>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</si>
  <si>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</si>
  <si>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</si>
  <si>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</si>
  <si>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</si>
  <si>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</si>
  <si>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</si>
  <si>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</si>
  <si>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</si>
  <si>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</si>
  <si>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</si>
  <si>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</si>
  <si>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</si>
  <si>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</si>
  <si>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</si>
  <si>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</si>
  <si>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</si>
  <si>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</si>
  <si>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</si>
  <si>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</si>
  <si>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</si>
  <si>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</si>
  <si>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</si>
  <si>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</si>
  <si>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</si>
  <si>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</si>
  <si>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</si>
  <si>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</si>
  <si>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</si>
  <si>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</si>
  <si>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</si>
  <si>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</si>
  <si>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</si>
  <si>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</si>
  <si>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</si>
  <si>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</si>
  <si>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</si>
  <si>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</si>
  <si>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</si>
  <si>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</si>
  <si>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</si>
  <si>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</si>
  <si>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</si>
  <si>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</si>
  <si>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</si>
  <si>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</si>
  <si>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</si>
  <si>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</si>
  <si>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</si>
  <si>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</si>
  <si>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</si>
  <si>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</si>
  <si>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</si>
  <si>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</si>
  <si>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</si>
  <si>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</si>
  <si>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</si>
  <si>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</si>
  <si>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</si>
  <si>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</si>
  <si>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</si>
  <si>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</si>
  <si>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</si>
  <si>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</si>
  <si>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</si>
  <si>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</si>
  <si>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</si>
  <si>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</si>
  <si>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</si>
  <si>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</si>
  <si>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</si>
  <si>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</si>
  <si>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</si>
  <si>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</si>
  <si>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</si>
  <si>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</si>
  <si>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</si>
  <si>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</si>
  <si>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</si>
  <si>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</si>
  <si>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</si>
  <si>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</si>
  <si>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</si>
  <si>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</si>
  <si>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</si>
  <si>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</si>
  <si>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</si>
  <si>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</si>
  <si>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</si>
  <si>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</si>
  <si>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</si>
  <si>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</si>
  <si>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</si>
  <si>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</si>
  <si>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</si>
  <si>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</si>
  <si>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</si>
  <si>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</si>
  <si>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</si>
  <si>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</si>
  <si>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</si>
  <si>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</si>
  <si>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</si>
  <si>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</si>
  <si>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</si>
  <si>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</si>
  <si>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</si>
  <si>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</si>
  <si>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</si>
  <si>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</si>
  <si>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</si>
  <si>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</si>
  <si>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</si>
  <si>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</si>
  <si>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</si>
  <si>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</si>
  <si>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</si>
  <si>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</si>
  <si>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</si>
  <si>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</si>
  <si>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</si>
  <si>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</si>
  <si>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</si>
  <si>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</si>
  <si>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</si>
  <si>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</si>
  <si>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</si>
  <si>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</si>
  <si>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</si>
  <si>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</si>
  <si>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</si>
  <si>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</si>
  <si>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</si>
  <si>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</si>
  <si>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</si>
  <si>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</si>
  <si>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</si>
  <si>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</si>
  <si>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</si>
  <si>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</si>
  <si>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</si>
  <si>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</si>
  <si>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</si>
  <si>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</si>
  <si>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</si>
  <si>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</si>
  <si>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</si>
  <si>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</si>
  <si>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</si>
  <si>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</si>
  <si>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</si>
  <si>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</si>
  <si>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</si>
  <si>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</si>
  <si>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</si>
  <si>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</si>
  <si>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</si>
  <si>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</si>
  <si>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</si>
  <si>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</si>
  <si>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</si>
  <si>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</si>
  <si>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</si>
  <si>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</si>
  <si>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</si>
  <si>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</si>
  <si>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</si>
  <si>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</si>
  <si>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</si>
  <si>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</si>
  <si>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</si>
  <si>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</si>
  <si>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</si>
  <si>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</si>
  <si>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</si>
  <si>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</si>
  <si>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</si>
  <si>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</si>
  <si>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</si>
  <si>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</si>
  <si>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</si>
  <si>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</si>
  <si>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</si>
  <si>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</si>
  <si>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</si>
  <si>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</si>
  <si>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</si>
  <si>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</si>
  <si>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</si>
  <si>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</si>
  <si>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</si>
  <si>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</si>
  <si>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</si>
  <si>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</si>
  <si>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</si>
  <si>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</si>
  <si>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</si>
  <si>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</si>
  <si>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</si>
  <si>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</si>
  <si>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</si>
  <si>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</si>
  <si>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</si>
  <si>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</si>
  <si>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</si>
  <si>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</si>
  <si>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</si>
  <si>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</si>
  <si>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</si>
  <si>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</si>
  <si>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</si>
  <si>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</si>
  <si>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</si>
  <si>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</si>
  <si>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</si>
  <si>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</si>
  <si>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</si>
  <si>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</si>
  <si>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</si>
  <si>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</si>
  <si>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</si>
  <si>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</si>
  <si>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</si>
  <si>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</si>
  <si>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</si>
  <si>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</si>
  <si>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</si>
  <si>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</si>
  <si>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</si>
  <si>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</si>
  <si>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</si>
  <si>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</si>
  <si>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</si>
  <si>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</si>
  <si>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</si>
  <si>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</si>
  <si>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</si>
  <si>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</si>
  <si>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</si>
  <si>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</si>
  <si>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</si>
  <si>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</si>
  <si>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</si>
  <si>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</si>
  <si>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</si>
  <si>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</si>
  <si>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</si>
  <si>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</si>
  <si>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</si>
  <si>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</si>
  <si>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</si>
  <si>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</si>
  <si>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</si>
  <si>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</si>
  <si>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</si>
  <si>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</si>
  <si>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</si>
  <si>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</si>
  <si>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</si>
  <si>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</si>
  <si>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</si>
  <si>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</si>
  <si>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</si>
  <si>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</si>
  <si>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</si>
  <si>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</si>
  <si>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</si>
  <si>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</si>
  <si>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</si>
  <si>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</si>
  <si>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</si>
  <si>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</si>
  <si>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</si>
  <si>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</si>
  <si>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</si>
  <si>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</si>
  <si>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</si>
  <si>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</si>
  <si>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</si>
  <si>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</si>
  <si>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</si>
  <si>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</si>
  <si>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</si>
  <si>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</si>
  <si>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</si>
  <si>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</si>
  <si>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</si>
  <si>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</si>
  <si>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</si>
  <si>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</si>
  <si>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</si>
  <si>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</si>
  <si>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</si>
  <si>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</si>
  <si>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</si>
  <si>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</si>
  <si>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</si>
  <si>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</si>
  <si>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</si>
  <si>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</si>
  <si>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</si>
  <si>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</si>
  <si>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</si>
  <si>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</si>
  <si>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</si>
  <si>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</si>
  <si>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</si>
  <si>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</si>
  <si>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</si>
  <si>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</si>
  <si>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</si>
  <si>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</si>
  <si>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</si>
  <si>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</si>
  <si>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</si>
  <si>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</si>
  <si>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</si>
  <si>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</si>
  <si>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</si>
  <si>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</si>
  <si>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</si>
  <si>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</si>
  <si>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</si>
  <si>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</si>
  <si>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</si>
  <si>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</si>
  <si>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</si>
  <si>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</si>
  <si>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</si>
  <si>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</si>
  <si>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</si>
  <si>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</si>
  <si>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</si>
  <si>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</si>
  <si>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</si>
  <si>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</si>
  <si>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</si>
  <si>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</si>
  <si>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</si>
  <si>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</si>
  <si>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</si>
  <si>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</si>
  <si>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</si>
  <si>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</si>
  <si>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</si>
  <si>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</si>
  <si>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</si>
  <si>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</si>
  <si>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</si>
  <si>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</si>
  <si>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</si>
  <si>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</si>
  <si>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</si>
  <si>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</si>
  <si>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</si>
  <si>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</si>
  <si>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</si>
  <si>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</si>
  <si>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</si>
  <si>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</si>
  <si>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</si>
  <si>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</si>
  <si>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</si>
  <si>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</si>
  <si>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</si>
  <si>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</si>
  <si>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</si>
  <si>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</si>
  <si>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</si>
  <si>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</si>
  <si>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</si>
  <si>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</si>
  <si>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</si>
  <si>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</si>
  <si>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</si>
  <si>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</si>
  <si>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</si>
  <si>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</si>
  <si>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</si>
  <si>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</si>
  <si>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</si>
  <si>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</si>
  <si>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</si>
  <si>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</si>
  <si>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</si>
  <si>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</si>
  <si>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</si>
  <si>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</si>
  <si>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</si>
  <si>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</si>
  <si>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</si>
  <si>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</si>
  <si>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</si>
  <si>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</si>
  <si>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</si>
  <si>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</si>
  <si>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</si>
  <si>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</si>
  <si>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</si>
  <si>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</si>
  <si>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</si>
  <si>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</si>
  <si>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</si>
  <si>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</si>
  <si>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</si>
  <si>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</si>
  <si>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</si>
  <si>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</si>
  <si>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</si>
  <si>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</si>
  <si>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</si>
  <si>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</si>
  <si>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</si>
  <si>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</si>
  <si>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</si>
  <si>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</si>
  <si>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</si>
  <si>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</si>
  <si>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</si>
  <si>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</si>
  <si>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</si>
  <si>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</si>
  <si>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</si>
  <si>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</si>
  <si>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</si>
  <si>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</si>
  <si>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</si>
  <si>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</si>
  <si>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</si>
  <si>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</si>
  <si>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</si>
  <si>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</si>
  <si>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</si>
  <si>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</si>
  <si>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</si>
  <si>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</si>
  <si>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</si>
  <si>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</si>
  <si>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</si>
  <si>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</si>
  <si>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</si>
  <si>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</si>
  <si>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</si>
  <si>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</si>
  <si>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</si>
  <si>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</si>
  <si>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</si>
  <si>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</si>
  <si>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</si>
  <si>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</si>
  <si>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</si>
  <si>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</si>
  <si>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</si>
  <si>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</si>
  <si>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</si>
  <si>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</si>
  <si>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</si>
  <si>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</si>
  <si>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</si>
  <si>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</si>
  <si>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</si>
  <si>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</si>
  <si>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</si>
  <si>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</si>
  <si>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</si>
  <si>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</si>
  <si>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</si>
  <si>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</si>
  <si>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</si>
  <si>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</si>
  <si>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</si>
  <si>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</si>
  <si>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</si>
  <si>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</si>
  <si>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</si>
  <si>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</si>
  <si>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</si>
  <si>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</si>
  <si>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</si>
  <si>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</si>
  <si>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</si>
  <si>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</si>
  <si>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</si>
  <si>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</si>
  <si>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</si>
  <si>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</si>
  <si>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</si>
  <si>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</si>
  <si>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</si>
  <si>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</si>
  <si>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</si>
  <si>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</si>
  <si>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</si>
  <si>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</si>
  <si>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</si>
  <si>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</si>
  <si>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</si>
  <si>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</si>
  <si>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</si>
  <si>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</si>
  <si>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</si>
  <si>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</si>
  <si>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</si>
  <si>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</si>
  <si>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</si>
  <si>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</si>
  <si>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</si>
  <si>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</si>
  <si>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</si>
  <si>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</si>
  <si>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</si>
  <si>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</si>
  <si>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</si>
  <si>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</si>
  <si>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</si>
  <si>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</si>
  <si>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</si>
  <si>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</si>
  <si>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</si>
  <si>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</si>
  <si>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</si>
  <si>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</si>
  <si>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</si>
  <si>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</si>
  <si>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</si>
  <si>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</si>
  <si>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</si>
  <si>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</si>
  <si>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</si>
  <si>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</si>
  <si>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</si>
  <si>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</si>
  <si>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</si>
  <si>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</si>
  <si>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</si>
  <si>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</si>
  <si>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</si>
  <si>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</si>
  <si>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</si>
  <si>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</si>
  <si>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</si>
  <si>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</si>
  <si>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</si>
  <si>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</si>
  <si>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</si>
  <si>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</si>
  <si>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</si>
  <si>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</si>
  <si>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</si>
  <si>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</si>
  <si>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</si>
  <si>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</si>
  <si>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</si>
  <si>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</si>
  <si>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</si>
  <si>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</si>
  <si>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</si>
  <si>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</si>
  <si>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</si>
  <si>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</si>
  <si>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</si>
  <si>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</si>
  <si>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</si>
  <si>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</si>
  <si>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</si>
  <si>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</si>
  <si>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</si>
  <si>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</si>
  <si>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</si>
  <si>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</si>
  <si>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</si>
  <si>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</si>
  <si>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</si>
  <si>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</si>
  <si>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</si>
  <si>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</si>
  <si>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</si>
  <si>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</si>
  <si>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</si>
  <si>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</si>
  <si>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</si>
  <si>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</si>
  <si>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</si>
  <si>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</si>
  <si>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</si>
  <si>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</si>
  <si>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</si>
  <si>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</si>
  <si>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</si>
  <si>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</si>
  <si>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</si>
  <si>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</si>
  <si>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</si>
  <si>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</si>
  <si>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</si>
  <si>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</si>
  <si>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</si>
  <si>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</si>
  <si>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</si>
  <si>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</si>
  <si>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</si>
  <si>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</si>
  <si>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</si>
  <si>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</si>
  <si>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</si>
  <si>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</si>
  <si>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</si>
  <si>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</si>
  <si>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</si>
  <si>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</si>
  <si>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</si>
  <si>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</si>
  <si>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</si>
  <si>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</si>
  <si>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</si>
  <si>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</si>
  <si>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</si>
  <si>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</si>
  <si>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</si>
  <si>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</si>
  <si>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</si>
  <si>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</si>
  <si>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</si>
  <si>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</si>
  <si>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</si>
  <si>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</si>
  <si>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</si>
  <si>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</si>
  <si>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</si>
  <si>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</si>
  <si>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</si>
  <si>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</si>
  <si>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</si>
  <si>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</si>
  <si>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</si>
  <si>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</si>
  <si>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</si>
  <si>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</si>
  <si>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</si>
  <si>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</si>
  <si>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</si>
  <si>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</si>
  <si>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</si>
  <si>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</si>
  <si>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</si>
  <si>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</si>
  <si>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</si>
  <si>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</si>
  <si>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</si>
  <si>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</si>
  <si>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</si>
  <si>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</si>
  <si>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</si>
  <si>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</si>
  <si>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</si>
  <si>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</si>
  <si>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</si>
  <si>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</si>
  <si>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</si>
  <si>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</si>
  <si>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</si>
  <si>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</si>
  <si>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</si>
  <si>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</si>
  <si>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</si>
  <si>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</si>
  <si>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</si>
  <si>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</si>
  <si>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</si>
  <si>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</si>
  <si>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</si>
  <si>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</si>
  <si>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</si>
  <si>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</si>
  <si>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</si>
  <si>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</si>
  <si>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</si>
  <si>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</si>
  <si>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</si>
  <si>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</si>
  <si>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</si>
  <si>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</si>
  <si>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</si>
  <si>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</si>
  <si>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</si>
  <si>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</si>
  <si>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</si>
  <si>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</si>
  <si>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</si>
  <si>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</si>
  <si>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</si>
  <si>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</si>
  <si>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</si>
  <si>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</si>
  <si>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</si>
  <si>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</si>
  <si>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</si>
  <si>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</si>
  <si>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</si>
  <si>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</si>
  <si>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</si>
  <si>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</si>
  <si>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</si>
  <si>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</si>
  <si>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</si>
  <si>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</si>
  <si>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</si>
  <si>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</si>
  <si>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</si>
  <si>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</si>
  <si>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</si>
  <si>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</si>
  <si>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</si>
  <si>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</si>
  <si>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</si>
  <si>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</si>
  <si>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</si>
  <si>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</si>
  <si>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</si>
  <si>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</si>
  <si>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</si>
  <si>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</si>
  <si>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</si>
  <si>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</si>
  <si>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</si>
  <si>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</si>
  <si>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</si>
  <si>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</si>
  <si>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</si>
  <si>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</si>
  <si>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</si>
  <si>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</si>
  <si>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</si>
  <si>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</si>
  <si>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</si>
  <si>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</si>
  <si>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</si>
  <si>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</si>
  <si>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</si>
  <si>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</si>
  <si>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</si>
  <si>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</si>
  <si>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</si>
  <si>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</si>
  <si>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</si>
  <si>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</si>
  <si>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</si>
  <si>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</si>
  <si>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</si>
  <si>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</si>
  <si>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</si>
  <si>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</si>
  <si>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</si>
  <si>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</si>
  <si>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</si>
  <si>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</si>
  <si>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</si>
  <si>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</si>
  <si>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</si>
  <si>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</si>
  <si>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</si>
  <si>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</si>
  <si>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</si>
  <si>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</si>
  <si>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</si>
  <si>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</si>
  <si>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</si>
  <si>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</si>
  <si>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</si>
  <si>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</si>
  <si>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</si>
  <si>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</si>
  <si>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</si>
  <si>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</si>
  <si>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</si>
  <si>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</si>
  <si>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</si>
  <si>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</si>
  <si>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</si>
  <si>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</si>
  <si>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</si>
  <si>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</si>
  <si>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</si>
  <si>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</si>
  <si>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</si>
  <si>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</si>
  <si>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</si>
  <si>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</si>
  <si>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</si>
  <si>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</si>
  <si>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</si>
  <si>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</si>
  <si>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</si>
  <si>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</si>
  <si>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</si>
  <si>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</si>
  <si>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</si>
  <si>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</si>
  <si>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</si>
  <si>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</si>
  <si>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</si>
  <si>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</si>
  <si>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</si>
  <si>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</si>
  <si>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</si>
  <si>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</si>
  <si>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</si>
  <si>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</si>
  <si>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</si>
  <si>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</si>
  <si>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</si>
  <si>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</si>
  <si>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</si>
  <si>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</si>
  <si>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</si>
  <si>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</si>
  <si>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</si>
  <si>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</si>
  <si>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</si>
  <si>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</si>
  <si>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</si>
  <si>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</si>
  <si>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</si>
  <si>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</si>
  <si>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</si>
  <si>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</si>
  <si>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</si>
  <si>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</si>
  <si>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</si>
  <si>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</si>
  <si>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</si>
  <si>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</si>
  <si>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</si>
  <si>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</si>
  <si>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</si>
  <si>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</si>
  <si>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</si>
  <si>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</si>
  <si>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</si>
  <si>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</si>
  <si>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</si>
  <si>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</si>
  <si>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</si>
  <si>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</si>
  <si>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</si>
  <si>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</si>
  <si>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</si>
  <si>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</si>
  <si>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</si>
  <si>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</si>
  <si>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</si>
  <si>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</si>
  <si>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</si>
  <si>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</si>
  <si>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</si>
  <si>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</si>
  <si>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</si>
  <si>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</si>
  <si>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</si>
  <si>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</si>
  <si>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</si>
  <si>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</si>
  <si>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</si>
  <si>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</si>
  <si>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</si>
  <si>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</si>
  <si>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</si>
  <si>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</si>
  <si>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</si>
  <si>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</si>
  <si>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</si>
  <si>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</si>
  <si>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</si>
  <si>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</si>
  <si>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</si>
  <si>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</si>
  <si>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</si>
  <si>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</si>
  <si>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</si>
  <si>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</si>
  <si>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</si>
  <si>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</si>
  <si>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</si>
  <si>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</si>
  <si>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</si>
  <si>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</si>
  <si>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</si>
  <si>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</si>
  <si>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</si>
  <si>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</si>
  <si>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</si>
  <si>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</si>
  <si>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</si>
  <si>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</si>
  <si>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</si>
  <si>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</si>
  <si>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</si>
  <si>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</si>
  <si>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</si>
  <si>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</si>
  <si>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</si>
  <si>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</si>
  <si>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</si>
  <si>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</si>
  <si>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</si>
  <si>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</si>
  <si>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</si>
  <si>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</si>
  <si>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</si>
  <si>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</si>
  <si>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</si>
  <si>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</si>
  <si>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</si>
  <si>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</si>
  <si>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</si>
  <si>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</si>
  <si>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</si>
  <si>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</si>
  <si>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</si>
  <si>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</si>
  <si>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</si>
  <si>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</si>
  <si>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</si>
  <si>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</si>
  <si>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</si>
  <si>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</si>
  <si>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</si>
  <si>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</si>
  <si>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</si>
  <si>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</si>
  <si>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</si>
  <si>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</si>
  <si>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</si>
  <si>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</si>
  <si>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</si>
  <si>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</si>
  <si>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</si>
  <si>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</si>
  <si>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</si>
  <si>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</si>
  <si>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</si>
  <si>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</si>
  <si>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</si>
  <si>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</si>
  <si>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</si>
  <si>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</si>
  <si>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</si>
  <si>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</si>
  <si>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</si>
  <si>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</si>
  <si>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</si>
  <si>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</si>
  <si>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</si>
  <si>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</si>
  <si>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</si>
  <si>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</si>
  <si>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</si>
  <si>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</si>
  <si>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</si>
  <si>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</si>
  <si>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</si>
  <si>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</si>
  <si>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</si>
  <si>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</si>
  <si>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</si>
  <si>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</si>
  <si>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</si>
  <si>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</si>
  <si>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</si>
  <si>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</si>
  <si>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</si>
  <si>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</si>
  <si>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</si>
  <si>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</si>
  <si>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</si>
  <si>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</si>
  <si>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</si>
  <si>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</si>
  <si>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</si>
  <si>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</si>
  <si>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</si>
  <si>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</si>
  <si>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</si>
  <si>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</si>
  <si>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</si>
  <si>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</si>
  <si>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</si>
  <si>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</si>
  <si>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</si>
  <si>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</si>
  <si>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</si>
  <si>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</si>
  <si>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</si>
  <si>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</si>
  <si>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</si>
  <si>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</si>
  <si>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</si>
  <si>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</si>
  <si>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</si>
  <si>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</si>
  <si>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</si>
  <si>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</si>
  <si>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</si>
  <si>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</si>
  <si>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</si>
  <si>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</si>
  <si>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</si>
  <si>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</si>
  <si>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</si>
  <si>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</si>
  <si>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</si>
  <si>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</si>
  <si>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</si>
  <si>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</si>
  <si>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</si>
  <si>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</si>
  <si>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</si>
  <si>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</si>
  <si>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</si>
  <si>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</si>
  <si>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</si>
  <si>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</si>
  <si>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</si>
  <si>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</si>
  <si>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</si>
  <si>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</si>
  <si>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</si>
  <si>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</si>
  <si>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</si>
  <si>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</si>
  <si>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</si>
  <si>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</si>
  <si>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</si>
  <si>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</si>
  <si>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</si>
  <si>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</si>
  <si>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</si>
  <si>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</si>
  <si>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</si>
  <si>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</si>
  <si>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</si>
  <si>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</si>
  <si>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</si>
  <si>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</si>
  <si>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</si>
  <si>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</si>
  <si>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</si>
  <si>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</si>
  <si>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</si>
  <si>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</si>
  <si>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</si>
  <si>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</si>
  <si>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</si>
  <si>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</si>
  <si>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</si>
  <si>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</si>
  <si>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</si>
  <si>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</si>
  <si>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</si>
  <si>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</si>
  <si>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</si>
  <si>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</si>
  <si>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</si>
  <si>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</si>
  <si>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</si>
  <si>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</si>
  <si>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</si>
  <si>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</si>
  <si>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</si>
  <si>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</si>
  <si>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</si>
  <si>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</si>
  <si>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</si>
  <si>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</si>
  <si>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</si>
  <si>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</si>
  <si>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</si>
  <si>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</si>
  <si>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</si>
  <si>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</si>
  <si>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</si>
  <si>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</si>
  <si>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</si>
  <si>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</si>
  <si>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</si>
  <si>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</si>
  <si>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</si>
  <si>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</si>
  <si>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</si>
  <si>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</si>
  <si>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</si>
  <si>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</si>
  <si>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</si>
  <si>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</si>
  <si>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</si>
  <si>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</si>
  <si>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</si>
  <si>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</si>
  <si>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</si>
  <si>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</si>
  <si>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</si>
  <si>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</si>
  <si>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</si>
  <si>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</si>
  <si>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</si>
  <si>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</si>
  <si>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</si>
  <si>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</si>
  <si>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</si>
  <si>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</si>
  <si>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</si>
  <si>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</si>
  <si>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</si>
  <si>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</si>
  <si>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</si>
  <si>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</si>
  <si>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</si>
  <si>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</si>
  <si>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</si>
  <si>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</si>
  <si>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</si>
  <si>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</si>
  <si>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</si>
  <si>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</si>
  <si>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</si>
  <si>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</si>
  <si>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</si>
  <si>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</si>
  <si>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</si>
  <si>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</si>
  <si>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</si>
  <si>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</si>
  <si>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</si>
  <si>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</si>
  <si>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</si>
  <si>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</si>
  <si>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</si>
  <si>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</si>
  <si>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</si>
  <si>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</si>
  <si>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</si>
  <si>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</si>
  <si>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</si>
  <si>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</si>
  <si>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</si>
  <si>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</si>
  <si>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</si>
  <si>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</si>
  <si>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</si>
  <si>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</si>
  <si>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</si>
  <si>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</si>
  <si>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</si>
  <si>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</si>
  <si>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</si>
  <si>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</si>
  <si>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</si>
  <si>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</si>
  <si>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</si>
  <si>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</si>
  <si>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</si>
  <si>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</si>
  <si>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</si>
  <si>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</si>
  <si>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</si>
  <si>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</si>
  <si>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</si>
  <si>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</si>
  <si>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</si>
  <si>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</si>
  <si>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</si>
  <si>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</si>
  <si>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</si>
  <si>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</si>
  <si>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</si>
  <si>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</si>
  <si>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</si>
  <si>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</si>
  <si>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</si>
  <si>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</si>
  <si>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</si>
  <si>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</si>
  <si>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</si>
  <si>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</si>
  <si>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</si>
  <si>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</si>
  <si>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</si>
  <si>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</si>
  <si>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</si>
  <si>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</si>
  <si>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</si>
  <si>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</si>
  <si>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</si>
  <si>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</si>
  <si>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</si>
  <si>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</si>
  <si>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</si>
  <si>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</si>
  <si>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</si>
  <si>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</si>
  <si>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</si>
  <si>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</si>
  <si>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</si>
  <si>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</si>
  <si>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</si>
  <si>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</si>
  <si>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</si>
  <si>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</si>
  <si>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</si>
  <si>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</si>
  <si>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</si>
  <si>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</si>
  <si>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</si>
  <si>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</si>
  <si>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</si>
  <si>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</si>
  <si>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</si>
  <si>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</si>
  <si>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</si>
  <si>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</si>
  <si>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</si>
  <si>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</si>
  <si>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</si>
  <si>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</si>
  <si>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</si>
  <si>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</si>
  <si>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</si>
  <si>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</si>
  <si>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</si>
  <si>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</si>
  <si>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</si>
  <si>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</si>
  <si>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</si>
  <si>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</si>
  <si>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</si>
  <si>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</si>
  <si>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</si>
  <si>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</si>
  <si>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</si>
  <si>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</si>
  <si>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</si>
  <si>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</si>
  <si>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</si>
  <si>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</si>
  <si>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</si>
  <si>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</si>
  <si>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</si>
  <si>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</si>
  <si>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</si>
  <si>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</si>
  <si>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</si>
  <si>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</si>
  <si>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</si>
  <si>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</si>
  <si>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</si>
  <si>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</si>
  <si>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</si>
  <si>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</si>
  <si>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</si>
  <si>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</si>
  <si>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</si>
  <si>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</si>
  <si>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</si>
  <si>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</si>
  <si>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</si>
  <si>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</si>
  <si>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</si>
  <si>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</si>
  <si>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</si>
  <si>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</si>
  <si>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</si>
  <si>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</si>
  <si>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</si>
  <si>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</si>
  <si>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</si>
  <si>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</si>
  <si>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</si>
  <si>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</si>
  <si>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</si>
  <si>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</si>
  <si>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</si>
  <si>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</si>
  <si>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</si>
  <si>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</si>
  <si>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</si>
  <si>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</si>
  <si>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</si>
  <si>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</si>
  <si>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</si>
  <si>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</si>
  <si>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</si>
  <si>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</si>
  <si>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</si>
  <si>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</si>
  <si>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</si>
  <si>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</si>
  <si>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</si>
  <si>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</si>
  <si>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</si>
  <si>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</si>
  <si>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</si>
  <si>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</si>
  <si>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</si>
  <si>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</si>
  <si>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</si>
  <si>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</si>
  <si>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</si>
  <si>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</si>
  <si>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</si>
  <si>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</si>
  <si>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</si>
  <si>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</si>
  <si>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</si>
  <si>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</si>
  <si>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</si>
  <si>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</si>
  <si>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</si>
  <si>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</si>
  <si>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</si>
  <si>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</si>
  <si>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</si>
  <si>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</si>
  <si>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</si>
  <si>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</si>
  <si>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</si>
  <si>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</si>
  <si>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</si>
  <si>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</si>
  <si>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</si>
  <si>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</si>
  <si>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</si>
  <si>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</si>
  <si>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</si>
  <si>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</si>
  <si>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</si>
  <si>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</si>
  <si>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</si>
  <si>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</si>
  <si>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</si>
  <si>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</si>
  <si>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</si>
  <si>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</si>
  <si>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</si>
  <si>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</si>
  <si>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</si>
  <si>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</si>
  <si>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</si>
  <si>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</si>
  <si>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</si>
  <si>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</si>
  <si>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</si>
  <si>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</si>
  <si>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</si>
  <si>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</si>
  <si>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</si>
  <si>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</si>
  <si>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</si>
  <si>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</si>
  <si>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</si>
  <si>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</si>
  <si>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</si>
  <si>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</si>
  <si>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</si>
  <si>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</si>
  <si>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</si>
  <si>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</si>
  <si>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</si>
  <si>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</si>
  <si>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</si>
  <si>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</si>
  <si>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</si>
  <si>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</si>
  <si>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</si>
  <si>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</si>
  <si>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</si>
  <si>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</si>
  <si>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</si>
  <si>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</si>
  <si>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</si>
  <si>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</si>
  <si>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</si>
  <si>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</si>
  <si>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</si>
  <si>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</si>
  <si>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</si>
  <si>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</si>
  <si>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</si>
  <si>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</si>
  <si>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</si>
  <si>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</si>
  <si>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</si>
  <si>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</si>
  <si>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</si>
  <si>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</si>
  <si>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</si>
  <si>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</si>
  <si>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</si>
  <si>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</si>
  <si>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</si>
  <si>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</si>
  <si>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</si>
  <si>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</si>
  <si>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</si>
  <si>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</si>
  <si>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</si>
  <si>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</si>
  <si>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</si>
  <si>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</si>
  <si>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</si>
  <si>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</si>
  <si>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</si>
  <si>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</si>
  <si>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</si>
  <si>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</si>
  <si>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</si>
  <si>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</si>
  <si>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</si>
  <si>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</si>
  <si>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</si>
  <si>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</si>
  <si>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</si>
  <si>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</si>
  <si>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</si>
  <si>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</si>
  <si>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</si>
  <si>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</si>
  <si>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</si>
  <si>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</si>
  <si>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</si>
  <si>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</si>
  <si>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</si>
  <si>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</si>
  <si>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</si>
  <si>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</si>
  <si>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</si>
  <si>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</si>
  <si>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</si>
  <si>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</si>
  <si>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</si>
  <si>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</si>
  <si>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</si>
  <si>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</si>
  <si>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</si>
  <si>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</si>
  <si>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</si>
  <si>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</si>
  <si>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</si>
  <si>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</si>
  <si>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</si>
  <si>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</si>
  <si>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</si>
  <si>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</si>
  <si>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</si>
  <si>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</si>
  <si>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</si>
  <si>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</si>
  <si>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</si>
  <si>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</si>
  <si>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</si>
  <si>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</si>
  <si>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</si>
  <si>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</si>
  <si>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</si>
  <si>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</si>
  <si>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</si>
  <si>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</si>
  <si>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</si>
  <si>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</si>
  <si>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</si>
  <si>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</si>
  <si>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</si>
  <si>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</si>
  <si>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</si>
  <si>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</si>
  <si>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</si>
  <si>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</si>
  <si>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</si>
  <si>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</si>
  <si>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</si>
  <si>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</si>
  <si>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</si>
  <si>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</si>
  <si>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</si>
  <si>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</si>
  <si>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</si>
  <si>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</si>
  <si>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</si>
  <si>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</si>
  <si>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</si>
  <si>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</si>
  <si>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</si>
  <si>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</si>
  <si>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</si>
  <si>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</si>
  <si>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</si>
  <si>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</si>
  <si>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</si>
  <si>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</si>
  <si>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</si>
  <si>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</si>
  <si>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</si>
  <si>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</si>
  <si>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</si>
  <si>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</si>
  <si>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</si>
  <si>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</si>
  <si>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</si>
  <si>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</si>
  <si>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</si>
  <si>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</si>
  <si>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</si>
  <si>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</si>
  <si>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</si>
  <si>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</si>
  <si>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</si>
  <si>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</si>
  <si>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</si>
  <si>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</si>
  <si>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</si>
  <si>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</si>
  <si>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</si>
  <si>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</si>
  <si>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</si>
  <si>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</si>
  <si>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</si>
  <si>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</si>
  <si>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</si>
  <si>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</si>
  <si>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</si>
  <si>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</si>
  <si>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</si>
  <si>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</si>
  <si>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</si>
  <si>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</si>
  <si>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</si>
  <si>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</si>
  <si>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</si>
  <si>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</si>
  <si>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</si>
  <si>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</si>
  <si>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</si>
  <si>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</si>
  <si>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</si>
  <si>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</si>
  <si>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</si>
  <si>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</si>
  <si>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</si>
  <si>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</si>
  <si>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</si>
  <si>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</si>
  <si>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</si>
  <si>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</si>
  <si>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</si>
  <si>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</si>
  <si>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</si>
  <si>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</si>
  <si>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</si>
  <si>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</si>
  <si>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</si>
  <si>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</si>
  <si>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</si>
  <si>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</si>
  <si>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</si>
  <si>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</si>
  <si>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</si>
  <si>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</si>
  <si>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</si>
  <si>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</si>
  <si>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</si>
  <si>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</si>
  <si>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</si>
  <si>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</si>
  <si>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</si>
  <si>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</si>
  <si>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</si>
  <si>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</si>
  <si>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</si>
  <si>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</si>
  <si>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</si>
  <si>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</si>
  <si>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</si>
  <si>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</si>
  <si>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</si>
  <si>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</si>
  <si>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</si>
  <si>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</si>
  <si>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</si>
  <si>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</si>
  <si>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</si>
  <si>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</si>
  <si>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</si>
  <si>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</si>
  <si>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</si>
  <si>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</si>
  <si>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</si>
  <si>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</si>
  <si>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</si>
  <si>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</si>
  <si>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</si>
  <si>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</si>
  <si>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</si>
  <si>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</si>
  <si>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</si>
  <si>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</si>
  <si>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</si>
  <si>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</si>
  <si>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</si>
  <si>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</si>
  <si>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</si>
  <si>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</si>
  <si>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</si>
  <si>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</si>
  <si>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</si>
  <si>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</si>
  <si>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</si>
  <si>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</si>
  <si>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</si>
  <si>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</si>
  <si>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</si>
  <si>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</si>
  <si>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</si>
  <si>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</si>
  <si>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</si>
  <si>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</si>
  <si>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</si>
  <si>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</si>
  <si>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</si>
  <si>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</si>
  <si>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</si>
  <si>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</si>
  <si>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</si>
  <si>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</si>
  <si>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</si>
  <si>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</si>
  <si>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</si>
  <si>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</si>
  <si>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</si>
  <si>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</si>
  <si>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</si>
  <si>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</si>
  <si>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</si>
  <si>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</si>
  <si>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</si>
  <si>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</si>
  <si>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</si>
  <si>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</si>
  <si>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</si>
  <si>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</si>
  <si>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</si>
  <si>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</si>
  <si>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</si>
  <si>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</si>
  <si>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</si>
  <si>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</si>
  <si>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</si>
  <si>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</si>
  <si>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</si>
  <si>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</si>
  <si>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</si>
  <si>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</si>
  <si>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</si>
  <si>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</si>
  <si>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</si>
  <si>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</si>
  <si>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</si>
  <si>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</si>
  <si>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</si>
  <si>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</si>
  <si>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</si>
  <si>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</si>
  <si>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</si>
  <si>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</si>
  <si>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</si>
  <si>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</si>
  <si>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</si>
  <si>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</si>
  <si>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</si>
  <si>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</si>
  <si>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</si>
  <si>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</si>
  <si>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</si>
  <si>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</si>
  <si>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</si>
  <si>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</si>
  <si>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</si>
  <si>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</si>
  <si>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</si>
  <si>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</si>
  <si>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</si>
  <si>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</si>
  <si>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</si>
  <si>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</si>
  <si>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</si>
  <si>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</si>
  <si>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</si>
  <si>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</si>
  <si>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</si>
  <si>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</si>
  <si>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</si>
  <si>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</si>
  <si>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</si>
  <si>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</si>
  <si>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</si>
  <si>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</si>
  <si>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</si>
  <si>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</si>
  <si>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</si>
  <si>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</si>
  <si>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</si>
  <si>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</si>
  <si>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</si>
  <si>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</si>
  <si>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</si>
  <si>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</si>
  <si>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</si>
  <si>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</si>
  <si>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</si>
  <si>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</si>
  <si>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</si>
  <si>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</si>
  <si>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</si>
  <si>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</si>
  <si>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</si>
  <si>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</si>
  <si>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</si>
  <si>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</si>
  <si>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</si>
  <si>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</si>
  <si>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</si>
  <si>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</si>
  <si>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</si>
  <si>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</si>
  <si>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</si>
  <si>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</si>
  <si>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</si>
  <si>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</si>
  <si>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</si>
  <si>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</si>
  <si>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</si>
  <si>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</si>
  <si>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</si>
  <si>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</si>
  <si>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</si>
  <si>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</si>
  <si>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</si>
  <si>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</si>
  <si>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</si>
  <si>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</si>
  <si>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</si>
  <si>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</si>
  <si>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</si>
  <si>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</si>
  <si>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</si>
  <si>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</si>
  <si>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</si>
  <si>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</si>
  <si>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</si>
  <si>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</si>
  <si>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</si>
  <si>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</si>
  <si>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</si>
  <si>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</si>
  <si>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</si>
  <si>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</si>
  <si>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</si>
  <si>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</si>
  <si>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</si>
  <si>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</si>
  <si>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</si>
  <si>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</si>
  <si>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</si>
  <si>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</si>
  <si>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</si>
  <si>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</si>
  <si>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</si>
  <si>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</si>
  <si>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</si>
  <si>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</si>
  <si>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</si>
  <si>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</si>
  <si>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</si>
  <si>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</si>
  <si>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</si>
  <si>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</si>
  <si>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</si>
  <si>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</si>
  <si>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</si>
  <si>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</si>
  <si>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</si>
  <si>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</si>
  <si>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</si>
  <si>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</si>
  <si>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</si>
  <si>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</si>
  <si>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</si>
  <si>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</si>
  <si>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</si>
  <si>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</si>
  <si>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</si>
  <si>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</si>
  <si>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</si>
  <si>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</si>
  <si>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</si>
  <si>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</si>
  <si>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</si>
  <si>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</si>
  <si>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</si>
  <si>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</si>
  <si>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</si>
  <si>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</si>
  <si>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</si>
  <si>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</si>
  <si>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</si>
  <si>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</si>
  <si>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</si>
  <si>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</si>
  <si>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</si>
  <si>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</si>
  <si>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</si>
  <si>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</si>
  <si>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</si>
  <si>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</si>
  <si>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</si>
  <si>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</si>
  <si>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</si>
  <si>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</si>
  <si>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</si>
  <si>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</si>
  <si>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</si>
  <si>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</si>
  <si>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</si>
  <si>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</si>
  <si>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</si>
  <si>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</si>
  <si>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</si>
  <si>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</si>
  <si>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</si>
  <si>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</si>
  <si>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</si>
  <si>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</si>
  <si>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</si>
  <si>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</si>
  <si>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</si>
  <si>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</si>
  <si>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</si>
  <si>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</si>
  <si>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</si>
  <si>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</si>
  <si>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</si>
  <si>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</si>
  <si>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</si>
  <si>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</si>
  <si>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</si>
  <si>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</si>
  <si>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</si>
  <si>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</si>
  <si>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</si>
  <si>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</si>
  <si>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</si>
  <si>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</si>
  <si>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</si>
  <si>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</si>
  <si>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</si>
  <si>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</si>
  <si>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</si>
  <si>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</si>
  <si>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</si>
  <si>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</si>
  <si>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</si>
  <si>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</si>
  <si>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</si>
  <si>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</si>
  <si>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</si>
  <si>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</si>
  <si>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</si>
  <si>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</si>
  <si>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</si>
  <si>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</si>
  <si>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</si>
  <si>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</si>
  <si>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</si>
  <si>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</si>
  <si>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</si>
  <si>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</si>
  <si>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</si>
  <si>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</si>
  <si>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</si>
  <si>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</si>
  <si>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</si>
  <si>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</si>
  <si>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</si>
  <si>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</si>
  <si>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</si>
  <si>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</si>
  <si>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</si>
  <si>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</si>
  <si>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</si>
  <si>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</si>
  <si>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</si>
  <si>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</si>
  <si>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</si>
  <si>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</si>
  <si>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</si>
  <si>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</si>
  <si>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</si>
  <si>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</si>
  <si>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</si>
  <si>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</si>
  <si>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</si>
  <si>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</si>
  <si>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</si>
  <si>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</si>
  <si>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</si>
  <si>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</si>
  <si>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</si>
  <si>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</si>
  <si>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</si>
  <si>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</si>
  <si>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</si>
  <si>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</si>
  <si>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</si>
  <si>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</si>
  <si>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</si>
  <si>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</si>
  <si>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</si>
  <si>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</si>
  <si>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</si>
  <si>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</si>
  <si>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</si>
  <si>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</si>
  <si>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</si>
  <si>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</si>
  <si>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</si>
  <si>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</si>
  <si>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</si>
  <si>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</si>
  <si>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</si>
  <si>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</si>
  <si>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</si>
  <si>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</si>
  <si>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</si>
  <si>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</si>
  <si>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</si>
  <si>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</si>
  <si>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</si>
  <si>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</si>
  <si>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</si>
  <si>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</si>
  <si>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</si>
  <si>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</si>
  <si>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</si>
  <si>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</si>
  <si>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</si>
  <si>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中新天津生态城中部片区</t>
  </si>
  <si>
    <t>天津市</t>
  </si>
  <si>
    <t>住宅用地</t>
  </si>
  <si>
    <t>滨海新区</t>
  </si>
  <si>
    <t>挂牌</t>
  </si>
  <si>
    <t>津滨生转让(挂)2019-2号</t>
  </si>
  <si>
    <t>城镇住宅用地</t>
  </si>
  <si>
    <t>＞1.0且＜3.06</t>
  </si>
  <si>
    <t>&amp;lt;20%</t>
  </si>
  <si>
    <t>限地价,竞自持</t>
  </si>
  <si>
    <t>限地价</t>
  </si>
  <si>
    <t>未开工</t>
  </si>
  <si>
    <t>2019-08-13</t>
  </si>
  <si>
    <t>2019-09-02</t>
  </si>
  <si>
    <t>2019-09-11</t>
  </si>
  <si>
    <t>已成交</t>
  </si>
  <si>
    <t>天津生态城双威房地产开发有限公司</t>
  </si>
  <si>
    <t>70年</t>
  </si>
  <si>
    <t>4星</t>
  </si>
  <si>
    <t>天津滨海高新区海洋科技园</t>
  </si>
  <si>
    <t>综合用地(含住宅)</t>
  </si>
  <si>
    <t>津滨高(挂)2019-8号</t>
  </si>
  <si>
    <t>城镇住宅、商服用地</t>
  </si>
  <si>
    <t>＞1.0且≤2</t>
  </si>
  <si>
    <t>≤20%</t>
  </si>
  <si>
    <t>2019-08-05</t>
  </si>
  <si>
    <t>2019-08-25</t>
  </si>
  <si>
    <t>2019-09-04</t>
  </si>
  <si>
    <t>天津紫光云辰产业园有限公司</t>
  </si>
  <si>
    <t>城镇住宅用地70年、商服用地40年</t>
  </si>
  <si>
    <t>3星</t>
  </si>
  <si>
    <t>津滨高(挂)2019-7号</t>
  </si>
  <si>
    <t>＞1.0且≤2.1</t>
  </si>
  <si>
    <t>2019-07-31</t>
  </si>
  <si>
    <t>2019-08-20</t>
  </si>
  <si>
    <t>天津紫光云庭产业园有限公司</t>
  </si>
  <si>
    <t>津滨高(挂)2019-10号</t>
  </si>
  <si>
    <t>津滨高(挂)2019-9号</t>
  </si>
  <si>
    <t>天津紫光云熙产业园有限公司</t>
  </si>
  <si>
    <t>津滨高(挂)2019-6号</t>
  </si>
  <si>
    <t>滨海新区中部新城南起步区</t>
  </si>
  <si>
    <t>津滨轻纺(挂)2019-2号</t>
  </si>
  <si>
    <t>＞1.0且≤1.3</t>
  </si>
  <si>
    <t>≤25%</t>
  </si>
  <si>
    <t>≤24米</t>
  </si>
  <si>
    <t>2019-07-26</t>
  </si>
  <si>
    <t>2019-08-15</t>
  </si>
  <si>
    <t>2019-08-28</t>
  </si>
  <si>
    <t>天津渤化海晶建设发展有限公司</t>
  </si>
  <si>
    <t>城镇住宅70年、商服40年</t>
  </si>
  <si>
    <t>1星</t>
  </si>
  <si>
    <t>生态城中部片区</t>
  </si>
  <si>
    <t>津滨生转让(挂)2019-1号</t>
  </si>
  <si>
    <t>＞1.0且≤1.6</t>
  </si>
  <si>
    <t>≤30%</t>
  </si>
  <si>
    <t>55米</t>
  </si>
  <si>
    <t>2019-07-25</t>
  </si>
  <si>
    <t>2019-08-17</t>
  </si>
  <si>
    <t>天津贻成锦华房地产开发有限公司</t>
  </si>
  <si>
    <t>天津东疆保税港区</t>
  </si>
  <si>
    <t>津滨东(挂)2019-1号</t>
  </si>
  <si>
    <t>＞1.0且≤1.5</t>
  </si>
  <si>
    <t>≤35%</t>
  </si>
  <si>
    <t>50米</t>
  </si>
  <si>
    <t>限地价,竞自持,含租赁用地</t>
  </si>
  <si>
    <t>限地价,含租赁用地</t>
  </si>
  <si>
    <t>2019-05-17</t>
  </si>
  <si>
    <t>2019-06-06</t>
  </si>
  <si>
    <t>2019-06-19</t>
  </si>
  <si>
    <t>天津东疆置业有限公司</t>
  </si>
  <si>
    <t>城镇住宅为70年、商服40年</t>
  </si>
  <si>
    <t>滨海新区塘沽新城镇</t>
  </si>
  <si>
    <t>津滨塘(挂)2019-2号</t>
  </si>
  <si>
    <t>≤60米</t>
  </si>
  <si>
    <t>2019-04-30</t>
  </si>
  <si>
    <t>2019-05-26</t>
  </si>
  <si>
    <t>2019-06-05</t>
  </si>
  <si>
    <t>天津瑞辉商业管理有限公司</t>
  </si>
  <si>
    <t>2星</t>
  </si>
  <si>
    <t>津滨塘(挂)2019-1号</t>
  </si>
  <si>
    <t>天津瑞骏商业管理有限公司</t>
  </si>
  <si>
    <t>津滨塘(挂)2018-5号</t>
  </si>
  <si>
    <t>天津华发创盛置业有限公司</t>
  </si>
  <si>
    <t>天津市滨海新区中新天津生态城南部片区</t>
  </si>
  <si>
    <t>津滨生(挂)2018-13号</t>
  </si>
  <si>
    <t>＞1.0且≤1.1</t>
  </si>
  <si>
    <t>≤40%</t>
  </si>
  <si>
    <t>18米</t>
  </si>
  <si>
    <t>2019-05-23</t>
  </si>
  <si>
    <t>天津泰达建设集团有限公司</t>
  </si>
  <si>
    <t>天津开发区新金融大道东侧、永太路北侧</t>
  </si>
  <si>
    <t>津滨开(挂)2019-2号</t>
  </si>
  <si>
    <t>城镇住宅、*商服、公园与绿地、城镇村道路用地</t>
  </si>
  <si>
    <t>a地块＞1.0且≤7.8;b地块＞1.0且≤5.2;c地块＞1.0且≤5.0;d地块＞1.0且≤4.2;e地块≤8.6;f地块≤4.0;g地块/;h地块/;i地块/;j地块/</t>
  </si>
  <si>
    <t>A地块≤40%;B地块≤40%;C地块≤60%;D地块≤60%;E地块≤80%;F地块≤75%;G地块/;H地块/;I地块/;J地块/</t>
  </si>
  <si>
    <t>A地块≤180m;B地块≤150m;C地块≤160m;D地块≤120m;E地块≤300m;F地块≤100m;G地块/;H地块/;I地块/;J地块/</t>
  </si>
  <si>
    <t>2019-04-24</t>
  </si>
  <si>
    <t>2019-05-20</t>
  </si>
  <si>
    <t>2019-05-29</t>
  </si>
  <si>
    <t>上海复屹实业发展有限公司</t>
  </si>
  <si>
    <t>城镇住宅70年、*商服40年、公园与绿地50年</t>
  </si>
  <si>
    <t>5星</t>
  </si>
  <si>
    <t>天津空港经济区</t>
  </si>
  <si>
    <t>津滨保(挂)2018-11号</t>
  </si>
  <si>
    <t>≤41米</t>
  </si>
  <si>
    <t>限地价,限房价</t>
  </si>
  <si>
    <t>2019-04-11</t>
  </si>
  <si>
    <t>2019-05-06</t>
  </si>
  <si>
    <t>2019-05-15</t>
  </si>
  <si>
    <t>中国铁建大桥工程局集团有限公司</t>
  </si>
  <si>
    <t>天津港保税区空港区域</t>
  </si>
  <si>
    <t>津滨保(挂)2018-23号</t>
  </si>
  <si>
    <t>2019-03-29</t>
  </si>
  <si>
    <t>2019-04-22</t>
  </si>
  <si>
    <t>2019-05-08</t>
  </si>
  <si>
    <t>天津鑫驰房地产信息咨询有限公司</t>
  </si>
  <si>
    <t>开发区东区</t>
  </si>
  <si>
    <t>津滨开(挂)2018-3号</t>
  </si>
  <si>
    <t>A地块:城镇住宅用地;B地块:城镇住宅用地</t>
  </si>
  <si>
    <t>a地块:＞1.0且≤2.5;b地块:＞1.0且≤2.5</t>
  </si>
  <si>
    <t>A地块:≤35%;B地块:≤35%</t>
  </si>
  <si>
    <t>A地块:80m;B地块:80m</t>
  </si>
  <si>
    <t>2019-04-04</t>
  </si>
  <si>
    <t>天津泰津房地产开发有限公司</t>
  </si>
  <si>
    <t>滨海中关村科技园(原北塘经济区)</t>
  </si>
  <si>
    <t>津滨北塘(挂)2018-1号</t>
  </si>
  <si>
    <t>A地块:城镇住宅、商服、科教;B地块:城镇住宅、商服;C地块:商服</t>
  </si>
  <si>
    <t>a地块＞1.0且≤1.2;b地块＞1.0且≤1.5;c地块≤2.5</t>
  </si>
  <si>
    <t>A地块≤40%;B地块≤40%;C地块≤50%</t>
  </si>
  <si>
    <t>A地块≤75m;B地块≤75m;C地块≤75m</t>
  </si>
  <si>
    <t>2019-04-08</t>
  </si>
  <si>
    <t>2019-04-28</t>
  </si>
  <si>
    <t>天津碧行房地产开发有限公司</t>
  </si>
  <si>
    <t>A地块:城镇住宅70年、商服40年、科教50*年;B地块:城镇住宅70年、商服40年;C地块:商服40年</t>
  </si>
  <si>
    <t>滨海高新区滨海科技园内</t>
  </si>
  <si>
    <t>津滨高(挂)2019-1号</t>
  </si>
  <si>
    <t>＞1.0且≤1.8</t>
  </si>
  <si>
    <t>2019-03-19</t>
  </si>
  <si>
    <t>2019-04-17</t>
  </si>
  <si>
    <t>天津国能生活服务有限责任公司</t>
  </si>
  <si>
    <t>塘沽新城镇地区</t>
  </si>
  <si>
    <t>津滨塘(挂)2018-7号</t>
  </si>
  <si>
    <t>2019-03-08</t>
  </si>
  <si>
    <t>2019-04-10</t>
  </si>
  <si>
    <t>天津盛置房地产开发有限公司</t>
  </si>
  <si>
    <t>开发区中心商务区片大沽区域</t>
  </si>
  <si>
    <t>津滨开(挂)2019-1号</t>
  </si>
  <si>
    <t>A地块:城镇住宅、商服用地;B地块:城镇住宅、商服用地;C地块:城镇住宅、商服用地;D地块:城镇住宅、商服用地;E地块:商服用地</t>
  </si>
  <si>
    <t>a地块:＞1.0且≤1.8;b地块:＞1.0且≤2.0;c地块:＞1.0且≤2.0;d地块:＞1.0且≤1.8;e地块:≤2.8</t>
  </si>
  <si>
    <t>A地块:≤30%;B地块:≤30%;C地块:≤30%;D地块:≤30%;E地块:≤35%</t>
  </si>
  <si>
    <t>A地块:≤50m;B地块:≤80m;C地块:≤80m;D地块:≤50m;E地块:≤50m</t>
  </si>
  <si>
    <t>2019-03-11</t>
  </si>
  <si>
    <t>2019-04-01</t>
  </si>
  <si>
    <t>天津弘益房地产开发有限公司</t>
  </si>
  <si>
    <t>天津未来科技城京津合作示范区</t>
  </si>
  <si>
    <t>津滨高(挂)2018-9号</t>
  </si>
  <si>
    <t>2019-02-26</t>
  </si>
  <si>
    <t>2019-03-18</t>
  </si>
  <si>
    <t>2019-03-27</t>
  </si>
  <si>
    <t>天津天科置业有限公司</t>
  </si>
  <si>
    <t>滨海高新区海洋科技园</t>
  </si>
  <si>
    <t>津滨高(挂)2018-17号</t>
  </si>
  <si>
    <t>A用地:城镇住宅、商服用地;B用地:教育用地(幼儿园)</t>
  </si>
  <si>
    <t>a用地＞1.0且≤2.2;b用地≤1.0</t>
  </si>
  <si>
    <t>A用地≤22%;B用地≤35%</t>
  </si>
  <si>
    <t>A用地≤100米;B用地≤24米</t>
  </si>
  <si>
    <t>2019-02-15</t>
  </si>
  <si>
    <t>2019-03-20</t>
  </si>
  <si>
    <t>深圳市振业(集团)股份有限公司</t>
  </si>
  <si>
    <t>A用地:城镇住宅70年、商服40年;B用地:50年</t>
  </si>
  <si>
    <t>津滨高(挂)2018-6号</t>
  </si>
  <si>
    <t>A地:城镇住宅、商服用地;B地:商服用地</t>
  </si>
  <si>
    <t>a地＞1.0且≤2.1;b地≤1.0</t>
  </si>
  <si>
    <t>A地≤20%;B地≤35%</t>
  </si>
  <si>
    <t>A地≤90米;B地≤30米</t>
  </si>
  <si>
    <t>2019-01-28</t>
  </si>
  <si>
    <t>2019-02-18</t>
  </si>
  <si>
    <t>2019-02-27</t>
  </si>
  <si>
    <t>新城控股集团股份有限公司</t>
  </si>
  <si>
    <t>A地:城镇住宅70年、商服40年;B地:40年</t>
  </si>
  <si>
    <t>津滨高(挂)2018-5号</t>
  </si>
  <si>
    <t>A地:城镇住宅、商服用地;B地:教育用地(幼儿园)</t>
  </si>
  <si>
    <t>a地＞1.0且≤1.9;b地≤0.8</t>
  </si>
  <si>
    <t>A地≤20%;B地≤30%</t>
  </si>
  <si>
    <t>A地≤90米;B地≤24米</t>
  </si>
  <si>
    <t>A地:城镇住宅70年、商服40年;B地:50年</t>
  </si>
  <si>
    <t>滨海新区塘沽新河区域</t>
  </si>
  <si>
    <t>津滨高(挂)2018-2号</t>
  </si>
  <si>
    <t>＞1.0且≤2.6</t>
  </si>
  <si>
    <t>≤100米</t>
  </si>
  <si>
    <t>定向安置房,</t>
  </si>
  <si>
    <t>含租赁用地,含保障房用地</t>
  </si>
  <si>
    <t>滨海置地有限公司</t>
  </si>
  <si>
    <t>津滨高(挂)2018-18号</t>
  </si>
  <si>
    <t>＞1.0且≤2.2</t>
  </si>
  <si>
    <t>津滨塘(挂)2018-6号</t>
  </si>
  <si>
    <t>天津旭明房地产开发有限公司</t>
  </si>
  <si>
    <t>津滨高(挂)2018-4号</t>
  </si>
  <si>
    <t>滨海新区胡家园街新塘组团起步区</t>
  </si>
  <si>
    <t>津滨塘(挂)2018-11号</t>
  </si>
  <si>
    <t>天津新城亿隆房地产开发有限公司</t>
  </si>
  <si>
    <t>津滨高(挂)2018-15号</t>
  </si>
  <si>
    <t>a地:＞1.0且≤1.5;b地:≤0.8</t>
  </si>
  <si>
    <t>A地:≤25%;B地:≤35%</t>
  </si>
  <si>
    <t>2018-12-29</t>
  </si>
  <si>
    <t>2019-01-21</t>
  </si>
  <si>
    <t>2019-01-30</t>
  </si>
  <si>
    <t>首金天元(天津)置业发展有限公司</t>
  </si>
  <si>
    <t>津滨高(挂)2018-11号</t>
  </si>
  <si>
    <t>首金天科(天津)置业发展有限公司</t>
  </si>
  <si>
    <t>津滨高(挂)2018-14号</t>
  </si>
  <si>
    <t>a地:＞1.0且≤1.3;b地:≤0.8</t>
  </si>
  <si>
    <t>津滨高(挂)2018-10号</t>
  </si>
  <si>
    <t>首金天新(天津)置业发展有限公司</t>
  </si>
  <si>
    <t>津滨高(挂)2018-12号</t>
  </si>
  <si>
    <t>津滨高(挂)2018-16号</t>
  </si>
  <si>
    <t>＞1.0且≤1.4</t>
  </si>
  <si>
    <t>津滨高(挂)2018-13号</t>
  </si>
  <si>
    <t>生态城南部片区</t>
  </si>
  <si>
    <t>津滨生转让(挂)2018-4号</t>
  </si>
  <si>
    <t>＜0.8</t>
  </si>
  <si>
    <t>&amp;lt;30%</t>
  </si>
  <si>
    <t>开工中</t>
  </si>
  <si>
    <t>2018-11-20</t>
  </si>
  <si>
    <t>2018-12-10</t>
  </si>
  <si>
    <t>2018-12-19</t>
  </si>
  <si>
    <t>吉宝鸿远(天津生态城)房地产开发有限公司</t>
  </si>
  <si>
    <t>津滨保(挂)2018-18号</t>
  </si>
  <si>
    <t>≤1.5</t>
  </si>
  <si>
    <t>≤50%</t>
  </si>
  <si>
    <t>≤32米</t>
  </si>
  <si>
    <t>2018-09-30</t>
  </si>
  <si>
    <t>2018-10-22</t>
  </si>
  <si>
    <t>2018-10-31</t>
  </si>
  <si>
    <t>天津保税区投资有限公司</t>
  </si>
  <si>
    <t>40年</t>
  </si>
  <si>
    <t>天津港保税区临港区域</t>
  </si>
  <si>
    <t>津滨保(挂)2018-12号</t>
  </si>
  <si>
    <t>80米</t>
  </si>
  <si>
    <t>限地价,竞自持,含租赁用地,含人才住房</t>
  </si>
  <si>
    <t>2018-09-14</t>
  </si>
  <si>
    <t>2018-10-04</t>
  </si>
  <si>
    <t>2018-10-17</t>
  </si>
  <si>
    <t>天津临港经济区置地投资发展有限公司</t>
  </si>
  <si>
    <t>津滨保(挂)2018-9号</t>
  </si>
  <si>
    <t>城镇住宅用地、商服用地、街巷用地</t>
  </si>
  <si>
    <t>a地＞1.0且≤1.5;b地≤1.0</t>
  </si>
  <si>
    <t>A地≤41米;B地≤32米</t>
  </si>
  <si>
    <t>2018-09-18</t>
  </si>
  <si>
    <t>2018-10-08</t>
  </si>
  <si>
    <t>城镇住宅用地70年、商服用地40年、街巷用地40年</t>
  </si>
  <si>
    <t>滨海新区大港港东新城海景六路以东、港东四道以北</t>
  </si>
  <si>
    <t>津滨大(挂)2017-7号</t>
  </si>
  <si>
    <t>≤18米</t>
  </si>
  <si>
    <t>2018-08-08</t>
  </si>
  <si>
    <t>2018-08-29</t>
  </si>
  <si>
    <t>2018-09-12</t>
  </si>
  <si>
    <t>天津融拓房地产开发有限公司</t>
  </si>
  <si>
    <t>滨海新区大港港东新城港东八道以南、海景四路以东</t>
  </si>
  <si>
    <t>津滨大(挂)2017-6号</t>
  </si>
  <si>
    <t>天津滨海新区大港城市建设综合开发公司</t>
  </si>
  <si>
    <t>滨海新区大港港东新城港东三道以南、海景四路以东</t>
  </si>
  <si>
    <t>津滨大(挂)2017-4号</t>
  </si>
  <si>
    <t>滨海新区南片区港东新城海景二路以西、港东九道以北</t>
  </si>
  <si>
    <t>津滨大(挂)2017-9号</t>
  </si>
  <si>
    <t>＞1.0且≤1.2</t>
  </si>
  <si>
    <t>≤50米</t>
  </si>
  <si>
    <t>天津市大港房地产开发公司</t>
  </si>
  <si>
    <t>津滨生转让(挂)2018-3号</t>
  </si>
  <si>
    <t>＞1.0且＜2.5</t>
  </si>
  <si>
    <t>&amp;lt;25%</t>
  </si>
  <si>
    <t>100米</t>
  </si>
  <si>
    <t>2018-08-03</t>
  </si>
  <si>
    <t>2018-08-27</t>
  </si>
  <si>
    <t>2018-09-05</t>
  </si>
  <si>
    <t>天津贻成实业集团有限公司</t>
  </si>
  <si>
    <t>津滨生转让(挂)2018-2号</t>
  </si>
  <si>
    <t>35米</t>
  </si>
  <si>
    <t>2018-06-29</t>
  </si>
  <si>
    <t>2018-07-23</t>
  </si>
  <si>
    <t>2018-08-01</t>
  </si>
  <si>
    <t>世茂(上海灿骁企业管理有限公司)</t>
  </si>
  <si>
    <t>中新天津生态城(原旅游区区域内)</t>
  </si>
  <si>
    <t>津滨生(挂)2018-7号</t>
  </si>
  <si>
    <t>城镇住宅、商服、科教</t>
  </si>
  <si>
    <t>a地块＞1.0且≤1.6;b地块0.6-0.8</t>
  </si>
  <si>
    <t>A地块≤30%;B地≤30%</t>
  </si>
  <si>
    <t>A地块商业≤100米;居住≤60米;B地块≤40米</t>
  </si>
  <si>
    <t>2018-06-26</t>
  </si>
  <si>
    <t>2018-07-16</t>
  </si>
  <si>
    <t>2018-07-25</t>
  </si>
  <si>
    <t>中核房地产开发有限公司</t>
  </si>
  <si>
    <t>城镇住宅70年、商服40年、科教50年</t>
  </si>
  <si>
    <t>津滨生(挂)2017-4号</t>
  </si>
  <si>
    <t>城镇住宅、商服</t>
  </si>
  <si>
    <t>a地块＞1.0且≤1.2;b地块＞1.0且≤1.2;c地块＞1.0且≤1.2;d地块＞1.0且≤1.01;e地块＞1.0且≤1.2;f地块≤1.0</t>
  </si>
  <si>
    <t>A地块≤35%;B地块≤35%;C地块≤35%;D地块≤35%;E地块≤35%;F地块≤50%</t>
  </si>
  <si>
    <t>A地块≤60米;B地块≤60米;C地块≤60米;D地块≤35米;E地块≤60米;F地块≤50米</t>
  </si>
  <si>
    <t>2018-06-08</t>
  </si>
  <si>
    <t>2018-06-28</t>
  </si>
  <si>
    <t>2018-07-11</t>
  </si>
  <si>
    <t>红星美凯龙(天津舒泰企业管理有限公司)</t>
  </si>
  <si>
    <t>津滨生(挂)2018-3号</t>
  </si>
  <si>
    <t>≤35米</t>
  </si>
  <si>
    <t>限地价,竞自持,含人才住房</t>
  </si>
  <si>
    <t>2018-04-24</t>
  </si>
  <si>
    <t>2018-05-14</t>
  </si>
  <si>
    <t>2018-05-23</t>
  </si>
  <si>
    <t>北科泰达投资发展有限公司</t>
  </si>
  <si>
    <t>天津市滨海新区生态城</t>
    <phoneticPr fontId="3" type="noConversion"/>
  </si>
  <si>
    <t>吴薇</t>
  </si>
  <si>
    <t>郑燚</t>
  </si>
  <si>
    <t>天津海滨投资发展有限公司</t>
    <phoneticPr fontId="6" type="noConversion"/>
  </si>
  <si>
    <t>中国信达资产管理股份有限公司北京市分公司</t>
    <phoneticPr fontId="6" type="noConversion"/>
  </si>
  <si>
    <t>抵押</t>
  </si>
  <si>
    <t>房地产抵押价值</t>
  </si>
  <si>
    <t>其他：</t>
  </si>
  <si>
    <t>天津市</t>
    <phoneticPr fontId="6" type="noConversion"/>
  </si>
  <si>
    <t>企业</t>
  </si>
  <si>
    <t>出让</t>
  </si>
  <si>
    <t>《不动产权证书》</t>
  </si>
  <si>
    <t>是</t>
  </si>
  <si>
    <t>居住项目</t>
  </si>
  <si>
    <t>土地</t>
  </si>
  <si>
    <t>通路</t>
  </si>
  <si>
    <t>通电</t>
  </si>
  <si>
    <t>通上水</t>
  </si>
  <si>
    <t>住宅</t>
  </si>
  <si>
    <t>住宅</t>
    <phoneticPr fontId="31" type="noConversion"/>
  </si>
  <si>
    <t>住宅、商业</t>
    <phoneticPr fontId="31" type="noConversion"/>
  </si>
  <si>
    <t>地上</t>
  </si>
  <si>
    <t>洋房</t>
  </si>
  <si>
    <t>高层</t>
    <phoneticPr fontId="16" type="noConversion"/>
  </si>
  <si>
    <t>出让合同容积率</t>
    <phoneticPr fontId="3" type="noConversion"/>
  </si>
  <si>
    <t>总建筑面积</t>
    <phoneticPr fontId="3" type="noConversion"/>
  </si>
  <si>
    <t>洋房住宅</t>
  </si>
  <si>
    <t>洋房住宅</t>
    <phoneticPr fontId="7" type="noConversion"/>
  </si>
  <si>
    <t>商业</t>
    <phoneticPr fontId="7" type="noConversion"/>
  </si>
  <si>
    <t>收益法</t>
  </si>
  <si>
    <t>较差</t>
  </si>
  <si>
    <t>较差</t>
    <phoneticPr fontId="41" type="noConversion"/>
  </si>
  <si>
    <t>差</t>
  </si>
  <si>
    <t>差</t>
    <phoneticPr fontId="41" type="noConversion"/>
  </si>
  <si>
    <t>七通</t>
  </si>
  <si>
    <t>七通</t>
    <phoneticPr fontId="25" type="noConversion"/>
  </si>
  <si>
    <t>一般</t>
  </si>
  <si>
    <t>一般</t>
    <phoneticPr fontId="41" type="noConversion"/>
  </si>
  <si>
    <t>一般</t>
    <phoneticPr fontId="25" type="noConversion"/>
  </si>
  <si>
    <t>正常</t>
  </si>
  <si>
    <t>住宅、商业</t>
  </si>
  <si>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</si>
  <si>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</si>
  <si>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</si>
  <si>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</si>
  <si>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</si>
  <si>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</si>
  <si>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</si>
  <si>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</si>
  <si>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</si>
  <si>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</si>
  <si>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</si>
  <si>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</si>
  <si>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</si>
  <si>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</si>
  <si>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规则</t>
  </si>
  <si>
    <t>规则</t>
    <phoneticPr fontId="31" type="noConversion"/>
  </si>
  <si>
    <t>较规则</t>
    <phoneticPr fontId="31" type="noConversion"/>
  </si>
  <si>
    <t>较不规则</t>
    <phoneticPr fontId="31" type="noConversion"/>
  </si>
  <si>
    <t>不规则</t>
    <phoneticPr fontId="31" type="noConversion"/>
  </si>
  <si>
    <t>高速路</t>
    <phoneticPr fontId="31" type="noConversion"/>
  </si>
  <si>
    <t>快速路</t>
    <phoneticPr fontId="31" type="noConversion"/>
  </si>
  <si>
    <t>城市主干道</t>
    <phoneticPr fontId="31" type="noConversion"/>
  </si>
  <si>
    <t>城市次干道</t>
    <phoneticPr fontId="31" type="noConversion"/>
  </si>
  <si>
    <t>城市支路</t>
  </si>
  <si>
    <t>城市支路</t>
    <phoneticPr fontId="31" type="noConversion"/>
  </si>
  <si>
    <t>土地（套用方法）</t>
  </si>
  <si>
    <t>押一</t>
  </si>
  <si>
    <t>按租金收入计税</t>
  </si>
  <si>
    <t>钢混</t>
  </si>
  <si>
    <t>非生产用房</t>
  </si>
  <si>
    <t>高层</t>
  </si>
  <si>
    <t>高层</t>
    <phoneticPr fontId="25" type="noConversion"/>
  </si>
  <si>
    <t>小高层</t>
  </si>
  <si>
    <t>小高层</t>
    <phoneticPr fontId="25" type="noConversion"/>
  </si>
  <si>
    <t>洋房</t>
    <phoneticPr fontId="25" type="noConversion"/>
  </si>
  <si>
    <t>滨旅景熙</t>
    <phoneticPr fontId="3" type="noConversion"/>
  </si>
  <si>
    <t>住宅</t>
    <phoneticPr fontId="25" type="noConversion"/>
  </si>
  <si>
    <t>60-70（含）</t>
  </si>
  <si>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</si>
  <si>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</si>
  <si>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</si>
  <si>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</si>
  <si>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</si>
  <si>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</si>
  <si>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</si>
  <si>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</si>
  <si>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平层</t>
  </si>
  <si>
    <t>平层</t>
    <phoneticPr fontId="25" type="noConversion"/>
  </si>
  <si>
    <t>跃层</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</si>
  <si>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</si>
  <si>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</si>
  <si>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</si>
  <si>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</si>
  <si>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</si>
  <si>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钢混</t>
    <phoneticPr fontId="25" type="noConversion"/>
  </si>
  <si>
    <t>假设开发法</t>
  </si>
  <si>
    <t>高层住宅</t>
  </si>
  <si>
    <t>高层住宅</t>
    <phoneticPr fontId="7" type="noConversion"/>
  </si>
  <si>
    <t>别墅住宅</t>
  </si>
  <si>
    <t>别墅住宅</t>
    <phoneticPr fontId="7" type="noConversion"/>
  </si>
  <si>
    <t>力高阳光海岸</t>
    <phoneticPr fontId="3" type="noConversion"/>
  </si>
  <si>
    <t>朗诗中福翡翠澜湾</t>
    <phoneticPr fontId="3" type="noConversion"/>
  </si>
  <si>
    <t>省会市名称</t>
  </si>
  <si>
    <t>建筑型式</t>
  </si>
  <si>
    <t>说明</t>
  </si>
  <si>
    <t>多层</t>
  </si>
  <si>
    <r>
      <rPr>
        <sz val="10"/>
        <rFont val="宋体"/>
        <family val="3"/>
        <charset val="134"/>
      </rPr>
      <t>天津</t>
    </r>
  </si>
  <si>
    <t>1842</t>
  </si>
  <si>
    <t>2388</t>
  </si>
  <si>
    <t>2582</t>
  </si>
  <si>
    <r>
      <rPr>
        <sz val="10"/>
        <rFont val="宋体"/>
        <family val="3"/>
        <charset val="134"/>
      </rPr>
      <t>以上工程材料价格依据</t>
    </r>
    <r>
      <rPr>
        <sz val="10"/>
        <rFont val="Arial"/>
        <family val="2"/>
      </rPr>
      <t>2016</t>
    </r>
    <r>
      <rPr>
        <sz val="10"/>
        <rFont val="宋体"/>
        <family val="3"/>
        <charset val="134"/>
      </rPr>
      <t>年《天津工程造价信息》</t>
    </r>
    <r>
      <rPr>
        <sz val="10"/>
        <rFont val="Arial"/>
        <family val="2"/>
      </rPr>
      <t>10</t>
    </r>
    <r>
      <rPr>
        <sz val="10"/>
        <rFont val="宋体"/>
        <family val="3"/>
        <charset val="134"/>
      </rPr>
      <t>月份综合价格计算。其中，</t>
    </r>
    <r>
      <rPr>
        <sz val="10"/>
        <rFont val="Arial"/>
        <family val="2"/>
      </rPr>
      <t>C30</t>
    </r>
    <r>
      <rPr>
        <sz val="10"/>
        <rFont val="宋体"/>
        <family val="3"/>
        <charset val="134"/>
      </rPr>
      <t>混凝土价格为</t>
    </r>
    <r>
      <rPr>
        <sz val="10"/>
        <rFont val="Arial"/>
        <family val="2"/>
      </rPr>
      <t>378</t>
    </r>
    <r>
      <rPr>
        <sz val="10"/>
        <rFont val="宋体"/>
        <family val="3"/>
        <charset val="134"/>
      </rPr>
      <t>元</t>
    </r>
    <r>
      <rPr>
        <sz val="10"/>
        <rFont val="Arial"/>
        <family val="2"/>
      </rPr>
      <t>/m3</t>
    </r>
    <r>
      <rPr>
        <sz val="10"/>
        <rFont val="宋体"/>
        <family val="3"/>
        <charset val="134"/>
      </rPr>
      <t>。钢筋</t>
    </r>
    <r>
      <rPr>
        <sz val="10"/>
        <rFont val="Arial"/>
        <family val="2"/>
      </rPr>
      <t>D10</t>
    </r>
    <r>
      <rPr>
        <sz val="10"/>
        <rFont val="宋体"/>
        <family val="3"/>
        <charset val="134"/>
      </rPr>
      <t>以内价格</t>
    </r>
    <r>
      <rPr>
        <sz val="10"/>
        <rFont val="Arial"/>
        <family val="2"/>
      </rPr>
      <t>2801.02</t>
    </r>
    <r>
      <rPr>
        <sz val="10"/>
        <rFont val="宋体"/>
        <family val="3"/>
        <charset val="134"/>
      </rPr>
      <t>元</t>
    </r>
    <r>
      <rPr>
        <sz val="10"/>
        <rFont val="Arial"/>
        <family val="2"/>
      </rPr>
      <t>/t</t>
    </r>
    <r>
      <rPr>
        <sz val="10"/>
        <rFont val="宋体"/>
        <family val="3"/>
        <charset val="134"/>
      </rPr>
      <t>，钢筋</t>
    </r>
    <r>
      <rPr>
        <sz val="10"/>
        <rFont val="Arial"/>
        <family val="2"/>
      </rPr>
      <t>D10</t>
    </r>
    <r>
      <rPr>
        <sz val="10"/>
        <rFont val="宋体"/>
        <family val="3"/>
        <charset val="134"/>
      </rPr>
      <t>以外价格</t>
    </r>
    <r>
      <rPr>
        <sz val="10"/>
        <rFont val="Arial"/>
        <family val="2"/>
      </rPr>
      <t>2750.70</t>
    </r>
    <r>
      <rPr>
        <sz val="10"/>
        <rFont val="宋体"/>
        <family val="3"/>
        <charset val="134"/>
      </rPr>
      <t>元</t>
    </r>
    <r>
      <rPr>
        <sz val="10"/>
        <rFont val="Arial"/>
        <family val="2"/>
      </rPr>
      <t>/t</t>
    </r>
    <r>
      <rPr>
        <sz val="10"/>
        <rFont val="宋体"/>
        <family val="3"/>
        <charset val="134"/>
      </rPr>
      <t>。
人工价格：一类工</t>
    </r>
    <r>
      <rPr>
        <sz val="10"/>
        <rFont val="Arial"/>
        <family val="2"/>
      </rPr>
      <t>141.12</t>
    </r>
    <r>
      <rPr>
        <sz val="10"/>
        <rFont val="宋体"/>
        <family val="3"/>
        <charset val="134"/>
      </rPr>
      <t>元</t>
    </r>
    <r>
      <rPr>
        <sz val="10"/>
        <rFont val="Arial"/>
        <family val="2"/>
      </rPr>
      <t>/</t>
    </r>
    <r>
      <rPr>
        <sz val="10"/>
        <rFont val="宋体"/>
        <family val="3"/>
        <charset val="134"/>
      </rPr>
      <t>工日，二类工</t>
    </r>
    <r>
      <rPr>
        <sz val="10"/>
        <rFont val="Arial"/>
        <family val="2"/>
      </rPr>
      <t>113.19</t>
    </r>
    <r>
      <rPr>
        <sz val="10"/>
        <rFont val="宋体"/>
        <family val="3"/>
        <charset val="134"/>
      </rPr>
      <t>元</t>
    </r>
    <r>
      <rPr>
        <sz val="10"/>
        <rFont val="Arial"/>
        <family val="2"/>
      </rPr>
      <t>/</t>
    </r>
    <r>
      <rPr>
        <sz val="10"/>
        <rFont val="宋体"/>
        <family val="3"/>
        <charset val="134"/>
      </rPr>
      <t>工日</t>
    </r>
    <r>
      <rPr>
        <sz val="10"/>
        <rFont val="Arial"/>
        <family val="2"/>
      </rPr>
      <t xml:space="preserve">, </t>
    </r>
    <r>
      <rPr>
        <sz val="10"/>
        <rFont val="宋体"/>
        <family val="3"/>
        <charset val="134"/>
      </rPr>
      <t>三类工</t>
    </r>
    <r>
      <rPr>
        <sz val="10"/>
        <rFont val="Arial"/>
        <family val="2"/>
      </rPr>
      <t>89.67</t>
    </r>
    <r>
      <rPr>
        <sz val="10"/>
        <rFont val="宋体"/>
        <family val="3"/>
        <charset val="134"/>
      </rPr>
      <t>元</t>
    </r>
    <r>
      <rPr>
        <sz val="10"/>
        <rFont val="Arial"/>
        <family val="2"/>
      </rPr>
      <t>/</t>
    </r>
    <r>
      <rPr>
        <sz val="10"/>
        <rFont val="宋体"/>
        <family val="3"/>
        <charset val="134"/>
      </rPr>
      <t>工日
多层建筑选用的工程</t>
    </r>
    <r>
      <rPr>
        <sz val="10"/>
        <rFont val="Arial"/>
        <family val="2"/>
      </rPr>
      <t xml:space="preserve"> </t>
    </r>
    <r>
      <rPr>
        <sz val="10"/>
        <rFont val="宋体"/>
        <family val="3"/>
        <charset val="134"/>
      </rPr>
      <t>：建筑面积</t>
    </r>
    <r>
      <rPr>
        <sz val="10"/>
        <rFont val="Arial"/>
        <family val="2"/>
      </rPr>
      <t>3357m2</t>
    </r>
    <r>
      <rPr>
        <sz val="10"/>
        <rFont val="宋体"/>
        <family val="3"/>
        <charset val="134"/>
      </rPr>
      <t>，檐高</t>
    </r>
    <r>
      <rPr>
        <sz val="10"/>
        <rFont val="Arial"/>
        <family val="2"/>
      </rPr>
      <t xml:space="preserve">18.50m, </t>
    </r>
    <r>
      <rPr>
        <sz val="10"/>
        <rFont val="宋体"/>
        <family val="3"/>
        <charset val="134"/>
      </rPr>
      <t>砖混结构，层数</t>
    </r>
    <r>
      <rPr>
        <sz val="10"/>
        <rFont val="Arial"/>
        <family val="2"/>
      </rPr>
      <t>6</t>
    </r>
    <r>
      <rPr>
        <sz val="10"/>
        <rFont val="宋体"/>
        <family val="3"/>
        <charset val="134"/>
      </rPr>
      <t>层，砌体采用页岩多孔砖。地面为水泥砂浆地面，内墙面抹混合砂浆、刮腻子，外墙面贴</t>
    </r>
    <r>
      <rPr>
        <sz val="10"/>
        <rFont val="Arial"/>
        <family val="2"/>
      </rPr>
      <t>50</t>
    </r>
    <r>
      <rPr>
        <sz val="10"/>
        <rFont val="宋体"/>
        <family val="3"/>
        <charset val="134"/>
      </rPr>
      <t>厚挤塑保温板，局部贴</t>
    </r>
    <r>
      <rPr>
        <sz val="10"/>
        <rFont val="Arial"/>
        <family val="2"/>
      </rPr>
      <t>70</t>
    </r>
    <r>
      <rPr>
        <sz val="10"/>
        <rFont val="宋体"/>
        <family val="3"/>
        <charset val="134"/>
      </rPr>
      <t>厚挤塑保温板。门窗采用断桥铝合金中空玻璃门窗。
小高层建筑选用的工程：建筑面积</t>
    </r>
    <r>
      <rPr>
        <sz val="10"/>
        <rFont val="Arial"/>
        <family val="2"/>
      </rPr>
      <t>4785m2</t>
    </r>
    <r>
      <rPr>
        <sz val="10"/>
        <rFont val="宋体"/>
        <family val="3"/>
        <charset val="134"/>
      </rPr>
      <t>，檐高</t>
    </r>
    <r>
      <rPr>
        <sz val="10"/>
        <rFont val="Arial"/>
        <family val="2"/>
      </rPr>
      <t xml:space="preserve">36.9m, </t>
    </r>
    <r>
      <rPr>
        <sz val="10"/>
        <rFont val="宋体"/>
        <family val="3"/>
        <charset val="134"/>
      </rPr>
      <t>框架结构，地下</t>
    </r>
    <r>
      <rPr>
        <sz val="10"/>
        <rFont val="Arial"/>
        <family val="2"/>
      </rPr>
      <t>1</t>
    </r>
    <r>
      <rPr>
        <sz val="10"/>
        <rFont val="宋体"/>
        <family val="3"/>
        <charset val="134"/>
      </rPr>
      <t>层，地上</t>
    </r>
    <r>
      <rPr>
        <sz val="10"/>
        <rFont val="Arial"/>
        <family val="2"/>
      </rPr>
      <t>11</t>
    </r>
    <r>
      <rPr>
        <sz val="10"/>
        <rFont val="宋体"/>
        <family val="3"/>
        <charset val="134"/>
      </rPr>
      <t>层。地面为水泥砂浆地面，内墙面抹混合砂浆、刷涂料。外墙面采用聚苯乙烯泡沫板墙体保温、</t>
    </r>
    <r>
      <rPr>
        <sz val="10"/>
        <rFont val="Arial"/>
        <family val="2"/>
      </rPr>
      <t>FTC</t>
    </r>
    <r>
      <rPr>
        <sz val="10"/>
        <rFont val="宋体"/>
        <family val="3"/>
        <charset val="134"/>
      </rPr>
      <t>保温砂浆、刷涂料。门窗采用断桥铝合金中空玻璃门窗。
高层建筑选用的工程：建筑面积</t>
    </r>
    <r>
      <rPr>
        <sz val="10"/>
        <rFont val="Arial"/>
        <family val="2"/>
      </rPr>
      <t>13860m2</t>
    </r>
    <r>
      <rPr>
        <sz val="10"/>
        <rFont val="宋体"/>
        <family val="3"/>
        <charset val="134"/>
      </rPr>
      <t>，檐高</t>
    </r>
    <r>
      <rPr>
        <sz val="10"/>
        <rFont val="Arial"/>
        <family val="2"/>
      </rPr>
      <t xml:space="preserve">79.80m, </t>
    </r>
    <r>
      <rPr>
        <sz val="10"/>
        <rFont val="宋体"/>
        <family val="3"/>
        <charset val="134"/>
      </rPr>
      <t>框架结构，地下</t>
    </r>
    <r>
      <rPr>
        <sz val="10"/>
        <rFont val="Arial"/>
        <family val="2"/>
      </rPr>
      <t>1</t>
    </r>
    <r>
      <rPr>
        <sz val="10"/>
        <rFont val="宋体"/>
        <family val="3"/>
        <charset val="134"/>
      </rPr>
      <t>层，地上</t>
    </r>
    <r>
      <rPr>
        <sz val="10"/>
        <rFont val="Arial"/>
        <family val="2"/>
      </rPr>
      <t>26</t>
    </r>
    <r>
      <rPr>
        <sz val="10"/>
        <rFont val="宋体"/>
        <family val="3"/>
        <charset val="134"/>
      </rPr>
      <t>层。地面为水泥砂浆地面，内墙面抹</t>
    </r>
    <r>
      <rPr>
        <sz val="10"/>
        <rFont val="Arial"/>
        <family val="2"/>
      </rPr>
      <t>FTC</t>
    </r>
    <r>
      <rPr>
        <sz val="10"/>
        <rFont val="宋体"/>
        <family val="3"/>
        <charset val="134"/>
      </rPr>
      <t xml:space="preserve">保温砂浆，刷涂料，外墙聚苯保温板保温，抹胶粉颗粒保温灰，外墙面分别采用刷涂料、干挂大理石做法。门窗采用断桥铝合金中空玻璃门窗。
</t>
    </r>
  </si>
  <si>
    <t>售价</t>
  </si>
  <si>
    <t>商业</t>
    <phoneticPr fontId="3" type="noConversion"/>
  </si>
  <si>
    <t>30-40（含）</t>
  </si>
  <si>
    <t>较大</t>
    <phoneticPr fontId="3" type="noConversion"/>
  </si>
  <si>
    <t>一般</t>
    <phoneticPr fontId="3" type="noConversion"/>
  </si>
  <si>
    <t>较小</t>
    <phoneticPr fontId="3" type="noConversion"/>
  </si>
  <si>
    <t>小</t>
    <phoneticPr fontId="3" type="noConversion"/>
  </si>
  <si>
    <r>
      <t>1</t>
    </r>
    <r>
      <rPr>
        <sz val="11"/>
        <color indexed="8"/>
        <rFont val="宋体"/>
        <family val="3"/>
        <charset val="134"/>
      </rPr>
      <t>至</t>
    </r>
    <r>
      <rPr>
        <sz val="11"/>
        <color indexed="8"/>
        <rFont val="Arial"/>
        <family val="2"/>
      </rPr>
      <t>3</t>
    </r>
    <phoneticPr fontId="3" type="noConversion"/>
  </si>
  <si>
    <t>独栋商业</t>
    <phoneticPr fontId="3" type="noConversion"/>
  </si>
  <si>
    <t>独栋可分割商铺</t>
    <phoneticPr fontId="3" type="noConversion"/>
  </si>
  <si>
    <t>钢混</t>
    <phoneticPr fontId="3" type="noConversion"/>
  </si>
  <si>
    <t>精装修</t>
    <phoneticPr fontId="3" type="noConversion"/>
  </si>
  <si>
    <t>六通</t>
    <phoneticPr fontId="3" type="noConversion"/>
  </si>
  <si>
    <t>可餐饮</t>
    <phoneticPr fontId="3" type="noConversion"/>
  </si>
  <si>
    <t>标准层高</t>
    <phoneticPr fontId="3" type="noConversion"/>
  </si>
  <si>
    <t>毛坯</t>
    <phoneticPr fontId="3" type="noConversion"/>
  </si>
  <si>
    <t>可餐饮</t>
  </si>
  <si>
    <t>独栋可分割商铺</t>
  </si>
  <si>
    <t>较小</t>
  </si>
  <si>
    <t>较大</t>
  </si>
  <si>
    <t>中加生态示范区</t>
    <phoneticPr fontId="3" type="noConversion"/>
  </si>
  <si>
    <t>滨海红星天铂叠墅</t>
    <phoneticPr fontId="3" type="noConversion"/>
  </si>
  <si>
    <t>独栋别墅</t>
    <phoneticPr fontId="25" type="noConversion"/>
  </si>
  <si>
    <t>双拼别墅</t>
  </si>
  <si>
    <t>双拼别墅</t>
    <phoneticPr fontId="25" type="noConversion"/>
  </si>
  <si>
    <t>联排别墅</t>
  </si>
  <si>
    <t>联排别墅</t>
    <phoneticPr fontId="25" type="noConversion"/>
  </si>
  <si>
    <t>叠拼别墅</t>
  </si>
  <si>
    <t>叠拼别墅</t>
    <phoneticPr fontId="25" type="noConversion"/>
  </si>
  <si>
    <t>较规则</t>
  </si>
  <si>
    <t>阅海名筑</t>
    <phoneticPr fontId="3" type="noConversion"/>
  </si>
  <si>
    <t>天津滨海吾悦广场</t>
    <phoneticPr fontId="143" type="noConversion"/>
  </si>
  <si>
    <t>天津市滨海新区</t>
    <phoneticPr fontId="3" type="noConversion"/>
  </si>
  <si>
    <r>
      <rPr>
        <sz val="12"/>
        <color theme="9" tint="-0.249977111117893"/>
        <rFont val="宋体"/>
        <family val="3"/>
        <charset val="134"/>
      </rPr>
      <t>滨海新区中心渔港经济区鲤鱼门路以东、海湾一道以南</t>
    </r>
    <r>
      <rPr>
        <sz val="12"/>
        <color theme="9" tint="-0.249977111117893"/>
        <rFont val="Arial"/>
        <family val="2"/>
      </rPr>
      <t>4-1</t>
    </r>
    <r>
      <rPr>
        <sz val="12"/>
        <color theme="9" tint="-0.249977111117893"/>
        <rFont val="宋体"/>
        <family val="3"/>
        <charset val="134"/>
      </rPr>
      <t>、</t>
    </r>
    <r>
      <rPr>
        <sz val="12"/>
        <color theme="9" tint="-0.249977111117893"/>
        <rFont val="Arial"/>
        <family val="2"/>
      </rPr>
      <t>4-2#</t>
    </r>
    <r>
      <rPr>
        <sz val="12"/>
        <color theme="9" tint="-0.249977111117893"/>
        <rFont val="宋体"/>
        <family val="3"/>
        <charset val="134"/>
      </rPr>
      <t>地块</t>
    </r>
    <phoneticPr fontId="6" type="noConversion"/>
  </si>
  <si>
    <t>成本法</t>
  </si>
  <si>
    <t>在建</t>
  </si>
  <si>
    <t>未包含在土地购买价格中</t>
  </si>
  <si>
    <t>部分缴纳</t>
  </si>
  <si>
    <t>已包含在土地取得成本中</t>
  </si>
  <si>
    <t>滨旅景熙</t>
    <phoneticPr fontId="3" type="noConversion"/>
  </si>
  <si>
    <t>估价对象11</t>
    <phoneticPr fontId="143" type="noConversion"/>
  </si>
  <si>
    <t>扣减土地增值税预缴</t>
    <phoneticPr fontId="18"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</si>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</sst>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alignment wrapText="1"/>
    </xf>
    <xf numFmtId="9"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5" borderId="2" xfId="0"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05" fillId="5" borderId="0" xfId="0" applyFont="1" applyFill="1" applyAlignment="1"/>
    <xf numFmtId="0" fontId="0" fillId="5" borderId="0" xfId="0" applyFill="1" applyAlignment="1"/>
    <xf numFmtId="0" fontId="120" fillId="5" borderId="0" xfId="0" applyFont="1" applyFill="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3" fillId="0" borderId="1" xfId="17" applyFont="1" applyFill="1" applyBorder="1" applyAlignment="1" applyProtection="1">
      <alignment horizontal="center" vertical="center" wrapText="1"/>
      <protection locked="0"/>
    </xf>
    <xf numFmtId="0" fontId="83" fillId="0" borderId="1" xfId="17" applyFont="1" applyFill="1" applyBorder="1" applyAlignment="1" applyProtection="1">
      <alignment horizontal="center" vertical="top" wrapText="1"/>
      <protection locked="0"/>
    </xf>
    <xf numFmtId="0" fontId="56" fillId="0" borderId="1" xfId="17" applyBorder="1" applyAlignment="1" applyProtection="1">
      <alignment horizontal="center" vertical="center" wrapText="1"/>
      <protection locked="0"/>
    </xf>
    <xf numFmtId="0" fontId="80" fillId="0" borderId="1" xfId="17" applyFont="1" applyFill="1" applyBorder="1" applyAlignment="1" applyProtection="1">
      <alignment horizontal="center" vertical="top" wrapText="1"/>
      <protection locked="0"/>
    </xf>
    <xf numFmtId="58" fontId="47" fillId="0" borderId="44"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71" fillId="0" borderId="13" xfId="12" applyFont="1" applyFill="1" applyBorder="1" applyAlignment="1" applyProtection="1">
      <alignment horizontal="center" vertical="center" wrapText="1"/>
      <protection locked="0"/>
    </xf>
    <xf numFmtId="9" fontId="50" fillId="3" borderId="0" xfId="18" applyFont="1" applyFill="1" applyAlignment="1" applyProtection="1">
      <alignment horizontal="center" vertical="center"/>
      <protection locked="0"/>
    </xf>
    <xf numFmtId="177" fontId="49" fillId="18" borderId="32" xfId="0" applyNumberFormat="1" applyFont="1" applyFill="1" applyBorder="1" applyAlignment="1" applyProtection="1">
      <alignment horizontal="center" vertical="center"/>
    </xf>
    <xf numFmtId="0" fontId="80" fillId="3"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5" xfId="17" applyFont="1" applyFill="1" applyBorder="1" applyAlignment="1" applyProtection="1">
      <alignment horizontal="center" vertical="center" wrapText="1"/>
      <protection locked="0"/>
    </xf>
    <xf numFmtId="0" fontId="83" fillId="0" borderId="54" xfId="17" applyFont="1" applyFill="1" applyBorder="1" applyAlignment="1" applyProtection="1">
      <alignment horizontal="center" vertical="center" wrapText="1"/>
      <protection locked="0"/>
    </xf>
    <xf numFmtId="0" fontId="83" fillId="0" borderId="3" xfId="17" applyFont="1" applyFill="1" applyBorder="1" applyAlignment="1" applyProtection="1">
      <alignment horizontal="center" vertical="center" wrapText="1"/>
      <protection locked="0"/>
    </xf>
    <xf numFmtId="0" fontId="83" fillId="0" borderId="1" xfId="17" applyFont="1" applyFill="1" applyBorder="1" applyAlignment="1" applyProtection="1">
      <alignment horizontal="center" vertical="center" wrapText="1"/>
      <protection locked="0"/>
    </xf>
    <xf numFmtId="0" fontId="83" fillId="0" borderId="1" xfId="17" applyFont="1" applyFill="1" applyBorder="1" applyAlignment="1" applyProtection="1">
      <alignment vertical="top" wrapText="1"/>
      <protection locked="0"/>
    </xf>
    <xf numFmtId="0" fontId="56" fillId="0" borderId="1" xfId="17"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119744</xdr:rowOff>
    </xdr:from>
    <xdr:to>
      <xdr:col>29</xdr:col>
      <xdr:colOff>1341757</xdr:colOff>
      <xdr:row>91</xdr:row>
      <xdr:rowOff>147401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70315"/>
          <a:ext cx="10137414" cy="74299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39033;&#30446;&#26126;&#32454;&#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OWEN124\&#29579;&#26342;\&#9734;&#25253;&#21578;&#9734;\2019\2019-1-0580&#19990;&#33538;&#40723;&#28010;&#27700;&#38215;&#39033;&#30446;\5-2&#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价值明细表"/>
      <sheetName val="Sheet1"/>
      <sheetName val="总表"/>
      <sheetName val="4-1、4-2"/>
      <sheetName val="6、7"/>
      <sheetName val="5-3"/>
      <sheetName val="5-5规证未过期"/>
      <sheetName val="8号地"/>
      <sheetName val="9号地块"/>
    </sheetNames>
    <sheetDataSet>
      <sheetData sheetId="0">
        <row r="9">
          <cell r="H9">
            <v>29207.610000000004</v>
          </cell>
          <cell r="I9">
            <v>36509.51</v>
          </cell>
          <cell r="N9">
            <v>32598</v>
          </cell>
        </row>
        <row r="10">
          <cell r="H10">
            <v>323903.75</v>
          </cell>
          <cell r="I10">
            <v>80975.94</v>
          </cell>
          <cell r="N10">
            <v>163926</v>
          </cell>
        </row>
        <row r="11">
          <cell r="H11">
            <v>201021.05000000002</v>
          </cell>
          <cell r="I11">
            <v>251276.31</v>
          </cell>
          <cell r="N11">
            <v>125257</v>
          </cell>
        </row>
        <row r="12">
          <cell r="H12">
            <v>101379.92</v>
          </cell>
          <cell r="I12">
            <v>126724.9</v>
          </cell>
          <cell r="N12">
            <v>61689</v>
          </cell>
        </row>
        <row r="13">
          <cell r="H13">
            <v>233448.4</v>
          </cell>
          <cell r="I13">
            <v>58362.1</v>
          </cell>
          <cell r="N13">
            <v>121894</v>
          </cell>
        </row>
        <row r="14">
          <cell r="H14">
            <v>230826.5</v>
          </cell>
          <cell r="I14">
            <v>48837.7</v>
          </cell>
          <cell r="N14">
            <v>84036</v>
          </cell>
        </row>
        <row r="15">
          <cell r="H15">
            <v>144427.36000000002</v>
          </cell>
          <cell r="I15">
            <v>180534.2</v>
          </cell>
          <cell r="N15">
            <v>88287</v>
          </cell>
        </row>
        <row r="16">
          <cell r="H16">
            <v>73973.16</v>
          </cell>
          <cell r="I16">
            <v>13454.9</v>
          </cell>
          <cell r="N16">
            <v>15175</v>
          </cell>
        </row>
        <row r="17">
          <cell r="H17">
            <v>197725.03</v>
          </cell>
          <cell r="I17">
            <v>34513</v>
          </cell>
          <cell r="N17">
            <v>36243</v>
          </cell>
        </row>
        <row r="18">
          <cell r="H18">
            <v>22145.67</v>
          </cell>
          <cell r="I18">
            <v>18907.099999999999</v>
          </cell>
          <cell r="N18">
            <v>18430</v>
          </cell>
        </row>
      </sheetData>
      <sheetData sheetId="1"/>
      <sheetData sheetId="2"/>
      <sheetData sheetId="3">
        <row r="37">
          <cell r="P37">
            <v>14966.349999999999</v>
          </cell>
        </row>
      </sheetData>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6">
          <cell r="C26" t="str">
            <v>一般</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天津市滨海新区中心渔港经济区鲤鱼门路以东、海湾一道以南4-1、4-2#地块出让国有建设用地使用权及在建建筑物房地产抵押价值预评估</v>
      </c>
    </row>
    <row r="3" spans="1:2" s="1591" customFormat="1">
      <c r="A3" s="1589" t="s">
        <v>1217</v>
      </c>
      <c r="B3" s="1590" t="str">
        <f>'预评函-封皮'!B40</f>
        <v>中国信达资产管理股份有限公司北京市分公司</v>
      </c>
    </row>
    <row r="4" spans="1:2" s="1591" customFormat="1">
      <c r="A4" s="1589" t="s">
        <v>1218</v>
      </c>
      <c r="B4" s="1590" t="str">
        <f ca="1">'预评函-封皮'!B46</f>
        <v>吴薇（注册号：1419970001)、郑燚（注册号：1120070131)</v>
      </c>
    </row>
    <row r="5" spans="1:2" s="1585" customFormat="1" ht="16.2" thickBot="1">
      <c r="A5" s="1592" t="s">
        <v>1219</v>
      </c>
      <c r="B5" s="1593" t="str">
        <f>'预评函-封皮'!B49</f>
        <v>康正预评字号</v>
      </c>
    </row>
    <row r="6" spans="1:2" s="1588" customFormat="1" ht="16.2" thickTop="1">
      <c r="A6" s="1586" t="s">
        <v>1220</v>
      </c>
      <c r="B6" s="1587" t="str">
        <f>'预评函-1'!A4</f>
        <v>受贵公司委托，我公司对天津市滨海新区中心渔港经济区鲤鱼门路以东、海湾一道以南4-1、4-2#地块出让国有建设用地使用权及在建建筑物房地产抵押价值进行了预评估。</v>
      </c>
    </row>
    <row r="7" spans="1:2" s="1591" customFormat="1">
      <c r="A7" s="1589" t="s">
        <v>1260</v>
      </c>
      <c r="B7" s="1590" t="str">
        <f>'预评函-1'!A7</f>
        <v>估价对象为天津市滨海新区中心渔港经济区鲤鱼门路以东、海湾一道以南4-1、4-2#地块出让国有建设用地使用权及在建建筑物房地产，为天津海滨投资发展有限公司所有。根据《国有土地使用证》[]，估价对象（分摊）出让国有建设用地使用权面积为3741.59平方米。根据《房屋所有权证》[]、《测绘报告》[]，估价对象建筑面积为14966.35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天津市滨海新区中心渔港经济区鲤鱼门路以东、海湾一道以南4-1、4-2#地块出让国有建设用地使用权及在建建筑物房地产,属天津海滨投资发展有限公司开发建设的居住项目，该项目尚在开发建设中。根据《国有土地使用证》[]，估价对象（分摊）出让国有建设用地使用权面积为3741.59平方米。根据《房屋所有权证》[]、《测绘报告》[]，估价对象规划建筑面积为14966.35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天津海滨投资发展有限公司拟使用天津市滨海新区中心渔港经济区鲤鱼门路以东、海湾一道以南4-1、4-2#地块出让国有建设用地使用权及在建建筑物房地产作为抵押担保物，向中国信达资产管理股份有限公司北京市分公司办理贷款手续。中国信达资产管理股份有限公司北京市分公司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2019年9月17日（评估专业人员实地查勘之日）</v>
      </c>
    </row>
    <row r="13" spans="1:2" s="1591" customFormat="1">
      <c r="A13" s="1589" t="s">
        <v>1223</v>
      </c>
      <c r="B13" s="1590" t="str">
        <f>'预评函-1'!A18</f>
        <v>本次估价的“房地产价值”是指在正常市场情况下，在价值时点2019年9月17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6.2" thickBot="1">
      <c r="A18" s="1592" t="s">
        <v>1228</v>
      </c>
      <c r="B18" s="1593" t="str">
        <f>'预评函-1'!A24</f>
        <v>本次评估采用的主估价方法为成本法和假设开发法。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13247</v>
      </c>
    </row>
    <row r="21" spans="1:2" s="1591" customFormat="1">
      <c r="A21" s="1589" t="s">
        <v>1231</v>
      </c>
      <c r="B21" s="1590">
        <f ca="1">'预评函-2'!D7</f>
        <v>8851</v>
      </c>
    </row>
    <row r="22" spans="1:2" s="1591" customFormat="1">
      <c r="A22" s="1589" t="s">
        <v>1232</v>
      </c>
      <c r="B22" s="1590" t="str">
        <f ca="1">'预评函-2'!D6</f>
        <v>壹亿叁仟贰佰肆拾柒万元整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13247</v>
      </c>
    </row>
    <row r="31" spans="1:2" s="1591" customFormat="1">
      <c r="A31" s="1589" t="s">
        <v>1270</v>
      </c>
      <c r="B31" s="1590">
        <f ca="1">'预评函-2'!D15</f>
        <v>8851</v>
      </c>
    </row>
    <row r="32" spans="1:2" s="1591" customFormat="1">
      <c r="A32" s="1589" t="s">
        <v>1237</v>
      </c>
      <c r="B32" s="1590" t="str">
        <f ca="1">'预评函-2'!D14</f>
        <v>壹亿叁仟贰佰肆拾柒万元整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天津市滨海新区中心渔港经济区鲤鱼门路以东、海湾一道以南4-1、4-2#地块出让国有建设用地使用权及在建建筑物房地产</v>
      </c>
    </row>
    <row r="42" spans="1:2" s="1591" customFormat="1" ht="31.2">
      <c r="A42" s="1589" t="s">
        <v>1284</v>
      </c>
      <c r="B42" s="1590" t="str">
        <f>'预评函-3'!B2</f>
        <v>建筑面积</v>
      </c>
    </row>
    <row r="43" spans="1:2" s="1591" customFormat="1">
      <c r="A43" s="1589" t="s">
        <v>1285</v>
      </c>
      <c r="B43" s="1590">
        <f>'预评函-3'!B4</f>
        <v>14966.349999999999</v>
      </c>
    </row>
    <row r="44" spans="1:2" s="1591" customFormat="1" ht="31.2">
      <c r="A44" s="1589" t="s">
        <v>1269</v>
      </c>
      <c r="B44" s="1590" t="str">
        <f>'预评函-3'!C2</f>
        <v>(分摊)土地面积</v>
      </c>
    </row>
    <row r="45" spans="1:2" s="1591" customFormat="1">
      <c r="A45" s="1589" t="s">
        <v>1241</v>
      </c>
      <c r="B45" s="1590">
        <f>'预评函-3'!C4</f>
        <v>3741.59</v>
      </c>
    </row>
    <row r="46" spans="1:2" s="1591" customFormat="1">
      <c r="A46" s="1589" t="s">
        <v>1267</v>
      </c>
      <c r="B46" s="1590" t="str">
        <f>'预评函-3'!D2</f>
        <v>出让国有建设用地使用权价值</v>
      </c>
    </row>
    <row r="47" spans="1:2" s="1591" customFormat="1">
      <c r="A47" s="1589" t="s">
        <v>1242</v>
      </c>
      <c r="B47" s="1590">
        <f ca="1">'预评函-3'!D4</f>
        <v>7870</v>
      </c>
    </row>
    <row r="48" spans="1:2" s="1591" customFormat="1">
      <c r="A48" s="1589" t="s">
        <v>1243</v>
      </c>
      <c r="B48" s="1590">
        <f ca="1">'预评函-3'!E4</f>
        <v>5258</v>
      </c>
    </row>
    <row r="49" spans="1:2" s="1591" customFormat="1">
      <c r="A49" s="1589" t="s">
        <v>1244</v>
      </c>
      <c r="B49" s="1590" t="str">
        <f ca="1">'预评函-3'!D5</f>
        <v>柒仟捌佰柒拾万元整</v>
      </c>
    </row>
    <row r="50" spans="1:2" s="1591" customFormat="1">
      <c r="A50" s="1589" t="s">
        <v>1268</v>
      </c>
      <c r="B50" s="1590" t="str">
        <f>'预评函-3'!F2</f>
        <v>在建建筑物价值</v>
      </c>
    </row>
    <row r="51" spans="1:2" s="1591" customFormat="1">
      <c r="A51" s="1589" t="s">
        <v>1245</v>
      </c>
      <c r="B51" s="1590">
        <f ca="1">'预评函-3'!F4</f>
        <v>5377</v>
      </c>
    </row>
    <row r="52" spans="1:2" s="1591" customFormat="1">
      <c r="A52" s="1589" t="s">
        <v>1246</v>
      </c>
      <c r="B52" s="1590">
        <f ca="1">'预评函-3'!G4</f>
        <v>3593</v>
      </c>
    </row>
    <row r="53" spans="1:2" s="1591" customFormat="1">
      <c r="A53" s="1589" t="s">
        <v>1274</v>
      </c>
      <c r="B53" s="1590" t="str">
        <f ca="1">'预评函-3'!F5</f>
        <v>伍仟叁佰柒拾柒万元整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6.2" thickBot="1">
      <c r="A73" s="1592" t="s">
        <v>1259</v>
      </c>
      <c r="B73" s="1593">
        <f ca="1">'预评函-4'!B5</f>
        <v>1120070131</v>
      </c>
    </row>
    <row r="74" spans="1:2" ht="16.2"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3423</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为估价委托人在向中国信达资产管理股份有限公司北京市分公司办理贷款手续过程中，确定房地产抵押贷款额度提供参考依据而评估房地产抵押价值。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海滨投资发展有限公司拟使用天津市滨海新区中心渔港经济区鲤鱼门路以东、海湾一道以南4-1、4-2#地块出让国有建设用地使用权及在建建筑物房地产作为抵押担保物，向中国信达资产管理股份有限公司北京市分公司办理贷款手续。中国信达资产管理股份有限公司北京市分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23"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19" t="s">
        <v>861</v>
      </c>
      <c r="C54" s="2016" t="s">
        <v>1277</v>
      </c>
    </row>
    <row r="55" spans="1:4">
      <c r="A55" s="3023"/>
      <c r="B55" s="2019" t="s">
        <v>862</v>
      </c>
      <c r="C55" s="2016" t="s">
        <v>1278</v>
      </c>
    </row>
    <row r="56" spans="1:4">
      <c r="A56" s="3023"/>
      <c r="B56" s="2019" t="s">
        <v>863</v>
      </c>
      <c r="C56" s="2016" t="s">
        <v>1282</v>
      </c>
    </row>
    <row r="57" spans="1:4">
      <c r="A57" s="3023"/>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029" customWidth="1"/>
    <col min="2" max="4" width="11.44140625" style="2029" customWidth="1"/>
    <col min="5" max="6" width="10" style="2029" customWidth="1"/>
    <col min="7" max="7" width="10.77734375" style="2029" customWidth="1"/>
    <col min="8" max="8" width="10" style="2029" customWidth="1"/>
    <col min="9" max="9" width="11.10937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1771</v>
      </c>
      <c r="B1" s="3032" t="str">
        <f>IF(B10="北京市","北京市",C10)&amp;F10&amp;IF(结果表!G1="在建","出让国有建设用地使用权及在建建筑物",IF(结果表!G1="土地","出让国有建设用地使用权",))&amp;B9&amp;"预评估"</f>
        <v>天津市滨海新区中心渔港经济区鲤鱼门路以东、海湾一道以南4-1、4-2#地块出让国有建设用地使用权及在建建筑物房地产抵押价值预评估</v>
      </c>
      <c r="C1" s="3033"/>
      <c r="D1" s="3033"/>
      <c r="E1" s="3033"/>
      <c r="F1" s="3033"/>
      <c r="G1" s="3033"/>
      <c r="H1" s="3033"/>
      <c r="I1" s="303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天津市滨海新区中心渔港经济区鲤鱼门路以东、海湾一道以南4-1、4-2#地块出让国有建设用地使用权及在建建筑物房地产抵押价值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天津市滨海新区中心渔港经济区鲤鱼门路以东、海湾一道以南4-1、4-2#地块出让国有建设用地使用权及在建建筑物房地产</v>
      </c>
    </row>
    <row r="3" spans="1:19" ht="18" customHeight="1">
      <c r="A3" s="2032" t="s">
        <v>1773</v>
      </c>
      <c r="B3" s="2033">
        <v>43725</v>
      </c>
      <c r="C3" s="2034" t="s">
        <v>1774</v>
      </c>
      <c r="D3" s="2033">
        <f>B3</f>
        <v>43725</v>
      </c>
      <c r="E3" s="2023"/>
      <c r="F3" s="2023"/>
      <c r="G3" s="2023"/>
      <c r="H3" s="2023"/>
      <c r="I3" s="2023"/>
      <c r="J3" s="2023"/>
      <c r="K3" s="2024"/>
      <c r="L3" s="2025"/>
      <c r="M3" s="2025"/>
      <c r="N3" s="2026"/>
      <c r="O3" s="2027"/>
      <c r="P3" s="2026"/>
      <c r="Q3" s="2026"/>
      <c r="R3" s="2026"/>
      <c r="S3" s="2028"/>
    </row>
    <row r="4" spans="1:19" ht="18" customHeight="1" thickBot="1">
      <c r="A4" s="2035" t="s">
        <v>1775</v>
      </c>
      <c r="B4" s="2036" t="s">
        <v>3401</v>
      </c>
      <c r="C4" s="1036">
        <f ca="1">SUMIF(注册房地产估价师,B4,估价师及机构信息!B3:B24)</f>
        <v>1419970001</v>
      </c>
      <c r="D4" s="2036" t="s">
        <v>3402</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1776</v>
      </c>
      <c r="B5" s="2957" t="s">
        <v>3404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1777</v>
      </c>
      <c r="B6" s="2045" t="str">
        <f>B5</f>
        <v>中国信达资产管理股份有限公司北京市分公司</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thickTop="1">
      <c r="A7" s="2044" t="s">
        <v>1778</v>
      </c>
      <c r="B7" s="2957" t="s">
        <v>3403</v>
      </c>
      <c r="C7" s="2046"/>
      <c r="D7" s="2047"/>
      <c r="E7" s="2031"/>
      <c r="F7" s="2039"/>
      <c r="G7" s="2039"/>
      <c r="H7" s="2039"/>
      <c r="I7" s="2039"/>
      <c r="J7" s="2039"/>
      <c r="K7" s="2049"/>
      <c r="L7" s="2025"/>
      <c r="M7" s="2025"/>
      <c r="N7" s="2026"/>
      <c r="O7" s="2027"/>
      <c r="P7" s="2026"/>
      <c r="Q7" s="2026"/>
      <c r="R7" s="2026"/>
    </row>
    <row r="8" spans="1:19" ht="18" customHeight="1">
      <c r="A8" s="2044" t="s">
        <v>1779</v>
      </c>
      <c r="B8" s="2050" t="s">
        <v>3405</v>
      </c>
      <c r="C8" s="2051"/>
      <c r="D8" s="3035" t="s">
        <v>1780</v>
      </c>
      <c r="E8" s="2052" t="s">
        <v>3406</v>
      </c>
      <c r="F8" s="2053"/>
      <c r="G8" s="2023"/>
      <c r="H8" s="2023"/>
      <c r="I8" s="2023"/>
      <c r="J8" s="2039"/>
      <c r="K8" s="2040"/>
      <c r="L8" s="2025"/>
      <c r="M8" s="2025"/>
      <c r="N8" s="2026"/>
      <c r="O8" s="2027"/>
      <c r="P8" s="2026"/>
      <c r="Q8" s="2026"/>
      <c r="R8" s="2026"/>
    </row>
    <row r="9" spans="1:19" ht="18" customHeight="1" thickBot="1">
      <c r="A9" s="2037" t="s">
        <v>1781</v>
      </c>
      <c r="B9" s="2054" t="s">
        <v>3406</v>
      </c>
      <c r="C9" s="2055"/>
      <c r="D9" s="3036"/>
      <c r="E9" s="2054" t="s">
        <v>70</v>
      </c>
      <c r="F9" s="2056"/>
      <c r="G9" s="2057"/>
      <c r="H9" s="2057"/>
      <c r="I9" s="2057"/>
      <c r="J9" s="2039"/>
      <c r="K9" s="2049"/>
      <c r="L9" s="2025"/>
      <c r="M9" s="2025"/>
      <c r="N9" s="2026"/>
      <c r="O9" s="2027"/>
      <c r="P9" s="2026"/>
      <c r="Q9" s="2026"/>
      <c r="R9" s="2026"/>
    </row>
    <row r="10" spans="1:19" ht="18" customHeight="1" thickTop="1">
      <c r="A10" s="2058" t="s">
        <v>1782</v>
      </c>
      <c r="B10" s="2059" t="s">
        <v>3407</v>
      </c>
      <c r="C10" s="2958" t="s">
        <v>3408</v>
      </c>
      <c r="D10" s="2043"/>
      <c r="E10" s="2060" t="s">
        <v>1783</v>
      </c>
      <c r="F10" s="2061" t="s">
        <v>3545</v>
      </c>
      <c r="G10" s="2062"/>
      <c r="H10" s="2063"/>
      <c r="I10" s="2043"/>
      <c r="J10" s="2039"/>
      <c r="K10" s="2049"/>
      <c r="L10" s="2025"/>
      <c r="M10" s="2025"/>
      <c r="N10" s="2026"/>
      <c r="O10" s="2027"/>
      <c r="P10" s="2026"/>
      <c r="Q10" s="2026"/>
      <c r="R10" s="2026"/>
    </row>
    <row r="11" spans="1:19" ht="18" customHeight="1">
      <c r="A11" s="2064" t="s">
        <v>1784</v>
      </c>
      <c r="B11" s="2065" t="s">
        <v>3409</v>
      </c>
      <c r="C11" s="2066" t="str">
        <f>B7</f>
        <v>天津海滨投资发展有限公司</v>
      </c>
      <c r="D11" s="2067"/>
      <c r="E11" s="2039"/>
      <c r="F11" s="2039"/>
      <c r="G11" s="2039"/>
      <c r="H11" s="2039"/>
      <c r="I11" s="2039"/>
      <c r="J11" s="2039"/>
      <c r="K11" s="2049"/>
      <c r="L11" s="2025"/>
      <c r="M11" s="2025"/>
      <c r="N11" s="2026"/>
      <c r="O11" s="2027"/>
      <c r="P11" s="2026"/>
      <c r="Q11" s="2026"/>
      <c r="R11" s="2026"/>
    </row>
    <row r="12" spans="1:19" ht="18" customHeight="1">
      <c r="A12" s="2068" t="s">
        <v>1785</v>
      </c>
      <c r="B12" s="2065" t="s">
        <v>3410</v>
      </c>
      <c r="C12" s="2069" t="s">
        <v>1786</v>
      </c>
      <c r="D12" s="2070" t="s">
        <v>1787</v>
      </c>
      <c r="E12" s="2070" t="s">
        <v>1788</v>
      </c>
      <c r="F12" s="2070" t="s">
        <v>1789</v>
      </c>
      <c r="G12" s="2070" t="s">
        <v>1790</v>
      </c>
      <c r="H12" s="2070" t="s">
        <v>1791</v>
      </c>
      <c r="I12" s="2070" t="s">
        <v>1792</v>
      </c>
      <c r="J12" s="2039"/>
      <c r="K12" s="2049"/>
      <c r="L12" s="2025"/>
      <c r="M12" s="2025"/>
      <c r="N12" s="2026"/>
      <c r="O12" s="2027"/>
      <c r="P12" s="2026"/>
      <c r="Q12" s="2026"/>
      <c r="R12" s="2026"/>
    </row>
    <row r="13" spans="1:19" ht="18" customHeight="1">
      <c r="A13" s="2071"/>
      <c r="B13" s="2072"/>
      <c r="C13" s="2073" t="s">
        <v>1793</v>
      </c>
      <c r="D13" s="2074">
        <v>66185</v>
      </c>
      <c r="E13" s="2074">
        <v>55227</v>
      </c>
      <c r="F13" s="2074"/>
      <c r="G13" s="2074"/>
      <c r="H13" s="2074"/>
      <c r="I13" s="1046"/>
      <c r="J13" s="2039"/>
      <c r="K13" s="2049"/>
      <c r="L13" s="2025"/>
      <c r="M13" s="2025"/>
      <c r="N13" s="2026"/>
      <c r="O13" s="2027"/>
      <c r="P13" s="2026"/>
      <c r="Q13" s="2026"/>
      <c r="R13" s="2026"/>
    </row>
    <row r="14" spans="1:19" ht="18" customHeight="1">
      <c r="A14" s="2071"/>
      <c r="B14" s="2072"/>
      <c r="C14" s="2073" t="s">
        <v>1794</v>
      </c>
      <c r="D14" s="1049">
        <v>70</v>
      </c>
      <c r="E14" s="1049">
        <v>40</v>
      </c>
      <c r="F14" s="1049"/>
      <c r="G14" s="1049"/>
      <c r="H14" s="1049"/>
      <c r="I14" s="1049"/>
      <c r="J14" s="2039"/>
      <c r="K14" s="2075"/>
      <c r="L14" s="2025"/>
      <c r="M14" s="2025"/>
      <c r="N14" s="2026"/>
      <c r="O14" s="2027"/>
      <c r="P14" s="2026"/>
      <c r="Q14" s="2026"/>
      <c r="R14" s="2026"/>
    </row>
    <row r="15" spans="1:19" ht="18" customHeight="1">
      <c r="A15" s="2058"/>
      <c r="B15" s="2076"/>
      <c r="C15" s="2073" t="s">
        <v>1795</v>
      </c>
      <c r="D15" s="1048">
        <f>IF(B12="出让",IF(D13="","",ROUNDDOWN(MIN((D13-$D$3)/365,D14),2)),D14)</f>
        <v>61.53</v>
      </c>
      <c r="E15" s="1048">
        <f>IF(B12="出让",IF(E13="","",ROUNDDOWN(MIN((E13-$D$3)/365,E14),2)),E14)</f>
        <v>31.51</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7"/>
      <c r="L15" s="2078"/>
      <c r="M15" s="2078"/>
      <c r="N15" s="2079"/>
      <c r="O15" s="2078"/>
      <c r="P15" s="2079"/>
      <c r="Q15" s="2026"/>
      <c r="R15" s="2026"/>
    </row>
    <row r="16" spans="1:19" ht="30.75" customHeight="1">
      <c r="A16" s="2060" t="s">
        <v>1796</v>
      </c>
      <c r="B16" s="3042"/>
      <c r="C16" s="3043"/>
      <c r="D16" s="3044"/>
      <c r="E16" s="2080" t="s">
        <v>1797</v>
      </c>
      <c r="F16" s="3045"/>
      <c r="G16" s="3046"/>
      <c r="H16" s="3046"/>
      <c r="I16" s="3047"/>
      <c r="J16" s="2026"/>
      <c r="K16" s="2077"/>
      <c r="L16" s="2078"/>
      <c r="M16" s="2078"/>
      <c r="N16" s="2079"/>
      <c r="O16" s="2078"/>
      <c r="P16" s="2079"/>
      <c r="Q16" s="2026"/>
      <c r="R16" s="2026"/>
    </row>
    <row r="17" spans="1:22" ht="18" customHeight="1">
      <c r="A17" s="2081" t="s">
        <v>1798</v>
      </c>
      <c r="B17" s="2032" t="s">
        <v>1799</v>
      </c>
      <c r="C17" s="1053">
        <f>'数据-汇总表'!E3</f>
        <v>14966.349999999999</v>
      </c>
      <c r="D17" s="2082" t="s">
        <v>1800</v>
      </c>
      <c r="E17" s="3048" t="s">
        <v>1801</v>
      </c>
      <c r="F17" s="3049"/>
      <c r="G17" s="3049"/>
      <c r="H17" s="3049"/>
      <c r="I17" s="3050"/>
      <c r="J17" s="2026"/>
      <c r="K17" s="2083"/>
      <c r="L17" s="2078"/>
      <c r="M17" s="2078"/>
      <c r="N17" s="2079"/>
      <c r="O17" s="2078"/>
      <c r="P17" s="2079"/>
      <c r="Q17" s="2026"/>
      <c r="R17" s="2026"/>
      <c r="S17" s="2026"/>
      <c r="T17" s="2026"/>
      <c r="U17" s="2026"/>
      <c r="V17" s="2026"/>
    </row>
    <row r="18" spans="1:22" ht="36" customHeight="1" thickBot="1">
      <c r="A18" s="2084" t="s">
        <v>70</v>
      </c>
      <c r="B18" s="2035" t="s">
        <v>1802</v>
      </c>
      <c r="C18" s="1443">
        <f>'数据-汇总表'!D3</f>
        <v>3741.59</v>
      </c>
      <c r="D18" s="2085" t="s">
        <v>1800</v>
      </c>
      <c r="E18" s="3051" t="s">
        <v>1803</v>
      </c>
      <c r="F18" s="3052"/>
      <c r="G18" s="3052"/>
      <c r="H18" s="3052"/>
      <c r="I18" s="3053"/>
      <c r="J18" s="2026"/>
      <c r="K18" s="2083"/>
      <c r="L18" s="2078"/>
      <c r="M18" s="2078"/>
      <c r="N18" s="2079"/>
      <c r="O18" s="2078"/>
      <c r="P18" s="2079"/>
      <c r="Q18" s="2026"/>
      <c r="R18" s="2026"/>
      <c r="S18" s="2026"/>
      <c r="T18" s="2026"/>
      <c r="U18" s="2026"/>
      <c r="V18" s="2026"/>
    </row>
    <row r="19" spans="1:22" ht="37.5" customHeight="1" thickTop="1" thickBot="1">
      <c r="A19" s="373" t="s">
        <v>1804</v>
      </c>
      <c r="B19" s="352" t="s">
        <v>1805</v>
      </c>
      <c r="C19" s="2086" t="s">
        <v>3412</v>
      </c>
      <c r="D19" s="2087" t="s">
        <v>1806</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1807</v>
      </c>
      <c r="B20" s="3038" t="s">
        <v>1808</v>
      </c>
      <c r="C20" s="3039"/>
      <c r="D20" s="3040" t="s">
        <v>1809</v>
      </c>
      <c r="E20" s="3041"/>
      <c r="F20" s="2092" t="s">
        <v>1810</v>
      </c>
      <c r="G20" s="2039"/>
      <c r="H20" s="2039"/>
      <c r="I20" s="2039"/>
      <c r="J20" s="2039"/>
      <c r="K20" s="3037" t="s">
        <v>1811</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5"/>
      <c r="N20" s="2079"/>
      <c r="O20" s="2078"/>
      <c r="P20" s="2079"/>
      <c r="Q20" s="2026"/>
      <c r="R20" s="2026"/>
      <c r="S20" s="2026"/>
      <c r="T20" s="2026"/>
      <c r="U20" s="2026"/>
      <c r="V20" s="2026"/>
    </row>
    <row r="21" spans="1:22" ht="24.75" customHeight="1">
      <c r="A21" s="2091"/>
      <c r="B21" s="2093" t="s">
        <v>3411</v>
      </c>
      <c r="C21" s="2094" t="s">
        <v>1813</v>
      </c>
      <c r="D21" s="2095" t="s">
        <v>1812</v>
      </c>
      <c r="E21" s="2096"/>
      <c r="F21" s="2097"/>
      <c r="G21" s="2039"/>
      <c r="H21" s="2039"/>
      <c r="I21" s="2039"/>
      <c r="J21" s="2039"/>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c r="C22" s="2094"/>
      <c r="D22" s="2023"/>
      <c r="E22" s="2023"/>
      <c r="F22" s="2099"/>
      <c r="G22" s="2039"/>
      <c r="H22" s="2039"/>
      <c r="I22" s="2039"/>
      <c r="J22" s="2039"/>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1814</v>
      </c>
      <c r="B23" s="183" t="s">
        <v>1815</v>
      </c>
      <c r="C23" s="2101"/>
      <c r="D23" s="2102" t="s">
        <v>1815</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1816</v>
      </c>
      <c r="C24" s="2106"/>
      <c r="D24" s="2100" t="s">
        <v>1816</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1817</v>
      </c>
      <c r="C25" s="2106"/>
      <c r="D25" s="2100" t="s">
        <v>1817</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1818</v>
      </c>
      <c r="C26" s="2110"/>
      <c r="D26" s="2111" t="s">
        <v>1819</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25" t="s">
        <v>1820</v>
      </c>
      <c r="B27" s="2058" t="s">
        <v>1821</v>
      </c>
      <c r="C27" s="2114" t="s">
        <v>3413</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25"/>
      <c r="B28" s="2032" t="s">
        <v>1822</v>
      </c>
      <c r="C28" s="2116"/>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25"/>
      <c r="B29" s="2032" t="s">
        <v>1823</v>
      </c>
      <c r="C29" s="2119"/>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26"/>
      <c r="B30" s="2032" t="s">
        <v>1824</v>
      </c>
      <c r="C30" s="3027"/>
      <c r="D30" s="3028"/>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29" t="s">
        <v>1825</v>
      </c>
      <c r="B31" s="2121" t="s">
        <v>3414</v>
      </c>
      <c r="C31" s="2122" t="str">
        <f>IF(B31="现房","成新及维护状况正常否",IF(B31="在建","工程状态是否正常",IF(B31="土地","是否闲置","-")))</f>
        <v>是否闲置</v>
      </c>
      <c r="D31" s="2123"/>
      <c r="E31" s="2124"/>
      <c r="F31" s="2039"/>
      <c r="G31" s="2039"/>
      <c r="H31" s="2039"/>
      <c r="I31" s="2039"/>
      <c r="J31" s="2039"/>
      <c r="K31" s="2048"/>
      <c r="L31" s="2025"/>
      <c r="M31" s="2025"/>
      <c r="N31" s="2026"/>
      <c r="O31" s="2027"/>
      <c r="P31" s="2026"/>
      <c r="Q31" s="2026"/>
      <c r="R31" s="2026"/>
      <c r="S31" s="2026"/>
      <c r="T31" s="2026"/>
      <c r="U31" s="2026"/>
      <c r="V31" s="2026"/>
    </row>
    <row r="32" spans="1:22" ht="18" customHeight="1">
      <c r="A32" s="3030"/>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30"/>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1826</v>
      </c>
      <c r="B34" s="2128" t="s">
        <v>3415</v>
      </c>
      <c r="C34" s="2128" t="s">
        <v>3416</v>
      </c>
      <c r="D34" s="2128" t="s">
        <v>3417</v>
      </c>
      <c r="E34" s="2128"/>
      <c r="F34" s="2128"/>
      <c r="G34" s="2128"/>
      <c r="H34" s="2128"/>
      <c r="I34" s="2039"/>
      <c r="J34" s="2039"/>
      <c r="K34" s="1793">
        <f>COUNTIF(B34:H34,"——")</f>
        <v>0</v>
      </c>
      <c r="L34" s="2069" t="s">
        <v>1827</v>
      </c>
      <c r="M34" s="2069" t="s">
        <v>1828</v>
      </c>
      <c r="N34" s="2069" t="s">
        <v>1829</v>
      </c>
      <c r="O34" s="2069" t="s">
        <v>1830</v>
      </c>
      <c r="P34" s="2069" t="s">
        <v>1831</v>
      </c>
      <c r="Q34" s="2069" t="s">
        <v>1832</v>
      </c>
      <c r="R34" s="2069" t="s">
        <v>1833</v>
      </c>
      <c r="S34" s="3024" t="s">
        <v>1834</v>
      </c>
      <c r="T34" s="2129" t="str">
        <f>NUMBERSTRING(7-K34,1)&amp;"通"</f>
        <v>七通</v>
      </c>
      <c r="U34" s="2026"/>
      <c r="V34" s="2026"/>
    </row>
    <row r="35" spans="1:22" ht="18" customHeight="1">
      <c r="A35" s="2130"/>
      <c r="B35" s="3031" t="s">
        <v>1835</v>
      </c>
      <c r="C35" s="3031"/>
      <c r="D35" s="3031"/>
      <c r="E35" s="3031"/>
      <c r="F35" s="2131" t="str">
        <f>C10</f>
        <v>天津市</v>
      </c>
      <c r="G35" s="2039"/>
      <c r="H35" s="2039"/>
      <c r="I35" s="2039"/>
      <c r="J35" s="2039"/>
      <c r="K35" s="2069"/>
      <c r="L35" s="2069"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24"/>
      <c r="T35" s="48" t="str">
        <f>IF(T34="一通",L35,IF(T34="二通",M35,IF(T34="三通",N35,IF(T34="四通",O35,IF(T34="五通",P35,IF(T34="六通",Q35,R35))))))</f>
        <v>通路、通电、通上水、、、、</v>
      </c>
      <c r="U35" s="2026"/>
      <c r="V35" s="2026"/>
    </row>
    <row r="36" spans="1:22" ht="18" customHeight="1">
      <c r="A36" s="2132"/>
      <c r="B36" s="2131" t="s">
        <v>1836</v>
      </c>
      <c r="C36" s="2131" t="s">
        <v>1837</v>
      </c>
      <c r="D36" s="2131" t="s">
        <v>1838</v>
      </c>
      <c r="E36" s="2131" t="s">
        <v>1839</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1840</v>
      </c>
      <c r="B37" s="2135"/>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1841</v>
      </c>
      <c r="B38" s="2137"/>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1843</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1844</v>
      </c>
      <c r="B42" s="1793" t="s">
        <v>1845</v>
      </c>
      <c r="C42" s="1793" t="s">
        <v>1846</v>
      </c>
      <c r="D42" s="1793" t="s">
        <v>1847</v>
      </c>
      <c r="E42" s="1793" t="s">
        <v>1848</v>
      </c>
      <c r="F42" s="1793" t="s">
        <v>1849</v>
      </c>
      <c r="G42" s="1793" t="s">
        <v>1850</v>
      </c>
      <c r="H42" s="1793" t="s">
        <v>1851</v>
      </c>
      <c r="I42" s="1793" t="s">
        <v>1852</v>
      </c>
      <c r="J42" s="2147" t="s">
        <v>1853</v>
      </c>
      <c r="K42" s="2070" t="s">
        <v>1854</v>
      </c>
      <c r="L42" s="2070" t="s">
        <v>1855</v>
      </c>
      <c r="M42" s="2070" t="s">
        <v>1856</v>
      </c>
      <c r="N42" s="1793" t="s">
        <v>1857</v>
      </c>
      <c r="O42" s="1793" t="s">
        <v>1858</v>
      </c>
      <c r="P42" s="1793" t="s">
        <v>1859</v>
      </c>
      <c r="Q42" s="2069" t="s">
        <v>1860</v>
      </c>
      <c r="R42" s="2069" t="s">
        <v>1861</v>
      </c>
      <c r="S42" s="2026"/>
      <c r="T42" s="2026"/>
      <c r="U42" s="2026"/>
      <c r="V42" s="2026"/>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K17" sqref="K17:M17"/>
      <selection pane="topRight" activeCell="K17" sqref="K17:M17"/>
      <selection pane="bottomLeft" activeCell="K17" sqref="K17:M17"/>
      <selection pane="bottomRight" activeCell="K18" sqref="K18"/>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6" customWidth="1"/>
    <col min="7" max="8" width="10" style="2154" customWidth="1"/>
    <col min="9" max="9" width="10.6640625" style="2154" customWidth="1"/>
    <col min="10" max="10" width="9.44140625" style="2154" hidden="1" customWidth="1"/>
    <col min="11" max="11" width="11" style="2154" customWidth="1"/>
    <col min="12" max="14" width="9.44140625" style="2154" hidden="1" customWidth="1"/>
    <col min="15" max="15" width="9.88671875" style="2154" hidden="1" customWidth="1"/>
    <col min="16" max="16" width="9.77734375" style="2154" hidden="1" customWidth="1"/>
    <col min="17" max="17" width="9.33203125" style="2154" hidden="1" customWidth="1"/>
    <col min="18" max="18" width="9.21875" style="2154" hidden="1"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1862</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1863</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1867</v>
      </c>
      <c r="AZ2" s="1269"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138914.79999999999</v>
      </c>
      <c r="B3" s="14">
        <f>IF(C3="否",G5-AT5,G5)</f>
        <v>14966.349999999999</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f>ROUND(G13/B15*A3,2)</f>
        <v>3741.59</v>
      </c>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1871</v>
      </c>
      <c r="B5" s="1801"/>
      <c r="C5" s="1801"/>
      <c r="D5" s="1804"/>
      <c r="E5" s="16" t="s">
        <v>1</v>
      </c>
      <c r="F5" s="16">
        <f>SUM(F13:F587)</f>
        <v>0</v>
      </c>
      <c r="G5" s="16">
        <f>SUM(G13:G587)</f>
        <v>14966.349999999999</v>
      </c>
      <c r="H5" s="16">
        <f t="shared" ref="H5:AT5" si="0">SUM(H13:H656)</f>
        <v>14966.349999999999</v>
      </c>
      <c r="I5" s="16">
        <f t="shared" si="0"/>
        <v>0</v>
      </c>
      <c r="J5" s="16">
        <f t="shared" si="0"/>
        <v>0</v>
      </c>
      <c r="K5" s="16">
        <f t="shared" si="0"/>
        <v>14966.349999999999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1871</v>
      </c>
      <c r="AW5" s="1801"/>
      <c r="AX5" s="1801"/>
      <c r="AY5" s="17" t="s">
        <v>3</v>
      </c>
      <c r="AZ5" s="18">
        <f t="shared" ref="AZ5:BT5" si="1">SUM(AZ13:AZ656)</f>
        <v>14966.349999999999</v>
      </c>
      <c r="BA5" s="18">
        <f t="shared" si="1"/>
        <v>14966.349999999999</v>
      </c>
      <c r="BB5" s="18">
        <f t="shared" si="1"/>
        <v>0</v>
      </c>
      <c r="BC5" s="18">
        <f t="shared" si="1"/>
        <v>14966.349999999999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1872</v>
      </c>
      <c r="B6" s="2169"/>
      <c r="C6" s="2169"/>
      <c r="D6" s="2170"/>
      <c r="E6" s="16">
        <f>H6+AC6+AT6</f>
        <v>138914.79999999999</v>
      </c>
      <c r="F6" s="16" t="s">
        <v>1</v>
      </c>
      <c r="G6" s="16" t="s">
        <v>2</v>
      </c>
      <c r="H6" s="20">
        <f>SUMIF(I$12:AB$12,"总值",I6:AB6)</f>
        <v>138914.79999999999</v>
      </c>
      <c r="I6" s="16">
        <f t="shared" ref="I6:AB6" si="2">ROUND($A$3*I5/$B$3,2)</f>
        <v>0</v>
      </c>
      <c r="J6" s="16">
        <f t="shared" si="2"/>
        <v>0</v>
      </c>
      <c r="K6" s="16">
        <f t="shared" si="2"/>
        <v>138914.79999999999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3741.59</v>
      </c>
      <c r="AZ6" s="16" t="s">
        <v>3</v>
      </c>
      <c r="BA6" s="16">
        <f>ROUND($AY$6*BA5/$AZ$5,2)</f>
        <v>3741.59</v>
      </c>
      <c r="BB6" s="16">
        <f>ROUND($AY$6*BB5/$AZ$5,2)</f>
        <v>0</v>
      </c>
      <c r="BC6" s="16">
        <f t="shared" ref="BC6:BH6" si="4">ROUND($AY$6*BC5/$AZ$5,2)</f>
        <v>3741.59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1880</v>
      </c>
      <c r="AV7" s="23" t="s">
        <v>1881</v>
      </c>
      <c r="AW7" s="2161" t="s">
        <v>1882</v>
      </c>
      <c r="AX7" s="23" t="s">
        <v>1875</v>
      </c>
      <c r="AY7" s="1801"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6"/>
      <c r="K8" s="1816"/>
      <c r="L8" s="1816"/>
      <c r="M8" s="1816"/>
      <c r="N8" s="1816"/>
      <c r="O8" s="1816"/>
      <c r="P8" s="1816"/>
      <c r="Q8" s="1816"/>
      <c r="R8" s="1816"/>
      <c r="S8" s="1816"/>
      <c r="T8" s="1816"/>
      <c r="U8" s="1816"/>
      <c r="V8" s="2181"/>
      <c r="W8" s="1816"/>
      <c r="X8" s="1816"/>
      <c r="Y8" s="1816"/>
      <c r="Z8" s="1816"/>
      <c r="AA8" s="2181"/>
      <c r="AB8" s="2182"/>
      <c r="AC8" s="981" t="s">
        <v>1886</v>
      </c>
      <c r="AD8" s="2183"/>
      <c r="AE8" s="2175"/>
      <c r="AF8" s="1816"/>
      <c r="AG8" s="1816"/>
      <c r="AH8" s="1816"/>
      <c r="AI8" s="1816"/>
      <c r="AJ8" s="1816"/>
      <c r="AK8" s="1816"/>
      <c r="AL8" s="1816"/>
      <c r="AM8" s="1816"/>
      <c r="AN8" s="1816"/>
      <c r="AO8" s="1816"/>
      <c r="AP8" s="1816"/>
      <c r="AQ8" s="1816"/>
      <c r="AR8" s="1816"/>
      <c r="AS8" s="1816"/>
      <c r="AT8" s="1291" t="s">
        <v>1887</v>
      </c>
      <c r="AU8" s="2177" t="s">
        <v>1888</v>
      </c>
      <c r="AV8" s="1291"/>
      <c r="AW8" s="2160"/>
      <c r="AX8" s="1291"/>
      <c r="AY8" s="2161" t="s">
        <v>1889</v>
      </c>
      <c r="AZ8" s="1815" t="s">
        <v>1890</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3.2">
      <c r="A9" s="2177"/>
      <c r="B9" s="2177"/>
      <c r="C9" s="2177"/>
      <c r="D9" s="2177"/>
      <c r="E9" s="2177"/>
      <c r="F9" s="2177"/>
      <c r="G9" s="1291"/>
      <c r="H9" s="2185" t="s">
        <v>1891</v>
      </c>
      <c r="I9" s="2186" t="s">
        <v>3421</v>
      </c>
      <c r="J9" s="981"/>
      <c r="K9" s="2186" t="s">
        <v>3421</v>
      </c>
      <c r="L9" s="981"/>
      <c r="M9" s="2186"/>
      <c r="N9" s="981"/>
      <c r="O9" s="2186"/>
      <c r="P9" s="981"/>
      <c r="Q9" s="2186"/>
      <c r="R9" s="981"/>
      <c r="S9" s="2186"/>
      <c r="T9" s="981"/>
      <c r="U9" s="2186"/>
      <c r="V9" s="981"/>
      <c r="W9" s="2186"/>
      <c r="X9" s="2187"/>
      <c r="Y9" s="2186"/>
      <c r="Z9" s="981"/>
      <c r="AA9" s="2186"/>
      <c r="AB9" s="981"/>
      <c r="AC9" s="2178"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8"/>
      <c r="AT9" s="2177"/>
      <c r="AU9" s="2177" t="s">
        <v>1894</v>
      </c>
      <c r="AV9" s="1291"/>
      <c r="AW9" s="2160"/>
      <c r="AX9" s="1291"/>
      <c r="AY9" s="28"/>
      <c r="AZ9" s="28" t="s">
        <v>1884</v>
      </c>
      <c r="BA9" s="2189" t="s">
        <v>1895</v>
      </c>
      <c r="BB9" s="2190"/>
      <c r="BC9" s="1337"/>
      <c r="BD9" s="1337"/>
      <c r="BE9" s="1337"/>
      <c r="BF9" s="1337"/>
      <c r="BG9" s="1337"/>
      <c r="BH9" s="1337"/>
      <c r="BI9" s="1337"/>
      <c r="BJ9" s="1337"/>
      <c r="BK9" s="2191"/>
      <c r="BL9" s="15" t="s">
        <v>1896</v>
      </c>
      <c r="BM9" s="1816"/>
      <c r="BN9" s="2180"/>
      <c r="BO9" s="1816"/>
      <c r="BP9" s="1816"/>
      <c r="BQ9" s="1816"/>
      <c r="BR9" s="1816"/>
      <c r="BS9" s="1816"/>
      <c r="BT9" s="26"/>
    </row>
    <row r="10" spans="1:72" s="2184" customFormat="1" ht="13.2">
      <c r="A10" s="2177"/>
      <c r="B10" s="2177"/>
      <c r="C10" s="2177"/>
      <c r="D10" s="2177"/>
      <c r="E10" s="2177"/>
      <c r="F10" s="2177"/>
      <c r="G10" s="1291"/>
      <c r="H10" s="28"/>
      <c r="I10" s="2186" t="s">
        <v>3418</v>
      </c>
      <c r="J10" s="981"/>
      <c r="K10" s="2192" t="s">
        <v>3418</v>
      </c>
      <c r="L10" s="981"/>
      <c r="M10" s="2192"/>
      <c r="N10" s="981"/>
      <c r="O10" s="2192"/>
      <c r="P10" s="981"/>
      <c r="Q10" s="2192"/>
      <c r="R10" s="981"/>
      <c r="S10" s="2192"/>
      <c r="T10" s="981"/>
      <c r="U10" s="2192"/>
      <c r="V10" s="981"/>
      <c r="W10" s="2192"/>
      <c r="X10" s="981"/>
      <c r="Y10" s="2192"/>
      <c r="Z10" s="981"/>
      <c r="AA10" s="2192"/>
      <c r="AB10" s="981"/>
      <c r="AC10" s="1291"/>
      <c r="AD10" s="15" t="s">
        <v>1897</v>
      </c>
      <c r="AE10" s="2193"/>
      <c r="AF10" s="15" t="s">
        <v>1897</v>
      </c>
      <c r="AG10" s="2193"/>
      <c r="AH10" s="15" t="s">
        <v>1898</v>
      </c>
      <c r="AI10" s="2193"/>
      <c r="AJ10" s="15" t="s">
        <v>1898</v>
      </c>
      <c r="AK10" s="2193"/>
      <c r="AL10" s="15" t="s">
        <v>1899</v>
      </c>
      <c r="AM10" s="1297"/>
      <c r="AN10" s="15" t="s">
        <v>1899</v>
      </c>
      <c r="AO10" s="1297"/>
      <c r="AP10" s="15" t="s">
        <v>1900</v>
      </c>
      <c r="AQ10" s="1297"/>
      <c r="AR10" s="15" t="s">
        <v>1900</v>
      </c>
      <c r="AS10" s="1297"/>
      <c r="AT10" s="2177"/>
      <c r="AU10" s="2177"/>
      <c r="AV10" s="1291"/>
      <c r="AW10" s="2160"/>
      <c r="AX10" s="1291"/>
      <c r="AY10" s="28"/>
      <c r="AZ10" s="28"/>
      <c r="BA10" s="2194" t="s">
        <v>1891</v>
      </c>
      <c r="BB10" s="2195" t="str">
        <f>I9</f>
        <v>地上</v>
      </c>
      <c r="BC10" s="29" t="str">
        <f>K9</f>
        <v>地上</v>
      </c>
      <c r="BD10" s="29">
        <f>M9</f>
        <v>0</v>
      </c>
      <c r="BE10" s="29">
        <f>O9</f>
        <v>0</v>
      </c>
      <c r="BF10" s="29">
        <f>Q9</f>
        <v>0</v>
      </c>
      <c r="BG10" s="29">
        <f>S9</f>
        <v>0</v>
      </c>
      <c r="BH10" s="29">
        <f>U9</f>
        <v>0</v>
      </c>
      <c r="BI10" s="29">
        <f>W9</f>
        <v>0</v>
      </c>
      <c r="BJ10" s="29">
        <f>Y9</f>
        <v>0</v>
      </c>
      <c r="BK10" s="29">
        <f>AA9</f>
        <v>0</v>
      </c>
      <c r="BL10" s="25" t="s">
        <v>1891</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3.2">
      <c r="A11" s="2177"/>
      <c r="B11" s="2177"/>
      <c r="C11" s="2177"/>
      <c r="D11" s="2177"/>
      <c r="E11" s="2177"/>
      <c r="F11" s="2177"/>
      <c r="G11" s="1291"/>
      <c r="H11" s="2194"/>
      <c r="I11" s="2197" t="s">
        <v>3422</v>
      </c>
      <c r="J11" s="2198"/>
      <c r="K11" s="2197" t="s">
        <v>3471</v>
      </c>
      <c r="L11" s="2198"/>
      <c r="M11" s="2197"/>
      <c r="N11" s="2198"/>
      <c r="O11" s="2197"/>
      <c r="P11" s="2198"/>
      <c r="Q11" s="2197"/>
      <c r="R11" s="2198"/>
      <c r="S11" s="2197"/>
      <c r="T11" s="2198"/>
      <c r="U11" s="2197"/>
      <c r="V11" s="2198"/>
      <c r="W11" s="2197"/>
      <c r="X11" s="2198"/>
      <c r="Y11" s="2197"/>
      <c r="Z11" s="2198"/>
      <c r="AA11" s="2197"/>
      <c r="AB11" s="2198"/>
      <c r="AC11" s="1291"/>
      <c r="AD11" s="2199" t="s">
        <v>1901</v>
      </c>
      <c r="AE11" s="1817"/>
      <c r="AF11" s="2199" t="s">
        <v>1901</v>
      </c>
      <c r="AG11" s="1817"/>
      <c r="AH11" s="2199" t="s">
        <v>1902</v>
      </c>
      <c r="AI11" s="2200"/>
      <c r="AJ11" s="2199" t="s">
        <v>1902</v>
      </c>
      <c r="AK11" s="1817"/>
      <c r="AL11" s="1815"/>
      <c r="AM11" s="1817"/>
      <c r="AN11" s="1815"/>
      <c r="AO11" s="1817"/>
      <c r="AP11" s="1815"/>
      <c r="AQ11" s="1817"/>
      <c r="AR11" s="1815"/>
      <c r="AS11" s="1817"/>
      <c r="AT11" s="2160"/>
      <c r="AU11" s="2177"/>
      <c r="AV11" s="1291"/>
      <c r="AW11" s="2160"/>
      <c r="AX11" s="1291"/>
      <c r="AY11" s="28"/>
      <c r="AZ11" s="28"/>
      <c r="BA11" s="28"/>
      <c r="BB11" s="2182" t="str">
        <f>I10</f>
        <v>住宅</v>
      </c>
      <c r="BC11" s="2182" t="str">
        <f>K10</f>
        <v>住宅</v>
      </c>
      <c r="BD11" s="2182">
        <f>M10</f>
        <v>0</v>
      </c>
      <c r="BE11" s="2182">
        <f>O10</f>
        <v>0</v>
      </c>
      <c r="BF11" s="2182">
        <f>Q10</f>
        <v>0</v>
      </c>
      <c r="BG11" s="2182">
        <f>S10</f>
        <v>0</v>
      </c>
      <c r="BH11" s="2182">
        <f>U10</f>
        <v>0</v>
      </c>
      <c r="BI11" s="2182">
        <f>W10</f>
        <v>0</v>
      </c>
      <c r="BJ11" s="2182">
        <f>Y10</f>
        <v>0</v>
      </c>
      <c r="BK11" s="2182">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0" t="s">
        <v>1904</v>
      </c>
      <c r="W12" s="11" t="s">
        <v>1903</v>
      </c>
      <c r="X12" s="11" t="s">
        <v>1904</v>
      </c>
      <c r="Y12" s="11" t="s">
        <v>1903</v>
      </c>
      <c r="Z12" s="11" t="s">
        <v>1904</v>
      </c>
      <c r="AA12" s="11" t="s">
        <v>1903</v>
      </c>
      <c r="AB12" s="11" t="s">
        <v>1904</v>
      </c>
      <c r="AC12" s="2204"/>
      <c r="AD12" s="180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洋房</v>
      </c>
      <c r="BC12" s="2207" t="str">
        <f>K11</f>
        <v>高层</v>
      </c>
      <c r="BD12" s="2207">
        <f>M11</f>
        <v>0</v>
      </c>
      <c r="BE12" s="2182">
        <f>O11</f>
        <v>0</v>
      </c>
      <c r="BF12" s="2182">
        <f>Q11</f>
        <v>0</v>
      </c>
      <c r="BG12" s="2182">
        <f>S11</f>
        <v>0</v>
      </c>
      <c r="BH12" s="2182">
        <f>U11</f>
        <v>0</v>
      </c>
      <c r="BI12" s="2182">
        <f>W11</f>
        <v>0</v>
      </c>
      <c r="BJ12" s="2182">
        <f>Y11</f>
        <v>0</v>
      </c>
      <c r="BK12" s="2182">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c r="A13" s="1271"/>
      <c r="B13" s="2961"/>
      <c r="C13" s="1271"/>
      <c r="D13" s="2943" t="s">
        <v>3412</v>
      </c>
      <c r="E13" s="16">
        <f>IF($C$3="是",ROUND($A$3*G13/$B$3,2),ROUND($A$3*(G13-AT13)/$B$3,2))</f>
        <v>138914.79999999999</v>
      </c>
      <c r="F13" s="32"/>
      <c r="G13" s="33">
        <f>H13+AC13+AT13</f>
        <v>14966.349999999999</v>
      </c>
      <c r="H13" s="20">
        <f>SUMIF(I$12:AB$12,"总值",I13:AB13)</f>
        <v>14966.349999999999</v>
      </c>
      <c r="I13" s="2208"/>
      <c r="J13" s="2208"/>
      <c r="K13" s="2208">
        <f>'[1]4-1、4-2'!$P$37</f>
        <v>14966.349999999999</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4">
        <f>ROUND($AY$6*AZ13/$AZ$5,2)</f>
        <v>3741.59</v>
      </c>
      <c r="AZ13" s="16">
        <f>BA13+BL13</f>
        <v>14966.349999999999</v>
      </c>
      <c r="BA13" s="16">
        <f>SUM(BB13:BK13)</f>
        <v>14966.349999999999</v>
      </c>
      <c r="BB13" s="16">
        <f>IF($D13="是",I13-J13,0)</f>
        <v>0</v>
      </c>
      <c r="BC13" s="16">
        <f>IF($D13="是",K13-L13,0)</f>
        <v>14966.349999999999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26.4">
      <c r="A14" s="2961" t="s">
        <v>3424</v>
      </c>
      <c r="B14" s="2961" t="s">
        <v>3425</v>
      </c>
      <c r="C14" s="1271"/>
      <c r="D14" s="2975"/>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出让合同容积率</v>
      </c>
      <c r="AW14" s="11" t="str">
        <f t="shared" si="6"/>
        <v>总建筑面积</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c r="A15" s="1271">
        <v>4</v>
      </c>
      <c r="B15" s="1271">
        <f>A3*A15</f>
        <v>555659.19999999995</v>
      </c>
      <c r="C15" s="1271"/>
      <c r="D15" s="2975"/>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4</v>
      </c>
      <c r="AW15" s="11">
        <f t="shared" si="6"/>
        <v>555659.19999999995</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c r="A16" s="1271"/>
      <c r="B16" s="1271"/>
      <c r="C16" s="1271"/>
      <c r="D16" s="2975"/>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c r="A17" s="1271"/>
      <c r="B17" s="1271"/>
      <c r="C17" s="1271"/>
      <c r="D17" s="2975"/>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1"/>
      <c r="D18" s="2975"/>
      <c r="E18" s="35">
        <f t="shared" ref="E18:E112" si="7">IF($C$3="是",ROUND($A$3*G18/$B$3,2),ROUND($A$3*(G18-AT18)/$B$3,2))</f>
        <v>0</v>
      </c>
      <c r="F18" s="36"/>
      <c r="G18" s="37">
        <f t="shared" ref="G18:G109" si="8">H18+AC18+AT18</f>
        <v>0</v>
      </c>
      <c r="H18" s="38">
        <f t="shared" ref="H18:H109" si="9">SUMIF(I$12:AB$12,"总值",I18:AB18)</f>
        <v>0</v>
      </c>
      <c r="I18" s="220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2209"/>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1"/>
      <c r="D19" s="2975"/>
      <c r="E19" s="35">
        <f t="shared" si="7"/>
        <v>0</v>
      </c>
      <c r="F19" s="36"/>
      <c r="G19" s="37">
        <f t="shared" si="8"/>
        <v>0</v>
      </c>
      <c r="H19" s="38">
        <f t="shared" si="9"/>
        <v>0</v>
      </c>
      <c r="I19" s="2208"/>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209"/>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1"/>
      <c r="D20" s="2975"/>
      <c r="E20" s="35">
        <f t="shared" si="7"/>
        <v>0</v>
      </c>
      <c r="F20" s="36"/>
      <c r="G20" s="37">
        <f t="shared" si="8"/>
        <v>0</v>
      </c>
      <c r="H20" s="38">
        <f t="shared" si="9"/>
        <v>0</v>
      </c>
      <c r="I20" s="2208"/>
      <c r="J20" s="39"/>
      <c r="K20" s="2208"/>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2209"/>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1"/>
      <c r="D21" s="2975"/>
      <c r="E21" s="35">
        <f t="shared" si="7"/>
        <v>0</v>
      </c>
      <c r="F21" s="36"/>
      <c r="G21" s="37">
        <f t="shared" si="8"/>
        <v>0</v>
      </c>
      <c r="H21" s="38">
        <f t="shared" si="9"/>
        <v>0</v>
      </c>
      <c r="I21" s="2208"/>
      <c r="J21" s="39"/>
      <c r="K21" s="2208"/>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2209"/>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1"/>
      <c r="D22" s="2975"/>
      <c r="E22" s="35">
        <f t="shared" si="7"/>
        <v>0</v>
      </c>
      <c r="F22" s="36"/>
      <c r="G22" s="37">
        <f t="shared" si="8"/>
        <v>0</v>
      </c>
      <c r="H22" s="38">
        <f t="shared" si="9"/>
        <v>0</v>
      </c>
      <c r="I22" s="2208"/>
      <c r="J22" s="39"/>
      <c r="K22" s="2208"/>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2209"/>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1"/>
      <c r="D23" s="2975"/>
      <c r="E23" s="35">
        <f t="shared" si="7"/>
        <v>0</v>
      </c>
      <c r="F23" s="36"/>
      <c r="G23" s="37">
        <f t="shared" si="8"/>
        <v>0</v>
      </c>
      <c r="H23" s="38">
        <f t="shared" si="9"/>
        <v>0</v>
      </c>
      <c r="I23" s="2208"/>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2209"/>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1"/>
      <c r="D24" s="2975"/>
      <c r="E24" s="35">
        <f t="shared" si="7"/>
        <v>0</v>
      </c>
      <c r="F24" s="36"/>
      <c r="G24" s="37">
        <f t="shared" si="8"/>
        <v>0</v>
      </c>
      <c r="H24" s="38">
        <f t="shared" si="9"/>
        <v>0</v>
      </c>
      <c r="I24" s="2208"/>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2209"/>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1"/>
      <c r="D25" s="2975"/>
      <c r="E25" s="35">
        <f t="shared" si="7"/>
        <v>0</v>
      </c>
      <c r="F25" s="36"/>
      <c r="G25" s="37">
        <f t="shared" si="8"/>
        <v>0</v>
      </c>
      <c r="H25" s="38">
        <f t="shared" si="9"/>
        <v>0</v>
      </c>
      <c r="I25" s="2208"/>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2209"/>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1"/>
      <c r="D26" s="2975"/>
      <c r="E26" s="35">
        <f t="shared" si="7"/>
        <v>0</v>
      </c>
      <c r="F26" s="36"/>
      <c r="G26" s="37">
        <f t="shared" si="8"/>
        <v>0</v>
      </c>
      <c r="H26" s="38">
        <f t="shared" si="9"/>
        <v>0</v>
      </c>
      <c r="I26" s="2208"/>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2209"/>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1"/>
      <c r="D27" s="2975"/>
      <c r="E27" s="35">
        <f t="shared" si="7"/>
        <v>0</v>
      </c>
      <c r="F27" s="36"/>
      <c r="G27" s="37">
        <f t="shared" si="8"/>
        <v>0</v>
      </c>
      <c r="H27" s="38">
        <f t="shared" si="9"/>
        <v>0</v>
      </c>
      <c r="I27" s="2208"/>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2209"/>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1"/>
      <c r="D28" s="2943"/>
      <c r="E28" s="35">
        <f t="shared" si="7"/>
        <v>0</v>
      </c>
      <c r="F28" s="36"/>
      <c r="G28" s="37">
        <f t="shared" si="8"/>
        <v>0</v>
      </c>
      <c r="H28" s="38">
        <f t="shared" si="9"/>
        <v>0</v>
      </c>
      <c r="I28" s="2208"/>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2209"/>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1"/>
      <c r="D29" s="2943"/>
      <c r="E29" s="35">
        <f t="shared" si="7"/>
        <v>0</v>
      </c>
      <c r="F29" s="36"/>
      <c r="G29" s="37">
        <f t="shared" si="8"/>
        <v>0</v>
      </c>
      <c r="H29" s="38">
        <f t="shared" si="9"/>
        <v>0</v>
      </c>
      <c r="I29" s="2208"/>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2209"/>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1"/>
      <c r="D30" s="2943"/>
      <c r="E30" s="35">
        <f t="shared" si="7"/>
        <v>0</v>
      </c>
      <c r="F30" s="36"/>
      <c r="G30" s="37">
        <f t="shared" si="8"/>
        <v>0</v>
      </c>
      <c r="H30" s="38">
        <f t="shared" si="9"/>
        <v>0</v>
      </c>
      <c r="I30" s="2208"/>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2209"/>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1"/>
      <c r="D31" s="2943"/>
      <c r="E31" s="35">
        <f t="shared" si="7"/>
        <v>0</v>
      </c>
      <c r="F31" s="36"/>
      <c r="G31" s="37">
        <f t="shared" si="8"/>
        <v>0</v>
      </c>
      <c r="H31" s="38">
        <f t="shared" si="9"/>
        <v>0</v>
      </c>
      <c r="I31" s="220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2209"/>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1"/>
      <c r="D32" s="2943"/>
      <c r="E32" s="35">
        <f t="shared" si="7"/>
        <v>0</v>
      </c>
      <c r="F32" s="36"/>
      <c r="G32" s="37">
        <f t="shared" si="8"/>
        <v>0</v>
      </c>
      <c r="H32" s="38">
        <f t="shared" si="9"/>
        <v>0</v>
      </c>
      <c r="I32" s="2208"/>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2209"/>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1"/>
      <c r="D33" s="2943"/>
      <c r="E33" s="35">
        <f t="shared" si="7"/>
        <v>0</v>
      </c>
      <c r="F33" s="36"/>
      <c r="G33" s="37">
        <f t="shared" si="8"/>
        <v>0</v>
      </c>
      <c r="H33" s="38">
        <f t="shared" si="9"/>
        <v>0</v>
      </c>
      <c r="I33" s="2208"/>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2209"/>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1"/>
      <c r="D34" s="2943"/>
      <c r="E34" s="35">
        <f t="shared" si="7"/>
        <v>0</v>
      </c>
      <c r="F34" s="36"/>
      <c r="G34" s="37">
        <f t="shared" si="8"/>
        <v>0</v>
      </c>
      <c r="H34" s="38">
        <f t="shared" si="9"/>
        <v>0</v>
      </c>
      <c r="I34" s="2208"/>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2209"/>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1"/>
      <c r="D35" s="2943"/>
      <c r="E35" s="35">
        <f t="shared" si="7"/>
        <v>0</v>
      </c>
      <c r="F35" s="36"/>
      <c r="G35" s="37">
        <f t="shared" si="8"/>
        <v>0</v>
      </c>
      <c r="H35" s="38">
        <f t="shared" si="9"/>
        <v>0</v>
      </c>
      <c r="I35" s="2208"/>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2209"/>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1"/>
      <c r="D36" s="2212"/>
      <c r="E36" s="35">
        <f t="shared" si="7"/>
        <v>0</v>
      </c>
      <c r="F36" s="36"/>
      <c r="G36" s="37">
        <f t="shared" si="8"/>
        <v>0</v>
      </c>
      <c r="H36" s="38">
        <f t="shared" si="9"/>
        <v>0</v>
      </c>
      <c r="I36" s="2208"/>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2209"/>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1"/>
      <c r="D37" s="2212"/>
      <c r="E37" s="35">
        <f t="shared" si="7"/>
        <v>0</v>
      </c>
      <c r="F37" s="36"/>
      <c r="G37" s="37">
        <f t="shared" si="8"/>
        <v>0</v>
      </c>
      <c r="H37" s="38">
        <f t="shared" si="9"/>
        <v>0</v>
      </c>
      <c r="I37" s="2208"/>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2208"/>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2208"/>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2208"/>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2208"/>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2208"/>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2208"/>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2208"/>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2208"/>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46.8">
      <c r="A3" s="3054"/>
      <c r="B3" s="3054"/>
      <c r="C3" s="3054"/>
      <c r="D3" s="3055"/>
      <c r="E3" s="305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AH33"/>
  <sheetViews>
    <sheetView view="pageBreakPreview" zoomScale="90" zoomScaleNormal="100" zoomScaleSheetLayoutView="90" workbookViewId="0">
      <selection activeCell="H43" sqref="H43"/>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34" ht="17.399999999999999">
      <c r="A1" s="2219" t="s">
        <v>1930</v>
      </c>
      <c r="B1" s="1391"/>
      <c r="C1" s="1391"/>
      <c r="D1" s="1391"/>
      <c r="E1" s="1391"/>
      <c r="F1" s="1391"/>
      <c r="G1" s="1391"/>
      <c r="H1" s="1391"/>
      <c r="I1" s="1391"/>
      <c r="J1" s="1391"/>
      <c r="K1" s="1391"/>
      <c r="L1" s="1391"/>
      <c r="M1" s="1391"/>
      <c r="N1" s="1391"/>
      <c r="O1" s="1391"/>
      <c r="P1" s="1391"/>
    </row>
    <row r="2" spans="1:34" ht="14.4">
      <c r="A2" s="3065" t="s">
        <v>1931</v>
      </c>
      <c r="B2" s="3065"/>
      <c r="C2" s="3065"/>
      <c r="D2" s="967" t="s">
        <v>1907</v>
      </c>
      <c r="E2" s="2221" t="s">
        <v>1908</v>
      </c>
      <c r="F2" s="1391"/>
      <c r="G2" s="2222"/>
      <c r="H2" s="2223"/>
      <c r="I2" s="2224" t="s">
        <v>1932</v>
      </c>
      <c r="J2" s="1391"/>
      <c r="K2" s="1391"/>
      <c r="L2" s="1391"/>
      <c r="M2" s="1391"/>
      <c r="N2" s="1426"/>
      <c r="O2" s="1391"/>
      <c r="P2" s="1391"/>
    </row>
    <row r="3" spans="1:34" ht="15" thickBot="1">
      <c r="A3" s="3066" t="s">
        <v>1905</v>
      </c>
      <c r="B3" s="3066"/>
      <c r="C3" s="3066"/>
      <c r="D3" s="46">
        <f>'数据-基础表'!AY6</f>
        <v>3741.59</v>
      </c>
      <c r="E3" s="46">
        <f>'数据-基础表'!AZ5</f>
        <v>14966.349999999999</v>
      </c>
      <c r="F3" s="1391"/>
      <c r="G3" s="1398"/>
      <c r="H3" s="1246" t="s">
        <v>1906</v>
      </c>
      <c r="I3" s="55">
        <f>ROUND('数据-基础表'!B3/'数据-基础表'!A3,2)</f>
        <v>0.11</v>
      </c>
      <c r="J3" s="1391"/>
      <c r="K3" s="1391"/>
      <c r="L3" s="1391"/>
      <c r="M3" s="1391"/>
      <c r="N3" s="1426"/>
      <c r="O3" s="1391"/>
      <c r="P3" s="1391"/>
    </row>
    <row r="4" spans="1:34" ht="14.4">
      <c r="A4" s="3067"/>
      <c r="B4" s="3068"/>
      <c r="C4" s="3069"/>
      <c r="D4" s="2225" t="s">
        <v>1907</v>
      </c>
      <c r="E4" s="2226" t="s">
        <v>1908</v>
      </c>
      <c r="F4" s="1391"/>
      <c r="G4" s="2227" t="s">
        <v>1933</v>
      </c>
      <c r="H4" s="1246" t="s">
        <v>1913</v>
      </c>
      <c r="I4" s="55">
        <f>ROUND(SUMIF('数据-基础表'!I9:AS9,"地上",'数据-基础表'!I5:AS5)/'数据-基础表'!A3,2)</f>
        <v>0.11</v>
      </c>
      <c r="J4" s="1391"/>
      <c r="K4" s="1391"/>
      <c r="L4" s="1391"/>
      <c r="M4" s="1391"/>
      <c r="N4" s="1426"/>
      <c r="O4" s="1391"/>
      <c r="P4" s="1391"/>
    </row>
    <row r="5" spans="1:34" ht="14.4">
      <c r="A5" s="47" t="s">
        <v>1909</v>
      </c>
      <c r="B5" s="3070" t="s">
        <v>1910</v>
      </c>
      <c r="C5" s="3070"/>
      <c r="D5" s="48">
        <f>ROUND($D$3*E5/$E$3,2)</f>
        <v>3741.59</v>
      </c>
      <c r="E5" s="49">
        <f>SUMIF('数据-基础表'!$11:$11,"住宅",'数据-基础表'!$5:$5)</f>
        <v>14966.349999999999</v>
      </c>
      <c r="F5" s="1391"/>
      <c r="G5" s="1398"/>
      <c r="H5" s="1246" t="s">
        <v>1906</v>
      </c>
      <c r="I5" s="55">
        <f>ROUND(E31/D31,2)</f>
        <v>4</v>
      </c>
      <c r="J5" s="1391"/>
      <c r="K5" s="1391"/>
      <c r="L5" s="1391"/>
      <c r="M5" s="1391"/>
      <c r="N5" s="1391"/>
      <c r="O5" s="1391"/>
      <c r="P5" s="1391"/>
    </row>
    <row r="6" spans="1:34" ht="15" thickBot="1">
      <c r="A6" s="2228"/>
      <c r="B6" s="3070" t="s">
        <v>1911</v>
      </c>
      <c r="C6" s="3070"/>
      <c r="D6" s="48">
        <f>ROUND($D$3*E6/$E$3,2)</f>
        <v>0</v>
      </c>
      <c r="E6" s="49">
        <f>E3-E5</f>
        <v>0</v>
      </c>
      <c r="F6" s="1391"/>
      <c r="G6" s="2229" t="s">
        <v>1912</v>
      </c>
      <c r="H6" s="1398" t="s">
        <v>1913</v>
      </c>
      <c r="I6" s="939">
        <f>ROUND(F31/D31,2)</f>
        <v>4</v>
      </c>
      <c r="J6" s="1391"/>
      <c r="K6" s="1391"/>
      <c r="L6" s="1391"/>
      <c r="M6" s="1391"/>
      <c r="N6" s="1391"/>
      <c r="O6" s="1391"/>
      <c r="P6" s="1391"/>
    </row>
    <row r="7" spans="1:34" ht="14.4">
      <c r="A7" s="3062"/>
      <c r="B7" s="3063"/>
      <c r="C7" s="3064"/>
      <c r="D7" s="2225" t="s">
        <v>1907</v>
      </c>
      <c r="E7" s="2230" t="s">
        <v>1914</v>
      </c>
      <c r="F7" s="1391"/>
      <c r="G7" s="2222" t="s">
        <v>1915</v>
      </c>
      <c r="H7" s="64"/>
      <c r="I7" s="420"/>
      <c r="J7" s="1391"/>
      <c r="K7" s="1391"/>
      <c r="L7" s="1391"/>
      <c r="M7" s="1391"/>
      <c r="N7" s="1391"/>
      <c r="O7" s="1391"/>
      <c r="P7" s="1391"/>
    </row>
    <row r="8" spans="1:34" ht="14.4">
      <c r="A8" s="47" t="s">
        <v>1916</v>
      </c>
      <c r="B8" s="50" t="s">
        <v>1917</v>
      </c>
      <c r="C8" s="48" t="s">
        <v>1918</v>
      </c>
      <c r="D8" s="48">
        <f t="shared" ref="D8:D15" si="0">ROUND($D$3*E8/$E$3,2)</f>
        <v>3741.59</v>
      </c>
      <c r="E8" s="51">
        <f>SUMIF('数据-基础表'!BB10:BK10,"地上",'数据-基础表'!BB5:BK5)</f>
        <v>14966.349999999999</v>
      </c>
      <c r="F8" s="1391"/>
      <c r="G8" s="2231"/>
      <c r="H8" s="2231"/>
      <c r="I8" s="1391"/>
      <c r="J8" s="1391"/>
      <c r="K8" s="1391"/>
      <c r="L8" s="1391"/>
      <c r="M8" s="1391"/>
      <c r="N8" s="1391"/>
      <c r="O8" s="1391"/>
      <c r="P8" s="1391"/>
    </row>
    <row r="9" spans="1:34" ht="14.4">
      <c r="A9" s="2232"/>
      <c r="B9" s="2233"/>
      <c r="C9" s="48" t="s">
        <v>1919</v>
      </c>
      <c r="D9" s="48">
        <f t="shared" si="0"/>
        <v>0</v>
      </c>
      <c r="E9" s="52">
        <v>0</v>
      </c>
      <c r="F9" s="1391"/>
      <c r="G9" s="2231"/>
      <c r="H9" s="2231"/>
      <c r="I9" s="1391"/>
      <c r="J9" s="1391"/>
      <c r="K9" s="1391"/>
      <c r="L9" s="1391"/>
      <c r="M9" s="1391"/>
      <c r="N9" s="1391"/>
      <c r="O9" s="1391"/>
      <c r="P9" s="1391"/>
    </row>
    <row r="10" spans="1:34" ht="14.4">
      <c r="A10" s="2232"/>
      <c r="B10" s="2233"/>
      <c r="C10" s="48" t="s">
        <v>1928</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34" ht="14.4">
      <c r="A11" s="2232"/>
      <c r="B11" s="2233"/>
      <c r="C11" s="48" t="s">
        <v>1920</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34" ht="14.4">
      <c r="A12" s="2232"/>
      <c r="B12" s="2233"/>
      <c r="C12" s="48" t="s">
        <v>1921</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34" ht="14.4">
      <c r="A13" s="2232"/>
      <c r="B13" s="2233"/>
      <c r="C13" s="48" t="s">
        <v>1922</v>
      </c>
      <c r="D13" s="48">
        <f t="shared" si="0"/>
        <v>0</v>
      </c>
      <c r="E13" s="51">
        <f>SUMPRODUCT(('数据-基础表'!BB10:BK10="地下")*('数据-基础表'!BB11:BK11="车库")*('数据-基础表'!BB5:BK5))</f>
        <v>0</v>
      </c>
      <c r="F13" s="1391"/>
      <c r="G13" s="2231"/>
      <c r="H13" s="2231"/>
      <c r="I13" s="1391">
        <f>B15-AC13-K13</f>
        <v>0</v>
      </c>
      <c r="J13" s="1391"/>
      <c r="K13" s="1391"/>
      <c r="L13" s="1391"/>
      <c r="M13" s="1391"/>
      <c r="N13" s="1391"/>
      <c r="O13" s="1391"/>
      <c r="P13" s="1391"/>
      <c r="AD13" s="2220">
        <f>15000+4000+100+200+20</f>
        <v>19320</v>
      </c>
      <c r="AH13" s="2220">
        <v>300</v>
      </c>
    </row>
    <row r="14" spans="1:34" ht="14.4">
      <c r="A14" s="2232"/>
      <c r="B14" s="2233"/>
      <c r="C14" s="48" t="s">
        <v>1934</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34" ht="15" thickBot="1">
      <c r="A15" s="2232"/>
      <c r="B15" s="2233"/>
      <c r="C15" s="48" t="s">
        <v>1929</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34" ht="15" thickBot="1">
      <c r="A16" s="2228"/>
      <c r="B16" s="2233"/>
      <c r="C16" s="50" t="s">
        <v>1923</v>
      </c>
      <c r="D16" s="50">
        <f>SUM(D8:D15)</f>
        <v>3741.59</v>
      </c>
      <c r="E16" s="53">
        <f>SUM(E8:E15)</f>
        <v>14966.349999999999</v>
      </c>
      <c r="F16" s="1391"/>
      <c r="G16" s="2231"/>
      <c r="H16" s="2234" t="s">
        <v>1935</v>
      </c>
      <c r="I16" s="2235"/>
      <c r="J16" s="1391"/>
      <c r="K16" s="3059" t="s">
        <v>1935</v>
      </c>
      <c r="L16" s="3060"/>
      <c r="M16" s="3060"/>
      <c r="N16" s="3060"/>
      <c r="O16" s="3060"/>
      <c r="P16" s="3061"/>
    </row>
    <row r="17" spans="1:19" ht="14.4">
      <c r="A17" s="2236" t="s">
        <v>1936</v>
      </c>
      <c r="B17" s="2237" t="s">
        <v>1937</v>
      </c>
      <c r="C17" s="2238" t="s">
        <v>1938</v>
      </c>
      <c r="D17" s="2239" t="s">
        <v>1926</v>
      </c>
      <c r="E17" s="2240" t="s">
        <v>1927</v>
      </c>
      <c r="F17" s="2241"/>
      <c r="G17" s="2242"/>
      <c r="H17" s="2243" t="s">
        <v>1939</v>
      </c>
      <c r="I17" s="2244" t="s">
        <v>1924</v>
      </c>
      <c r="J17" s="1391"/>
      <c r="K17" s="3056" t="s">
        <v>1940</v>
      </c>
      <c r="L17" s="3057"/>
      <c r="M17" s="3058"/>
      <c r="N17" s="3056" t="s">
        <v>1941</v>
      </c>
      <c r="O17" s="3057"/>
      <c r="P17" s="3058"/>
      <c r="R17" s="2222" t="s">
        <v>1942</v>
      </c>
      <c r="S17" s="64"/>
    </row>
    <row r="18" spans="1:19" ht="14.4">
      <c r="A18" s="2232"/>
      <c r="B18" s="2245"/>
      <c r="C18" s="2246"/>
      <c r="D18" s="2247"/>
      <c r="E18" s="2248" t="s">
        <v>1943</v>
      </c>
      <c r="F18" s="2249" t="s">
        <v>1944</v>
      </c>
      <c r="G18" s="2250" t="s">
        <v>1945</v>
      </c>
      <c r="H18" s="1261" t="s">
        <v>1946</v>
      </c>
      <c r="I18" s="2251" t="s">
        <v>1947</v>
      </c>
      <c r="J18" s="1391"/>
      <c r="K18" s="1261" t="s">
        <v>1948</v>
      </c>
      <c r="L18" s="2252" t="s">
        <v>1949</v>
      </c>
      <c r="M18" s="1045" t="s">
        <v>1950</v>
      </c>
      <c r="N18" s="1261" t="s">
        <v>1948</v>
      </c>
      <c r="O18" s="2252" t="s">
        <v>1949</v>
      </c>
      <c r="P18" s="1045" t="s">
        <v>1950</v>
      </c>
      <c r="R18" s="1246" t="s">
        <v>1951</v>
      </c>
      <c r="S18" s="1246" t="s">
        <v>1952</v>
      </c>
    </row>
    <row r="19" spans="1:19" ht="14.4">
      <c r="A19" s="2253"/>
      <c r="B19" s="50" t="s">
        <v>1925</v>
      </c>
      <c r="C19" s="2960" t="s">
        <v>3427</v>
      </c>
      <c r="D19" s="48">
        <f>ROUND($D$3*E19/$E$3,2)</f>
        <v>0</v>
      </c>
      <c r="E19" s="56">
        <f t="shared" ref="E19:E26" si="1">SUM(F19:G19)</f>
        <v>0</v>
      </c>
      <c r="F19" s="57">
        <f>'数据-基础表'!I5</f>
        <v>0</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4"/>
      <c r="O19" s="2255"/>
      <c r="P19" s="1402">
        <f>N19+O19</f>
        <v>0</v>
      </c>
      <c r="R19" s="1246">
        <f t="shared" ref="R19:S26" si="5">D19+H19</f>
        <v>0</v>
      </c>
      <c r="S19" s="1247">
        <f t="shared" si="5"/>
        <v>0</v>
      </c>
    </row>
    <row r="20" spans="1:19" ht="14.4">
      <c r="A20" s="2256"/>
      <c r="B20" s="50" t="s">
        <v>1953</v>
      </c>
      <c r="C20" s="2960" t="s">
        <v>3428</v>
      </c>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4"/>
      <c r="O20" s="2255"/>
      <c r="P20" s="1402">
        <f t="shared" ref="P20:P26" si="9">N20+O20</f>
        <v>0</v>
      </c>
      <c r="R20" s="1246">
        <f t="shared" si="5"/>
        <v>0</v>
      </c>
      <c r="S20" s="1247">
        <f t="shared" si="5"/>
        <v>0</v>
      </c>
    </row>
    <row r="21" spans="1:19" ht="14.4">
      <c r="A21" s="2256"/>
      <c r="B21" s="50" t="s">
        <v>1953</v>
      </c>
      <c r="C21" s="2960" t="s">
        <v>3498</v>
      </c>
      <c r="D21" s="48">
        <f t="shared" si="6"/>
        <v>3741.59</v>
      </c>
      <c r="E21" s="56">
        <f t="shared" si="1"/>
        <v>14966.349999999999</v>
      </c>
      <c r="F21" s="57">
        <f>'数据-基础表'!K5</f>
        <v>14966.349999999999</v>
      </c>
      <c r="G21" s="58"/>
      <c r="H21" s="723">
        <f t="shared" si="7"/>
        <v>0</v>
      </c>
      <c r="I21" s="51">
        <f t="shared" si="2"/>
        <v>0</v>
      </c>
      <c r="J21" s="1391"/>
      <c r="K21" s="1390">
        <f t="shared" si="3"/>
        <v>0</v>
      </c>
      <c r="L21" s="1246">
        <f t="shared" si="4"/>
        <v>0</v>
      </c>
      <c r="M21" s="1402">
        <f t="shared" si="8"/>
        <v>0</v>
      </c>
      <c r="N21" s="2254"/>
      <c r="O21" s="2255"/>
      <c r="P21" s="1402">
        <f t="shared" si="9"/>
        <v>0</v>
      </c>
      <c r="R21" s="1246">
        <f t="shared" si="5"/>
        <v>3741.59</v>
      </c>
      <c r="S21" s="1247">
        <f t="shared" si="5"/>
        <v>14966.349999999999</v>
      </c>
    </row>
    <row r="22" spans="1:19" ht="14.4">
      <c r="A22" s="2256"/>
      <c r="B22" s="50" t="s">
        <v>1953</v>
      </c>
      <c r="C22" s="2969" t="s">
        <v>3500</v>
      </c>
      <c r="D22" s="48">
        <f t="shared" si="6"/>
        <v>0</v>
      </c>
      <c r="E22" s="56">
        <f t="shared" si="1"/>
        <v>0</v>
      </c>
      <c r="F22" s="61"/>
      <c r="G22" s="62"/>
      <c r="H22" s="723">
        <f t="shared" si="7"/>
        <v>0</v>
      </c>
      <c r="I22" s="51">
        <f t="shared" si="2"/>
        <v>0</v>
      </c>
      <c r="J22" s="1391"/>
      <c r="K22" s="1390">
        <f t="shared" si="3"/>
        <v>0</v>
      </c>
      <c r="L22" s="1246">
        <f t="shared" si="4"/>
        <v>0</v>
      </c>
      <c r="M22" s="1402">
        <f t="shared" si="8"/>
        <v>0</v>
      </c>
      <c r="N22" s="2254"/>
      <c r="O22" s="2255"/>
      <c r="P22" s="1402">
        <f t="shared" si="9"/>
        <v>0</v>
      </c>
      <c r="R22" s="1246">
        <f t="shared" si="5"/>
        <v>0</v>
      </c>
      <c r="S22" s="1247">
        <f t="shared" si="5"/>
        <v>0</v>
      </c>
    </row>
    <row r="23" spans="1:19" ht="14.4">
      <c r="A23" s="2256"/>
      <c r="B23" s="50" t="s">
        <v>1953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4"/>
      <c r="O23" s="2255"/>
      <c r="P23" s="1402">
        <f t="shared" si="9"/>
        <v>0</v>
      </c>
      <c r="R23" s="1246">
        <f t="shared" si="5"/>
        <v>0</v>
      </c>
      <c r="S23" s="1247">
        <f t="shared" si="5"/>
        <v>0</v>
      </c>
    </row>
    <row r="24" spans="1:19" ht="14.4">
      <c r="A24" s="2256"/>
      <c r="B24" s="50" t="s">
        <v>1953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4"/>
      <c r="O24" s="2255"/>
      <c r="P24" s="1402">
        <f t="shared" si="9"/>
        <v>0</v>
      </c>
      <c r="R24" s="1246">
        <f t="shared" si="5"/>
        <v>0</v>
      </c>
      <c r="S24" s="1247">
        <f t="shared" si="5"/>
        <v>0</v>
      </c>
    </row>
    <row r="25" spans="1:19" ht="14.4">
      <c r="A25" s="2256"/>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4"/>
      <c r="O25" s="2255"/>
      <c r="P25" s="1402">
        <f t="shared" si="9"/>
        <v>0</v>
      </c>
      <c r="R25" s="1246">
        <f t="shared" si="5"/>
        <v>0</v>
      </c>
      <c r="S25" s="1247">
        <f t="shared" si="5"/>
        <v>0</v>
      </c>
    </row>
    <row r="26" spans="1:19" ht="14.4">
      <c r="A26" s="2256"/>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7"/>
      <c r="O26" s="2258"/>
      <c r="P26" s="67">
        <f t="shared" si="9"/>
        <v>0</v>
      </c>
      <c r="R26" s="1246">
        <f t="shared" si="5"/>
        <v>0</v>
      </c>
      <c r="S26" s="1247">
        <f t="shared" si="5"/>
        <v>0</v>
      </c>
    </row>
    <row r="27" spans="1:19" ht="15" thickBot="1">
      <c r="A27" s="2256"/>
      <c r="B27" s="48"/>
      <c r="C27" s="2259" t="s">
        <v>1954</v>
      </c>
      <c r="D27" s="1392">
        <f>SUM(D19:D26)</f>
        <v>3741.59</v>
      </c>
      <c r="E27" s="1393">
        <f>IF(SUM(E19:E26)='数据-基础表'!BA5,SUM(E19:E26),IF(F27="地上面积有误","面积有误","地下面积有误"))</f>
        <v>14966.349999999999</v>
      </c>
      <c r="F27" s="1392">
        <f>IF(SUM(F19:F26)=E8,SUM(F19:F26),"地上面积有误")</f>
        <v>14966.349999999999</v>
      </c>
      <c r="G27" s="1394">
        <f>SUM(G19:G26)</f>
        <v>0</v>
      </c>
      <c r="H27" s="1395">
        <f>SUM(H19:H26)</f>
        <v>0</v>
      </c>
      <c r="I27" s="1396">
        <f>SUM(I19:I26)</f>
        <v>0</v>
      </c>
      <c r="J27" s="1391"/>
      <c r="K27" s="1399">
        <f t="shared" ref="K27:P27" si="10">SUM(K19:K26)</f>
        <v>0</v>
      </c>
      <c r="L27" s="1400">
        <f t="shared" si="10"/>
        <v>0</v>
      </c>
      <c r="M27" s="1403">
        <f t="shared" si="10"/>
        <v>0</v>
      </c>
      <c r="N27" s="1399">
        <f t="shared" si="10"/>
        <v>0</v>
      </c>
      <c r="O27" s="1400">
        <f t="shared" si="10"/>
        <v>0</v>
      </c>
      <c r="P27" s="1401">
        <f t="shared" si="10"/>
        <v>0</v>
      </c>
      <c r="R27" s="1248">
        <f>IF(SUM(R19:R26)=$D$3,SUM(R19:R26),SUM(R19:R26)&amp;"误差"&amp;ROUND(SUM(R19:R26)-$D$3,2))</f>
        <v>3741.59</v>
      </c>
      <c r="S27" s="1246">
        <f>IF(SUM(S19:S26)=$E$3,SUM(S19:S26),SUM(S19:S26)&amp;"误差"&amp;ROUND(SUM(S19:S26)-E3,2))</f>
        <v>14966.349999999999</v>
      </c>
    </row>
    <row r="28" spans="1:19" ht="14.4">
      <c r="A28" s="2256"/>
      <c r="B28" s="50" t="s">
        <v>1955</v>
      </c>
      <c r="C28" s="1258" t="s">
        <v>1956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6"/>
      <c r="B29" s="50" t="s">
        <v>1955</v>
      </c>
      <c r="C29" s="2260"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6"/>
      <c r="B30" s="50"/>
      <c r="C30" s="2261" t="s">
        <v>1954</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2"/>
      <c r="B31" s="2263"/>
      <c r="C31" s="1006" t="s">
        <v>1958</v>
      </c>
      <c r="D31" s="729">
        <f>D27+D30</f>
        <v>3741.59</v>
      </c>
      <c r="E31" s="729">
        <f>E27+E30</f>
        <v>14966.349999999999</v>
      </c>
      <c r="F31" s="730">
        <f>F27+F30</f>
        <v>14966.349999999999</v>
      </c>
      <c r="G31" s="731">
        <f>G27+G30</f>
        <v>0</v>
      </c>
      <c r="H31" s="1391"/>
      <c r="I31" s="1391"/>
      <c r="J31" s="1391"/>
      <c r="K31" s="1391"/>
      <c r="L31" s="1391"/>
      <c r="M31" s="1391"/>
      <c r="N31" s="1391"/>
      <c r="O31" s="1391"/>
      <c r="P31" s="1391"/>
    </row>
    <row r="32" spans="1:19" ht="14.4">
      <c r="A32" s="2227"/>
      <c r="B32" s="2227" t="s">
        <v>1959</v>
      </c>
      <c r="C32" s="2227"/>
      <c r="D32" s="2227"/>
      <c r="E32" s="1273">
        <f>SUMIF(C19:C26,"*住宅*",E19:E26)</f>
        <v>14966.349999999999</v>
      </c>
      <c r="F32" s="2227"/>
      <c r="G32" s="2227"/>
      <c r="H32" s="1391"/>
      <c r="I32" s="1391"/>
      <c r="J32" s="1391"/>
      <c r="K32" s="1391"/>
      <c r="L32" s="1391"/>
      <c r="M32" s="1391"/>
      <c r="N32" s="1391"/>
      <c r="O32" s="1391"/>
      <c r="P32" s="1391"/>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8" sqref="M28"/>
    </sheetView>
  </sheetViews>
  <sheetFormatPr defaultColWidth="13.77734375" defaultRowHeight="13.2"/>
  <cols>
    <col min="1" max="1" width="20.88671875" style="2338" customWidth="1"/>
    <col min="2" max="2" width="12" style="2268" customWidth="1"/>
    <col min="3" max="3" width="10.77734375" style="2268" customWidth="1"/>
    <col min="4" max="4" width="9.109375" style="2339" customWidth="1"/>
    <col min="5" max="5" width="15" style="2268" bestFit="1" customWidth="1"/>
    <col min="6" max="10" width="8.88671875" style="2268" customWidth="1"/>
    <col min="11" max="12" width="12.33203125" style="2184" customWidth="1"/>
    <col min="13" max="13" width="8.6640625" style="2268" customWidth="1"/>
    <col min="14" max="14" width="11.88671875" style="2268" customWidth="1"/>
    <col min="15" max="15" width="8.44140625" style="2268" customWidth="1"/>
    <col min="16" max="17" width="10.88671875" style="2268" customWidth="1"/>
    <col min="18" max="19" width="12.44140625" style="2268" customWidth="1"/>
    <col min="20" max="20" width="12.109375" style="2268" customWidth="1"/>
    <col min="21" max="21" width="7.44140625" style="2268" customWidth="1"/>
    <col min="22" max="22" width="6.33203125" style="2268" customWidth="1"/>
    <col min="23" max="24" width="6.77734375" style="2268" customWidth="1"/>
    <col min="25" max="25" width="8.21875" style="2268" customWidth="1"/>
    <col min="26" max="30" width="6.77734375" style="2268" customWidth="1"/>
    <col min="31" max="31" width="8" style="2268" customWidth="1"/>
    <col min="32" max="34" width="7.21875" style="2268" customWidth="1"/>
    <col min="35" max="39" width="8" style="2268" customWidth="1"/>
    <col min="40" max="40" width="13.77734375" style="2267"/>
    <col min="41" max="41" width="11.6640625" style="2267" customWidth="1"/>
    <col min="42" max="42" width="9.77734375" style="2267" customWidth="1"/>
    <col min="43" max="67" width="13.77734375" style="2267"/>
    <col min="68" max="16384" width="13.77734375" style="2268"/>
  </cols>
  <sheetData>
    <row r="1" spans="1:67" ht="18" thickBot="1">
      <c r="A1" s="2265" t="s">
        <v>1960</v>
      </c>
      <c r="B1" s="732"/>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69" t="s">
        <v>1961</v>
      </c>
      <c r="B2" s="1265">
        <f>项目基本情况!D3</f>
        <v>43725</v>
      </c>
      <c r="C2" s="2270"/>
      <c r="D2" s="2271"/>
      <c r="E2" s="2270"/>
      <c r="F2" s="2270"/>
      <c r="G2" s="2270"/>
      <c r="H2" s="2270"/>
      <c r="I2" s="2270"/>
      <c r="J2" s="2270"/>
      <c r="K2" s="1426"/>
      <c r="L2" s="142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4.4" thickBot="1">
      <c r="A3" s="2026"/>
      <c r="B3" s="2273"/>
      <c r="C3" s="2270"/>
      <c r="D3" s="2271"/>
      <c r="E3" s="2270"/>
      <c r="F3" s="2270"/>
      <c r="G3" s="2270"/>
      <c r="H3" s="2270"/>
      <c r="I3" s="2270"/>
      <c r="J3" s="2270"/>
      <c r="K3" s="1426"/>
      <c r="L3" s="142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8" t="s">
        <v>1966</v>
      </c>
      <c r="AA4" s="2238"/>
      <c r="AB4" s="2238"/>
      <c r="AC4" s="2238"/>
      <c r="AD4" s="2238"/>
      <c r="AE4" s="2236" t="s">
        <v>1967</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57.6">
      <c r="A5" s="2282" t="s">
        <v>1968</v>
      </c>
      <c r="B5" s="2283" t="s">
        <v>1969</v>
      </c>
      <c r="C5" s="2284" t="s">
        <v>1970</v>
      </c>
      <c r="D5" s="2285" t="s">
        <v>1971</v>
      </c>
      <c r="E5" s="1267" t="s">
        <v>1972</v>
      </c>
      <c r="F5" s="2286" t="s">
        <v>1973</v>
      </c>
      <c r="G5" s="1267" t="s">
        <v>1974</v>
      </c>
      <c r="H5" s="1267" t="s">
        <v>1975</v>
      </c>
      <c r="I5" s="1267" t="s">
        <v>1976</v>
      </c>
      <c r="J5" s="2287" t="s">
        <v>1977</v>
      </c>
      <c r="K5" s="2288" t="s">
        <v>1978</v>
      </c>
      <c r="L5" s="2289" t="s">
        <v>1979</v>
      </c>
      <c r="M5" s="2290" t="s">
        <v>1980</v>
      </c>
      <c r="N5" s="2291" t="s">
        <v>1981</v>
      </c>
      <c r="O5" s="2289" t="s">
        <v>1982</v>
      </c>
      <c r="P5" s="2292" t="s">
        <v>1983</v>
      </c>
      <c r="Q5" s="69" t="s">
        <v>1984</v>
      </c>
      <c r="R5" s="2293" t="s">
        <v>1985</v>
      </c>
      <c r="S5" s="2294" t="s">
        <v>1986</v>
      </c>
      <c r="T5" s="2295" t="s">
        <v>1987</v>
      </c>
      <c r="U5" s="1266" t="s">
        <v>1988</v>
      </c>
      <c r="V5" s="1267" t="s">
        <v>1989</v>
      </c>
      <c r="W5" s="1267" t="s">
        <v>1990</v>
      </c>
      <c r="X5" s="71"/>
      <c r="Y5" s="70" t="s">
        <v>1991</v>
      </c>
      <c r="Z5" s="2296" t="s">
        <v>1988</v>
      </c>
      <c r="AA5" s="1267" t="s">
        <v>1989</v>
      </c>
      <c r="AB5" s="1267" t="s">
        <v>1990</v>
      </c>
      <c r="AC5" s="71"/>
      <c r="AD5" s="71" t="s">
        <v>1991</v>
      </c>
      <c r="AE5" s="1266" t="s">
        <v>1992</v>
      </c>
      <c r="AF5" s="1267" t="s">
        <v>1993</v>
      </c>
      <c r="AG5" s="70" t="s">
        <v>1994</v>
      </c>
      <c r="AH5" s="1266" t="s">
        <v>1995</v>
      </c>
      <c r="AI5" s="2296" t="s">
        <v>1996</v>
      </c>
      <c r="AJ5" s="2296" t="s">
        <v>1997</v>
      </c>
      <c r="AK5" s="1267" t="s">
        <v>1998</v>
      </c>
      <c r="AL5" s="1267" t="s">
        <v>1999</v>
      </c>
      <c r="AM5" s="70" t="s">
        <v>2000</v>
      </c>
      <c r="AN5" s="2297" t="s">
        <v>2001</v>
      </c>
      <c r="AO5" s="2069" t="s">
        <v>2002</v>
      </c>
      <c r="AP5" s="1248" t="s">
        <v>2003</v>
      </c>
      <c r="AQ5" s="2298" t="s">
        <v>2004</v>
      </c>
      <c r="AR5" s="2298"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3.8">
      <c r="A6" s="2299" t="str">
        <f>'数据-汇总表'!C19</f>
        <v>洋房住宅</v>
      </c>
      <c r="B6" s="2300" t="str">
        <f>IF(A6=0,"","经营性")</f>
        <v>经营性</v>
      </c>
      <c r="C6" s="2301" t="s">
        <v>3418</v>
      </c>
      <c r="D6" s="1050">
        <f>SUMIF(项目基本情况!D$12:I$12,C6,项目基本情况!D$14:I$14)</f>
        <v>70</v>
      </c>
      <c r="E6" s="1047">
        <f>IF(B6="","",SUMIF(项目基本情况!D$12:I$12,C6,项目基本情况!D$13:I$13))</f>
        <v>66185</v>
      </c>
      <c r="F6" s="72">
        <f>SUMIF(项目基本情况!D$12:I$12,C6,项目基本情况!D$15:I$15)</f>
        <v>61.53</v>
      </c>
      <c r="G6" s="73">
        <f t="shared" ref="G6:G13" si="0">IF(ISERROR(ROUND(POWER(1+H6,D6-F6)*(POWER(1+H6,F6)-1)/(POWER(1+H6,D6)-1),3)),0,ROUND(POWER(1+H6,D6-F6)*(POWER(1+H6,F6)-1)/(POWER(1+H6,D6)-1),3))</f>
        <v>0.97299999999999998</v>
      </c>
      <c r="H6" s="802">
        <v>0.04</v>
      </c>
      <c r="I6" s="802">
        <v>4.4999999999999998E-2</v>
      </c>
      <c r="J6" s="74">
        <v>8.5000000000000006E-2</v>
      </c>
      <c r="K6" s="1250">
        <f>SUMIF('数据-汇总表'!C$19:C$33,A6,'数据-汇总表'!E$19:E$33)</f>
        <v>0</v>
      </c>
      <c r="L6" s="803">
        <v>2700</v>
      </c>
      <c r="M6" s="75">
        <f t="shared" ref="M6:M14" si="1">ROUND(K6*L6/10000,0)</f>
        <v>0</v>
      </c>
      <c r="N6" s="801">
        <v>0.55000000000000004</v>
      </c>
      <c r="O6" s="75">
        <f>IF($N$5="成新度","——",ROUND(M6*N6,0))</f>
        <v>0</v>
      </c>
      <c r="P6" s="76">
        <f>IF($N$5="成新度","——",M6-O6)</f>
        <v>0</v>
      </c>
      <c r="Q6" s="804">
        <v>0.1</v>
      </c>
      <c r="R6" s="77">
        <f ca="1">SUMIF('数据-汇总表'!C$19:C$33,A6,'数据-汇总表'!R$19:R$27)</f>
        <v>0</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2"/>
      <c r="AO6" s="55" t="e">
        <f ca="1">SUMIF(INDIRECT("'"&amp;AN6&amp;"'"&amp;"!A:A"),"总价",INDIRECT("'"&amp;AN6&amp;"'"&amp;"!B:B"))</f>
        <v>#REF!</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3.8">
      <c r="A7" s="2299" t="str">
        <f>'数据-汇总表'!C20</f>
        <v>商业</v>
      </c>
      <c r="B7" s="2300" t="str">
        <f t="shared" ref="B7:B13" si="2">IF(A7=0,"","经营性")</f>
        <v>经营性</v>
      </c>
      <c r="C7" s="2301" t="s">
        <v>3418</v>
      </c>
      <c r="D7" s="1050">
        <f>SUMIF(项目基本情况!D$12:I$12,C7,项目基本情况!D$14:I$14)</f>
        <v>70</v>
      </c>
      <c r="E7" s="1047">
        <f>IF(B7="","",SUMIF(项目基本情况!D$12:I$12,C7,项目基本情况!D$13:I$13))</f>
        <v>66185</v>
      </c>
      <c r="F7" s="72">
        <f>SUMIF(项目基本情况!D$12:I$12,C7,项目基本情况!D$15:I$15)</f>
        <v>61.53</v>
      </c>
      <c r="G7" s="73">
        <f t="shared" si="0"/>
        <v>0.98299999999999998</v>
      </c>
      <c r="H7" s="802">
        <v>0.05</v>
      </c>
      <c r="I7" s="802">
        <v>0.06</v>
      </c>
      <c r="J7" s="74">
        <v>8.5000000000000006E-2</v>
      </c>
      <c r="K7" s="1250">
        <f>SUMIF('数据-汇总表'!C$19:C$33,A7,'数据-汇总表'!E$19:E$33)</f>
        <v>0</v>
      </c>
      <c r="L7" s="803">
        <v>2000</v>
      </c>
      <c r="M7" s="75">
        <f t="shared" si="1"/>
        <v>0</v>
      </c>
      <c r="N7" s="801">
        <f>N6</f>
        <v>0.55000000000000004</v>
      </c>
      <c r="O7" s="75">
        <f t="shared" ref="O7:O14" si="3">IF($N$5="成新度","——",ROUND(M7*N7,0))</f>
        <v>0</v>
      </c>
      <c r="P7" s="76">
        <f t="shared" ref="P7:P14" si="4">IF($N$5="成新度","——",M7-O7)</f>
        <v>0</v>
      </c>
      <c r="Q7" s="804">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v>3</v>
      </c>
      <c r="V7" s="79">
        <v>2.5000000000000001E-2</v>
      </c>
      <c r="W7" s="79">
        <v>0.1</v>
      </c>
      <c r="X7" s="1260"/>
      <c r="Y7" s="80">
        <v>1</v>
      </c>
      <c r="Z7" s="81"/>
      <c r="AA7" s="74"/>
      <c r="AB7" s="74"/>
      <c r="AC7" s="1260"/>
      <c r="AD7" s="82"/>
      <c r="AE7" s="1261">
        <f t="shared" ref="AE7:AE13" ca="1" si="6">IF(AN7="",0,SUMIF(INDIRECT("'"&amp;AN7&amp;"'"&amp;"!E:E"),$AE$5,INDIRECT("'"&amp;AN7&amp;"'"&amp;"!F:F")))</f>
        <v>60.33</v>
      </c>
      <c r="AF7" s="1802"/>
      <c r="AG7" s="147">
        <f t="shared" ref="AG7:AG13" si="7">IF(AF7="",0,AE7-AF7)</f>
        <v>0</v>
      </c>
      <c r="AH7" s="83"/>
      <c r="AI7" s="85">
        <v>365</v>
      </c>
      <c r="AJ7" s="86"/>
      <c r="AK7" s="87">
        <v>1.4999999999999999E-2</v>
      </c>
      <c r="AL7" s="88">
        <v>1.5E-3</v>
      </c>
      <c r="AM7" s="89">
        <v>0.01</v>
      </c>
      <c r="AN7" s="2302" t="s">
        <v>3429</v>
      </c>
      <c r="AO7" s="55">
        <f t="shared" ref="AO7:AO13" ca="1" si="8">SUMIF(INDIRECT("'"&amp;AN7&amp;"'"&amp;"!A:A"),"总价",INDIRECT("'"&amp;AN7&amp;"'"&amp;"!B:B"))</f>
        <v>0</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3.8">
      <c r="A8" s="2299" t="str">
        <f>'数据-汇总表'!C21</f>
        <v>高层住宅</v>
      </c>
      <c r="B8" s="2300" t="str">
        <f t="shared" si="2"/>
        <v>经营性</v>
      </c>
      <c r="C8" s="2301" t="s">
        <v>3418</v>
      </c>
      <c r="D8" s="1050">
        <f>SUMIF(项目基本情况!D$12:I$12,C8,项目基本情况!D$14:I$14)</f>
        <v>70</v>
      </c>
      <c r="E8" s="1047">
        <f>IF(B8="","",SUMIF(项目基本情况!D$12:I$12,C8,项目基本情况!D$13:I$13))</f>
        <v>66185</v>
      </c>
      <c r="F8" s="72">
        <f>SUMIF(项目基本情况!D$12:I$12,C8,项目基本情况!D$15:I$15)</f>
        <v>61.53</v>
      </c>
      <c r="G8" s="73">
        <f t="shared" si="0"/>
        <v>0.97299999999999998</v>
      </c>
      <c r="H8" s="802">
        <v>0.04</v>
      </c>
      <c r="I8" s="802">
        <v>4.4999999999999998E-2</v>
      </c>
      <c r="J8" s="74">
        <v>8.5000000000000006E-2</v>
      </c>
      <c r="K8" s="1250">
        <f>SUMIF('数据-汇总表'!C$19:C$33,A8,'数据-汇总表'!E$19:E$33)</f>
        <v>14966.349999999999</v>
      </c>
      <c r="L8" s="803">
        <v>3000</v>
      </c>
      <c r="M8" s="75">
        <f>ROUND(K8*L8/10000,0)</f>
        <v>4490</v>
      </c>
      <c r="N8" s="801">
        <v>0.6</v>
      </c>
      <c r="O8" s="75">
        <f t="shared" si="3"/>
        <v>2694</v>
      </c>
      <c r="P8" s="76">
        <f t="shared" si="4"/>
        <v>1796</v>
      </c>
      <c r="Q8" s="804">
        <v>0.08</v>
      </c>
      <c r="R8" s="77">
        <f ca="1">SUMIF('数据-汇总表'!C$19:C$33,A8,'数据-汇总表'!R$19:R$27)</f>
        <v>3741.59</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2"/>
      <c r="AG8" s="147">
        <f t="shared" si="7"/>
        <v>0</v>
      </c>
      <c r="AH8" s="808"/>
      <c r="AI8" s="85"/>
      <c r="AJ8" s="86"/>
      <c r="AK8" s="809"/>
      <c r="AL8" s="810"/>
      <c r="AM8" s="811"/>
      <c r="AN8" s="2302"/>
      <c r="AO8" s="55" t="e">
        <f t="shared" ca="1" si="8"/>
        <v>#REF!</v>
      </c>
      <c r="AP8" s="2303">
        <f t="shared" si="9"/>
        <v>44899049.999999993</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3.8">
      <c r="A9" s="2299" t="str">
        <f>'数据-汇总表'!C22</f>
        <v>别墅住宅</v>
      </c>
      <c r="B9" s="2300" t="str">
        <f t="shared" si="2"/>
        <v>经营性</v>
      </c>
      <c r="C9" s="2301" t="s">
        <v>3418</v>
      </c>
      <c r="D9" s="1050">
        <f>SUMIF(项目基本情况!D$12:I$12,C9,项目基本情况!D$14:I$14)</f>
        <v>70</v>
      </c>
      <c r="E9" s="1047">
        <f>IF(B9="","",SUMIF(项目基本情况!D$12:I$12,C9,项目基本情况!D$13:I$13))</f>
        <v>66185</v>
      </c>
      <c r="F9" s="72">
        <f>SUMIF(项目基本情况!D$12:I$12,C9,项目基本情况!D$15:I$15)</f>
        <v>61.53</v>
      </c>
      <c r="G9" s="73">
        <f t="shared" si="0"/>
        <v>0.97299999999999998</v>
      </c>
      <c r="H9" s="802">
        <v>0.04</v>
      </c>
      <c r="I9" s="802">
        <v>4.4999999999999998E-2</v>
      </c>
      <c r="J9" s="74">
        <v>8.5000000000000006E-2</v>
      </c>
      <c r="K9" s="1250">
        <f>SUMIF('数据-汇总表'!C$19:C$33,A9,'数据-汇总表'!E$19:E$33)</f>
        <v>0</v>
      </c>
      <c r="L9" s="803">
        <v>2000</v>
      </c>
      <c r="M9" s="75">
        <f t="shared" si="1"/>
        <v>0</v>
      </c>
      <c r="N9" s="801">
        <f>N6</f>
        <v>0.55000000000000004</v>
      </c>
      <c r="O9" s="75">
        <f t="shared" si="3"/>
        <v>0</v>
      </c>
      <c r="P9" s="76">
        <f t="shared" si="4"/>
        <v>0</v>
      </c>
      <c r="Q9" s="804">
        <v>0.12</v>
      </c>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3.8">
      <c r="A10" s="2299">
        <f>'数据-汇总表'!C23</f>
        <v>0</v>
      </c>
      <c r="B10" s="2300" t="str">
        <f t="shared" si="2"/>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0"/>
        <v>0</v>
      </c>
      <c r="H10" s="74"/>
      <c r="I10" s="74"/>
      <c r="J10" s="74"/>
      <c r="K10" s="1250">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3.8">
      <c r="A11" s="2299">
        <f>'数据-汇总表'!C24</f>
        <v>0</v>
      </c>
      <c r="B11" s="2300" t="str">
        <f t="shared" si="2"/>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0"/>
        <v>0</v>
      </c>
      <c r="H11" s="74"/>
      <c r="I11" s="74"/>
      <c r="J11" s="74"/>
      <c r="K11" s="1250">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3.8">
      <c r="A12" s="2299">
        <f>'数据-汇总表'!C25</f>
        <v>0</v>
      </c>
      <c r="B12" s="2300" t="str">
        <f t="shared" si="2"/>
        <v/>
      </c>
      <c r="C12" s="2301"/>
      <c r="D12" s="1050">
        <f>SUMIF(项目基本情况!D$12:I$12,C12,项目基本情况!D$14:I$14)</f>
        <v>0</v>
      </c>
      <c r="E12" s="1047" t="str">
        <f>IF(B12="","",SUMIF(项目基本情况!D$12:I$12,C12,项目基本情况!D$13:I$13))</f>
        <v/>
      </c>
      <c r="F12" s="72">
        <f>SUMIF(项目基本情况!D$12:I$12,C12,项目基本情况!D$15:I$15)</f>
        <v>0</v>
      </c>
      <c r="G12" s="73">
        <f t="shared" si="0"/>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3.8">
      <c r="A13" s="2299">
        <f>'数据-汇总表'!C26</f>
        <v>0</v>
      </c>
      <c r="B13" s="2300" t="str">
        <f t="shared" si="2"/>
        <v/>
      </c>
      <c r="C13" s="2301"/>
      <c r="D13" s="1050">
        <f>SUMIF(项目基本情况!D$12:I$12,C13,项目基本情况!D$14:I$14)</f>
        <v>0</v>
      </c>
      <c r="E13" s="1047" t="str">
        <f>IF(B13="","",SUMIF(项目基本情况!D$12:I$12,C13,项目基本情况!D$13:I$13))</f>
        <v/>
      </c>
      <c r="F13" s="72">
        <f>SUMIF(项目基本情况!D$12:I$12,C13,项目基本情况!D$15:I$15)</f>
        <v>0</v>
      </c>
      <c r="G13" s="73">
        <f t="shared" si="0"/>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4">
      <c r="A14" s="2304" t="s">
        <v>2006</v>
      </c>
      <c r="B14" s="2300" t="s">
        <v>2007</v>
      </c>
      <c r="C14" s="2305" t="s">
        <v>2006</v>
      </c>
      <c r="D14" s="1050"/>
      <c r="E14" s="1047"/>
      <c r="F14" s="72"/>
      <c r="G14" s="73"/>
      <c r="H14" s="1249"/>
      <c r="I14" s="1249"/>
      <c r="J14" s="1249"/>
      <c r="K14" s="1250">
        <f>SUMIF('数据-汇总表'!C$19:C$33,A14,'数据-汇总表'!E$19:E$33)</f>
        <v>0</v>
      </c>
      <c r="L14" s="91">
        <f>L7</f>
        <v>2000</v>
      </c>
      <c r="M14" s="75">
        <f t="shared" si="1"/>
        <v>0</v>
      </c>
      <c r="N14" s="92">
        <f>N6</f>
        <v>0.55000000000000004</v>
      </c>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8.8">
      <c r="A15" s="2304" t="s">
        <v>2008</v>
      </c>
      <c r="B15" s="2300" t="s">
        <v>2007</v>
      </c>
      <c r="C15" s="2305" t="s">
        <v>2009</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 thickBot="1">
      <c r="A16" s="2306" t="s">
        <v>2010</v>
      </c>
      <c r="B16" s="97"/>
      <c r="C16" s="1005"/>
      <c r="D16" s="2307"/>
      <c r="E16" s="97"/>
      <c r="F16" s="97"/>
      <c r="G16" s="98">
        <f>ROUND(SUMPRODUCT(G6:G13,K6:K13)/SUMPRODUCT((G6:G13&gt;0)*(K6:K13)),3)</f>
        <v>0.97299999999999998</v>
      </c>
      <c r="H16" s="99">
        <f>ROUND(SUMPRODUCT(H6:H13,K6:K13)/SUMPRODUCT((H6:H13&gt;0)*(K6:K13)),3)</f>
        <v>0.04</v>
      </c>
      <c r="I16" s="100"/>
      <c r="J16" s="100"/>
      <c r="K16" s="101">
        <f>SUM(K6:K15)</f>
        <v>14966.349999999999</v>
      </c>
      <c r="L16" s="102">
        <f>ROUND(M16*10000/SUM(K6:K14),0)</f>
        <v>3000</v>
      </c>
      <c r="M16" s="102">
        <f>SUM(M6:M14)</f>
        <v>4490</v>
      </c>
      <c r="N16" s="103">
        <f>ROUND(SUMPRODUCT(M6:M14,N6:N14)/M16,3)</f>
        <v>0.6</v>
      </c>
      <c r="O16" s="102">
        <f>SUM(O6:O14)</f>
        <v>2694</v>
      </c>
      <c r="P16" s="102">
        <f>SUM(P6:P14)</f>
        <v>1796</v>
      </c>
      <c r="Q16" s="104">
        <f>ROUND(SUMPRODUCT(Q6:Q13,K6:K13)/SUMPRODUCT((Q6:Q13&gt;0)*(K6:K13)),2)</f>
        <v>0.08</v>
      </c>
      <c r="R16" s="1254">
        <f ca="1">SUM(R6:R13)</f>
        <v>3741.59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8" thickBot="1">
      <c r="A17" s="2308"/>
      <c r="B17" s="732"/>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3"/>
      <c r="C18" s="2270"/>
      <c r="D18" s="2271"/>
      <c r="E18" s="2270"/>
      <c r="F18" s="2270"/>
      <c r="G18" s="2270"/>
      <c r="H18" s="2270"/>
      <c r="I18" s="2270"/>
      <c r="J18" s="2270"/>
      <c r="K18" s="2970" t="s">
        <v>3503</v>
      </c>
      <c r="L18" s="3071" t="s">
        <v>3504</v>
      </c>
      <c r="M18" s="3072"/>
      <c r="N18" s="3073"/>
      <c r="O18" s="3074" t="s">
        <v>3505</v>
      </c>
      <c r="P18" s="3074"/>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09" t="s">
        <v>2012</v>
      </c>
      <c r="B19" s="112">
        <v>0</v>
      </c>
      <c r="C19" s="2270"/>
      <c r="D19" s="2271"/>
      <c r="E19" s="2270"/>
      <c r="F19" s="2270"/>
      <c r="G19" s="2270"/>
      <c r="H19" s="2270"/>
      <c r="I19" s="2270"/>
      <c r="J19" s="2270"/>
      <c r="K19" s="2970"/>
      <c r="L19" s="2971" t="s">
        <v>3506</v>
      </c>
      <c r="M19" s="2971" t="s">
        <v>3473</v>
      </c>
      <c r="N19" s="2971" t="s">
        <v>3471</v>
      </c>
      <c r="O19" s="3075"/>
      <c r="P19" s="3075"/>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0" t="s">
        <v>2013</v>
      </c>
      <c r="B20" s="113">
        <v>3</v>
      </c>
      <c r="C20" s="2270" t="s">
        <v>2014</v>
      </c>
      <c r="D20" s="2271"/>
      <c r="E20" s="2270"/>
      <c r="F20" s="2270"/>
      <c r="G20" s="2270"/>
      <c r="H20" s="2270"/>
      <c r="I20" s="2270"/>
      <c r="J20" s="2270"/>
      <c r="K20" s="2972" t="s">
        <v>3507</v>
      </c>
      <c r="L20" s="2973" t="s">
        <v>3508</v>
      </c>
      <c r="M20" s="2973" t="s">
        <v>3509</v>
      </c>
      <c r="N20" s="2973" t="s">
        <v>3510</v>
      </c>
      <c r="O20" s="3076" t="s">
        <v>3511</v>
      </c>
      <c r="P20" s="3076"/>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1" t="s">
        <v>2015</v>
      </c>
      <c r="B21" s="113">
        <f>ROUND(B20*N16,2)</f>
        <v>1.8</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0" t="s">
        <v>2016</v>
      </c>
      <c r="B22" s="114">
        <f>B19+B20</f>
        <v>3</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1" t="s">
        <v>2017</v>
      </c>
      <c r="B23" s="114">
        <f>B19+B21</f>
        <v>1.8</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2018</v>
      </c>
      <c r="B24" s="115">
        <f>B20-B21</f>
        <v>1.2</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2019</v>
      </c>
      <c r="B26" s="2313" t="s">
        <v>2020</v>
      </c>
      <c r="C26" s="2314" t="s">
        <v>2021</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8.8">
      <c r="A27" s="2315" t="s">
        <v>2022</v>
      </c>
      <c r="B27" s="116"/>
      <c r="C27" s="1762" t="s">
        <v>2023</v>
      </c>
      <c r="D27" s="2316"/>
      <c r="E27" s="1426"/>
      <c r="F27" s="1426"/>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7" customFormat="1" ht="28.8">
      <c r="A28" s="2318" t="s">
        <v>2024</v>
      </c>
      <c r="B28" s="119"/>
      <c r="C28" s="2319"/>
      <c r="D28" s="2316"/>
      <c r="E28" s="1426"/>
      <c r="F28" s="1426"/>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7" customFormat="1" ht="29.4" thickBot="1">
      <c r="A29" s="2320" t="s">
        <v>2025</v>
      </c>
      <c r="B29" s="121"/>
      <c r="C29" s="1762" t="s">
        <v>2026</v>
      </c>
      <c r="D29" s="2316"/>
      <c r="E29" s="1426"/>
      <c r="F29" s="1426"/>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7" customFormat="1" ht="28.8">
      <c r="A30" s="2321" t="s">
        <v>2027</v>
      </c>
      <c r="B30" s="724">
        <v>200</v>
      </c>
      <c r="C30" s="2319"/>
      <c r="D30" s="2316"/>
      <c r="E30" s="1426"/>
      <c r="F30" s="1426"/>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7" customFormat="1" ht="28.8">
      <c r="A31" s="2318" t="s">
        <v>2028</v>
      </c>
      <c r="B31" s="120">
        <f>B30-B32</f>
        <v>80</v>
      </c>
      <c r="C31" s="1762"/>
      <c r="D31" s="2316"/>
      <c r="E31" s="1426"/>
      <c r="F31" s="1426"/>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7" customFormat="1" ht="29.4" thickBot="1">
      <c r="A32" s="2322" t="s">
        <v>2029</v>
      </c>
      <c r="B32" s="725">
        <v>120</v>
      </c>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7" customFormat="1" ht="14.4">
      <c r="A33" s="2315" t="s">
        <v>2030</v>
      </c>
      <c r="B33" s="726">
        <v>0.03</v>
      </c>
      <c r="C33" s="1761" t="s">
        <v>2031</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7" customFormat="1" ht="14.4">
      <c r="A34" s="2318" t="s">
        <v>2032</v>
      </c>
      <c r="B34" s="122">
        <v>0.02</v>
      </c>
      <c r="C34" s="1761" t="s">
        <v>2033</v>
      </c>
      <c r="D34" s="2271" t="s">
        <v>2034</v>
      </c>
      <c r="E34" s="732"/>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7" customFormat="1" ht="14.4">
      <c r="A35" s="2318" t="s">
        <v>2035</v>
      </c>
      <c r="B35" s="119">
        <v>200</v>
      </c>
      <c r="C35" s="1761" t="s">
        <v>2036</v>
      </c>
      <c r="D35" s="2316"/>
      <c r="E35" s="1426"/>
      <c r="F35" s="1426"/>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0" t="s">
        <v>2037</v>
      </c>
      <c r="B36" s="123">
        <v>1.4999999999999999E-2</v>
      </c>
      <c r="C36" s="1761" t="s">
        <v>2038</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1" t="s">
        <v>2039</v>
      </c>
      <c r="B37" s="124">
        <v>0.02</v>
      </c>
      <c r="C37" s="1761" t="s">
        <v>2040</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8" t="s">
        <v>2041</v>
      </c>
      <c r="B38" s="122">
        <v>0.02</v>
      </c>
      <c r="C38" s="1761" t="s">
        <v>2040</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2" t="s">
        <v>2042</v>
      </c>
      <c r="B39" s="362">
        <f ca="1">存贷款利率!I1</f>
        <v>1.4999999999999999E-2</v>
      </c>
      <c r="C39" s="1761"/>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2043</v>
      </c>
      <c r="B40" s="1299">
        <f ca="1">存贷款利率!G1</f>
        <v>4.7500000000000001E-2</v>
      </c>
      <c r="C40" s="1761" t="s">
        <v>2044</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5" t="s">
        <v>2045</v>
      </c>
      <c r="B41" s="125">
        <f>B42+B43</f>
        <v>5.6000000000000001E-2</v>
      </c>
      <c r="C41" s="1762"/>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3" t="s">
        <v>2046</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3" t="s">
        <v>2047</v>
      </c>
      <c r="B43" s="127">
        <f>B42*(B44+B45+B46)+B47</f>
        <v>6.000000000000001E-3</v>
      </c>
      <c r="C43" s="1762"/>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5" t="s">
        <v>2048</v>
      </c>
      <c r="B44" s="128">
        <v>7.0000000000000007E-2</v>
      </c>
      <c r="C44" s="1761" t="s">
        <v>2049</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5" t="s">
        <v>2050</v>
      </c>
      <c r="B45" s="126">
        <v>0.03</v>
      </c>
      <c r="C45" s="1762" t="s">
        <v>2051</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5" t="s">
        <v>2052</v>
      </c>
      <c r="B46" s="126">
        <v>0.02</v>
      </c>
      <c r="C46" s="1762" t="s">
        <v>2053</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2054</v>
      </c>
      <c r="B47" s="129"/>
      <c r="C47" s="1762" t="s">
        <v>2055</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7" t="s">
        <v>2056</v>
      </c>
      <c r="B48" s="130">
        <v>0.03</v>
      </c>
      <c r="C48" s="1769" t="s">
        <v>2057</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2058</v>
      </c>
      <c r="B49" s="126">
        <v>5.0000000000000001E-4</v>
      </c>
      <c r="C49" s="1769" t="s">
        <v>2059</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8" t="s">
        <v>2060</v>
      </c>
      <c r="B50" s="131">
        <v>1.2E-2</v>
      </c>
      <c r="C50" s="1426"/>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2061</v>
      </c>
      <c r="B51" s="132">
        <v>0.12</v>
      </c>
      <c r="C51" s="1426"/>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8" t="s">
        <v>2062</v>
      </c>
      <c r="B52" s="133">
        <f>SUMIF(A54:A63,B53,B54:B63)</f>
        <v>1.5</v>
      </c>
      <c r="C52" s="1426"/>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8" t="s">
        <v>2063</v>
      </c>
      <c r="B53" s="2329" t="s">
        <v>56</v>
      </c>
      <c r="C53" s="1426" t="s">
        <v>2064</v>
      </c>
      <c r="D53" s="2330" t="s">
        <v>2065</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1" t="s">
        <v>2066</v>
      </c>
      <c r="B54" s="84">
        <v>25</v>
      </c>
      <c r="C54" s="1426">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1" t="s">
        <v>2067</v>
      </c>
      <c r="B55" s="84">
        <v>20</v>
      </c>
      <c r="C55" s="1426">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1" t="s">
        <v>2068</v>
      </c>
      <c r="B56" s="84">
        <v>15</v>
      </c>
      <c r="C56" s="1426">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1" t="s">
        <v>2069</v>
      </c>
      <c r="B57" s="84">
        <v>10</v>
      </c>
      <c r="C57" s="1426">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1" t="s">
        <v>2070</v>
      </c>
      <c r="B58" s="84">
        <v>5</v>
      </c>
      <c r="C58" s="1426">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1" t="s">
        <v>2071</v>
      </c>
      <c r="B59" s="84">
        <v>1.5</v>
      </c>
      <c r="C59" s="1426">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1" t="s">
        <v>2072</v>
      </c>
      <c r="B60" s="84">
        <v>1</v>
      </c>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1" t="s">
        <v>2073</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1" t="s">
        <v>2074</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2075</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4"/>
      <c r="D64" s="2335"/>
      <c r="K64" s="798"/>
      <c r="L64" s="798"/>
    </row>
    <row r="65" spans="1:12" s="964" customFormat="1">
      <c r="A65" s="2334"/>
      <c r="D65" s="2335"/>
      <c r="K65" s="798"/>
      <c r="L65" s="798"/>
    </row>
    <row r="66" spans="1:12" s="964" customFormat="1">
      <c r="A66" s="2334"/>
      <c r="D66" s="2335"/>
      <c r="K66" s="798"/>
      <c r="L66" s="798"/>
    </row>
    <row r="67" spans="1:12" s="964" customFormat="1">
      <c r="A67" s="2334"/>
      <c r="D67" s="2335"/>
      <c r="K67" s="798"/>
      <c r="L67" s="798"/>
    </row>
    <row r="68" spans="1:12" s="964" customFormat="1">
      <c r="A68" s="2334"/>
      <c r="D68" s="2335"/>
      <c r="K68" s="798"/>
      <c r="L68" s="798"/>
    </row>
    <row r="69" spans="1:12" s="964" customFormat="1">
      <c r="A69" s="2334"/>
      <c r="D69" s="2335"/>
      <c r="K69" s="798"/>
      <c r="L69" s="798"/>
    </row>
    <row r="70" spans="1:12" s="964" customFormat="1">
      <c r="A70" s="2334"/>
      <c r="D70" s="2335"/>
      <c r="K70" s="798"/>
      <c r="L70" s="798"/>
    </row>
    <row r="71" spans="1:12" s="964" customFormat="1">
      <c r="A71" s="2334"/>
      <c r="D71" s="2335"/>
      <c r="K71" s="798"/>
      <c r="L71" s="798"/>
    </row>
    <row r="72" spans="1:12" s="964" customFormat="1">
      <c r="A72" s="2334"/>
      <c r="D72" s="2335"/>
      <c r="K72" s="798"/>
      <c r="L72" s="798"/>
    </row>
    <row r="73" spans="1:12" s="964" customFormat="1">
      <c r="A73" s="2334"/>
      <c r="D73" s="2335"/>
      <c r="K73" s="798"/>
      <c r="L73" s="798"/>
    </row>
    <row r="74" spans="1:12" s="964" customFormat="1">
      <c r="A74" s="2334"/>
      <c r="D74" s="2335"/>
      <c r="K74" s="798"/>
      <c r="L74" s="798"/>
    </row>
    <row r="75" spans="1:12" s="964" customFormat="1">
      <c r="A75" s="2334"/>
      <c r="D75" s="2335"/>
      <c r="K75" s="798"/>
      <c r="L75" s="798"/>
    </row>
    <row r="76" spans="1:12" s="964" customFormat="1">
      <c r="A76" s="2334"/>
      <c r="D76" s="2335"/>
      <c r="K76" s="798"/>
      <c r="L76" s="798"/>
    </row>
    <row r="77" spans="1:12" s="964" customFormat="1">
      <c r="A77" s="2334"/>
      <c r="D77" s="2335"/>
      <c r="K77" s="798"/>
      <c r="L77" s="798"/>
    </row>
    <row r="78" spans="1:12" s="964" customFormat="1">
      <c r="A78" s="2334"/>
      <c r="D78" s="2335"/>
      <c r="K78" s="798"/>
      <c r="L78" s="798"/>
    </row>
    <row r="79" spans="1:12" s="964" customFormat="1">
      <c r="A79" s="2334"/>
      <c r="D79" s="2335"/>
      <c r="K79" s="798"/>
      <c r="L79" s="798"/>
    </row>
    <row r="80" spans="1:12" s="964" customFormat="1">
      <c r="A80" s="2334"/>
      <c r="D80" s="2335"/>
      <c r="K80" s="798"/>
      <c r="L80" s="798"/>
    </row>
    <row r="81" spans="1:12" s="964" customFormat="1">
      <c r="A81" s="2334"/>
      <c r="D81" s="2335"/>
      <c r="K81" s="798"/>
      <c r="L81" s="798"/>
    </row>
    <row r="82" spans="1:12" s="964" customFormat="1">
      <c r="A82" s="2334"/>
      <c r="D82" s="2335"/>
      <c r="K82" s="798"/>
      <c r="L82" s="798"/>
    </row>
    <row r="83" spans="1:12" s="964" customFormat="1">
      <c r="A83" s="2334"/>
      <c r="D83" s="2335"/>
      <c r="K83" s="798"/>
      <c r="L83" s="798"/>
    </row>
    <row r="84" spans="1:12" s="964" customFormat="1">
      <c r="A84" s="2334"/>
      <c r="D84" s="2335"/>
      <c r="K84" s="798"/>
      <c r="L84" s="798"/>
    </row>
    <row r="85" spans="1:12" s="964" customFormat="1">
      <c r="A85" s="2334"/>
      <c r="D85" s="2335"/>
      <c r="K85" s="798"/>
      <c r="L85" s="798"/>
    </row>
    <row r="86" spans="1:12" s="964" customFormat="1">
      <c r="A86" s="2334"/>
      <c r="D86" s="2335"/>
      <c r="K86" s="798"/>
      <c r="L86" s="798"/>
    </row>
    <row r="87" spans="1:12" s="964" customFormat="1">
      <c r="A87" s="2334"/>
      <c r="D87" s="2335"/>
      <c r="K87" s="798"/>
      <c r="L87" s="798"/>
    </row>
    <row r="88" spans="1:12" s="964" customFormat="1">
      <c r="A88" s="2334"/>
      <c r="D88" s="2335"/>
      <c r="K88" s="798"/>
      <c r="L88" s="798"/>
    </row>
    <row r="89" spans="1:12" s="964" customFormat="1">
      <c r="A89" s="2334"/>
      <c r="D89" s="2335"/>
      <c r="K89" s="798"/>
      <c r="L89" s="798"/>
    </row>
    <row r="90" spans="1:12" s="964" customFormat="1">
      <c r="A90" s="2334"/>
      <c r="D90" s="2335"/>
      <c r="K90" s="798"/>
      <c r="L90" s="798"/>
    </row>
    <row r="91" spans="1:12" s="964" customFormat="1">
      <c r="A91" s="2334"/>
      <c r="D91" s="2335"/>
      <c r="K91" s="798"/>
      <c r="L91" s="798"/>
    </row>
    <row r="92" spans="1:12" s="964" customFormat="1">
      <c r="A92" s="2334"/>
      <c r="D92" s="2335"/>
      <c r="K92" s="798"/>
      <c r="L92" s="798"/>
    </row>
    <row r="93" spans="1:12" s="964" customFormat="1">
      <c r="A93" s="2334"/>
      <c r="D93" s="2335"/>
      <c r="K93" s="798"/>
      <c r="L93" s="798"/>
    </row>
    <row r="94" spans="1:12" s="964" customFormat="1">
      <c r="A94" s="2334"/>
      <c r="D94" s="2335"/>
      <c r="K94" s="798"/>
      <c r="L94" s="798"/>
    </row>
    <row r="95" spans="1:12" s="964" customFormat="1">
      <c r="A95" s="2334"/>
      <c r="D95" s="2335"/>
      <c r="K95" s="798"/>
      <c r="L95" s="798"/>
    </row>
    <row r="96" spans="1:12" s="964" customFormat="1">
      <c r="A96" s="2334"/>
      <c r="D96" s="2335"/>
      <c r="K96" s="798"/>
      <c r="L96" s="798"/>
    </row>
    <row r="97" spans="1:12" s="964" customFormat="1">
      <c r="A97" s="2334"/>
      <c r="D97" s="2335"/>
      <c r="K97" s="798"/>
      <c r="L97" s="798"/>
    </row>
    <row r="98" spans="1:12" s="964" customFormat="1">
      <c r="A98" s="2334"/>
      <c r="D98" s="2335"/>
      <c r="K98" s="798"/>
      <c r="L98" s="798"/>
    </row>
    <row r="99" spans="1:12" s="964" customFormat="1">
      <c r="A99" s="2334"/>
      <c r="D99" s="2335"/>
      <c r="K99" s="798"/>
      <c r="L99" s="798"/>
    </row>
    <row r="100" spans="1:12" s="964" customFormat="1">
      <c r="A100" s="2334"/>
      <c r="D100" s="2335"/>
      <c r="K100" s="798"/>
      <c r="L100" s="798"/>
    </row>
    <row r="101" spans="1:12" s="964" customFormat="1">
      <c r="A101" s="2334"/>
      <c r="D101" s="2335"/>
      <c r="K101" s="798"/>
      <c r="L101" s="798"/>
    </row>
    <row r="102" spans="1:12" s="964" customFormat="1">
      <c r="A102" s="2334"/>
      <c r="D102" s="2335"/>
      <c r="K102" s="798"/>
      <c r="L102" s="798"/>
    </row>
    <row r="103" spans="1:12" s="964" customFormat="1">
      <c r="A103" s="2334"/>
      <c r="D103" s="2335"/>
      <c r="K103" s="798"/>
      <c r="L103" s="798"/>
    </row>
    <row r="104" spans="1:12" s="964" customFormat="1">
      <c r="A104" s="2334"/>
      <c r="D104" s="2335"/>
      <c r="K104" s="798"/>
      <c r="L104" s="798"/>
    </row>
    <row r="105" spans="1:12" s="964" customFormat="1">
      <c r="A105" s="2334"/>
      <c r="D105" s="2335"/>
      <c r="K105" s="798"/>
      <c r="L105" s="798"/>
    </row>
    <row r="106" spans="1:12" s="964" customFormat="1">
      <c r="A106" s="2334"/>
      <c r="D106" s="2335"/>
      <c r="K106" s="798"/>
      <c r="L106" s="798"/>
    </row>
    <row r="107" spans="1:12" s="964" customFormat="1">
      <c r="A107" s="2334"/>
      <c r="D107" s="2335"/>
      <c r="K107" s="798"/>
      <c r="L107" s="798"/>
    </row>
    <row r="108" spans="1:12" s="964" customFormat="1">
      <c r="A108" s="2334"/>
      <c r="D108" s="2335"/>
      <c r="K108" s="798"/>
      <c r="L108" s="798"/>
    </row>
    <row r="109" spans="1:12" s="964" customFormat="1">
      <c r="A109" s="2334"/>
      <c r="D109" s="2335"/>
      <c r="K109" s="798"/>
      <c r="L109" s="798"/>
    </row>
    <row r="110" spans="1:12" s="964" customFormat="1">
      <c r="A110" s="2334"/>
      <c r="D110" s="2335"/>
      <c r="K110" s="798"/>
      <c r="L110" s="798"/>
    </row>
    <row r="111" spans="1:12" s="964" customFormat="1">
      <c r="A111" s="2334"/>
      <c r="D111" s="2335"/>
      <c r="K111" s="798"/>
      <c r="L111" s="798"/>
    </row>
    <row r="112" spans="1:12" s="964" customFormat="1">
      <c r="A112" s="2334"/>
      <c r="D112" s="2335"/>
      <c r="K112" s="798"/>
      <c r="L112" s="798"/>
    </row>
    <row r="113" spans="1:12" s="964" customFormat="1">
      <c r="A113" s="2334"/>
      <c r="D113" s="2335"/>
      <c r="K113" s="798"/>
      <c r="L113" s="798"/>
    </row>
    <row r="114" spans="1:12" s="964" customFormat="1">
      <c r="A114" s="2334"/>
      <c r="D114" s="2335"/>
      <c r="K114" s="798"/>
      <c r="L114" s="798"/>
    </row>
    <row r="115" spans="1:12" s="964" customFormat="1">
      <c r="A115" s="2334"/>
      <c r="D115" s="2335"/>
      <c r="K115" s="798"/>
      <c r="L115" s="798"/>
    </row>
    <row r="116" spans="1:12" s="964" customFormat="1">
      <c r="A116" s="2334"/>
      <c r="D116" s="2335"/>
      <c r="K116" s="798"/>
      <c r="L116" s="798"/>
    </row>
    <row r="117" spans="1:12" s="964" customFormat="1">
      <c r="A117" s="2334"/>
      <c r="D117" s="2335"/>
      <c r="K117" s="798"/>
      <c r="L117" s="798"/>
    </row>
    <row r="118" spans="1:12" s="964" customFormat="1">
      <c r="A118" s="2334"/>
      <c r="D118" s="2335"/>
      <c r="K118" s="798"/>
      <c r="L118" s="798"/>
    </row>
    <row r="119" spans="1:12" s="964" customFormat="1">
      <c r="A119" s="2334"/>
      <c r="D119" s="2335"/>
      <c r="K119" s="798"/>
      <c r="L119" s="798"/>
    </row>
    <row r="120" spans="1:12" s="964" customFormat="1">
      <c r="A120" s="2334"/>
      <c r="D120" s="2335"/>
      <c r="K120" s="798"/>
      <c r="L120" s="798"/>
    </row>
    <row r="121" spans="1:12" s="964" customFormat="1">
      <c r="A121" s="2334"/>
      <c r="D121" s="2335"/>
      <c r="K121" s="798"/>
      <c r="L121" s="798"/>
    </row>
    <row r="122" spans="1:12" s="964" customFormat="1">
      <c r="A122" s="2334"/>
      <c r="D122" s="2335"/>
      <c r="K122" s="798"/>
      <c r="L122" s="798"/>
    </row>
    <row r="123" spans="1:12" s="964" customFormat="1">
      <c r="A123" s="2334"/>
      <c r="D123" s="2335"/>
      <c r="K123" s="798"/>
      <c r="L123" s="798"/>
    </row>
    <row r="124" spans="1:12" s="964" customFormat="1">
      <c r="A124" s="2334"/>
      <c r="D124" s="2335"/>
      <c r="K124" s="798"/>
      <c r="L124" s="798"/>
    </row>
    <row r="125" spans="1:12" s="964" customFormat="1">
      <c r="A125" s="2334"/>
      <c r="D125" s="2335"/>
      <c r="K125" s="798"/>
      <c r="L125" s="798"/>
    </row>
    <row r="126" spans="1:12" s="964" customFormat="1">
      <c r="A126" s="2334"/>
      <c r="D126" s="2335"/>
      <c r="K126" s="798"/>
      <c r="L126" s="798"/>
    </row>
    <row r="127" spans="1:12" s="964" customFormat="1">
      <c r="A127" s="2334"/>
      <c r="D127" s="2335"/>
      <c r="K127" s="798"/>
      <c r="L127" s="798"/>
    </row>
    <row r="128" spans="1:12" s="964" customFormat="1">
      <c r="A128" s="2334"/>
      <c r="D128" s="2335"/>
      <c r="K128" s="798"/>
      <c r="L128" s="798"/>
    </row>
    <row r="129" spans="1:12" s="964" customFormat="1">
      <c r="A129" s="2334"/>
      <c r="D129" s="2335"/>
      <c r="K129" s="798"/>
      <c r="L129" s="798"/>
    </row>
    <row r="130" spans="1:12" s="964" customFormat="1">
      <c r="A130" s="2334"/>
      <c r="D130" s="2335"/>
      <c r="K130" s="798"/>
      <c r="L130" s="798"/>
    </row>
    <row r="131" spans="1:12" s="964" customFormat="1">
      <c r="A131" s="2334"/>
      <c r="D131" s="2335"/>
      <c r="K131" s="798"/>
      <c r="L131" s="798"/>
    </row>
    <row r="132" spans="1:12" s="964" customFormat="1">
      <c r="A132" s="2334"/>
      <c r="D132" s="2335"/>
      <c r="K132" s="798"/>
      <c r="L132" s="798"/>
    </row>
    <row r="133" spans="1:12" s="964"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mergeCells count="4">
    <mergeCell ref="L18:N18"/>
    <mergeCell ref="O18:P18"/>
    <mergeCell ref="O19:P19"/>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0" sqref="C30"/>
    </sheetView>
  </sheetViews>
  <sheetFormatPr defaultColWidth="9" defaultRowHeight="13.8"/>
  <cols>
    <col min="1" max="1" width="9.44140625" style="2362"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1"/>
    <col min="30" max="16384" width="9" style="2362"/>
  </cols>
  <sheetData>
    <row r="1" spans="1:29" s="2355" customFormat="1" ht="18" thickBot="1">
      <c r="A1" s="3077" t="s">
        <v>2076</v>
      </c>
      <c r="B1" s="3078"/>
      <c r="C1" s="3078"/>
      <c r="D1" s="3078"/>
      <c r="E1" s="3078"/>
      <c r="F1" s="3078"/>
      <c r="G1" s="307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 thickBot="1">
      <c r="A2" s="2356"/>
      <c r="B2" s="2357"/>
      <c r="C2" s="2358" t="s">
        <v>2077</v>
      </c>
      <c r="D2" s="2359"/>
      <c r="E2" s="2360"/>
      <c r="F2" s="2279"/>
      <c r="G2" s="2358" t="s">
        <v>2078</v>
      </c>
      <c r="H2" s="2361"/>
      <c r="I2" s="2361"/>
      <c r="J2" s="2361"/>
      <c r="K2" s="2361"/>
      <c r="L2" s="2361"/>
      <c r="M2" s="2361"/>
      <c r="N2" s="2361"/>
      <c r="O2" s="2361"/>
      <c r="P2" s="2361"/>
      <c r="Q2" s="2361"/>
      <c r="R2" s="2361"/>
    </row>
    <row r="3" spans="1:29" ht="43.8" thickBot="1">
      <c r="A3" s="415" t="s">
        <v>2079</v>
      </c>
      <c r="B3" s="1267" t="s">
        <v>2080</v>
      </c>
      <c r="C3" s="2962" t="s">
        <v>3431</v>
      </c>
      <c r="D3" s="2363"/>
      <c r="E3" s="431" t="s">
        <v>2079</v>
      </c>
      <c r="F3" s="2364" t="s">
        <v>2081</v>
      </c>
      <c r="G3" s="2365" t="s">
        <v>2082</v>
      </c>
      <c r="H3" s="2361"/>
      <c r="I3" s="2361"/>
      <c r="J3" s="2361"/>
      <c r="K3" s="2361"/>
      <c r="L3" s="2361"/>
      <c r="M3" s="2361"/>
      <c r="N3" s="2361"/>
      <c r="O3" s="2361"/>
      <c r="P3" s="2361"/>
      <c r="Q3" s="2361"/>
      <c r="R3" s="2361"/>
    </row>
    <row r="4" spans="1:29" ht="43.2">
      <c r="A4" s="431"/>
      <c r="B4" s="1793" t="s">
        <v>2083</v>
      </c>
      <c r="C4" s="2962" t="s">
        <v>3431</v>
      </c>
      <c r="D4" s="2363"/>
      <c r="E4" s="2367"/>
      <c r="F4" s="42" t="s">
        <v>2084</v>
      </c>
      <c r="G4" s="2368" t="s">
        <v>2085</v>
      </c>
      <c r="H4" s="2361"/>
      <c r="I4" s="2361"/>
      <c r="J4" s="2361"/>
      <c r="K4" s="2361"/>
      <c r="L4" s="2361"/>
      <c r="M4" s="2361"/>
      <c r="N4" s="2361"/>
      <c r="O4" s="2361"/>
      <c r="P4" s="2361"/>
      <c r="Q4" s="2361"/>
      <c r="R4" s="2361"/>
    </row>
    <row r="5" spans="1:29" ht="28.8">
      <c r="A5" s="431"/>
      <c r="B5" s="1793" t="s">
        <v>2086</v>
      </c>
      <c r="C5" s="2366"/>
      <c r="D5" s="2363"/>
      <c r="E5" s="2367"/>
      <c r="F5" s="1793" t="s">
        <v>2087</v>
      </c>
      <c r="G5" s="2368" t="s">
        <v>2088</v>
      </c>
      <c r="H5" s="2361"/>
      <c r="I5" s="2361"/>
      <c r="J5" s="2361"/>
      <c r="K5" s="2361"/>
      <c r="L5" s="2361"/>
      <c r="M5" s="2361"/>
      <c r="N5" s="2361"/>
      <c r="O5" s="2361"/>
      <c r="P5" s="2361"/>
      <c r="Q5" s="2361"/>
      <c r="R5" s="2361"/>
    </row>
    <row r="6" spans="1:29" ht="28.8">
      <c r="A6" s="431"/>
      <c r="B6" s="1793" t="s">
        <v>2089</v>
      </c>
      <c r="C6" s="2963" t="s">
        <v>3433</v>
      </c>
      <c r="D6" s="2363"/>
      <c r="E6" s="2367"/>
      <c r="F6" s="1793" t="s">
        <v>2090</v>
      </c>
      <c r="G6" s="2368" t="s">
        <v>2091</v>
      </c>
      <c r="H6" s="2361"/>
      <c r="I6" s="2361"/>
      <c r="J6" s="2361"/>
      <c r="K6" s="2361"/>
      <c r="L6" s="2361"/>
      <c r="M6" s="2361"/>
      <c r="N6" s="2361"/>
      <c r="O6" s="2361"/>
      <c r="P6" s="2361"/>
      <c r="Q6" s="2361"/>
      <c r="R6" s="2361"/>
    </row>
    <row r="7" spans="1:29" ht="43.8" thickBot="1">
      <c r="A7" s="431"/>
      <c r="B7" s="1793" t="s">
        <v>2087</v>
      </c>
      <c r="C7" s="2963" t="s">
        <v>3433</v>
      </c>
      <c r="D7" s="2369"/>
      <c r="E7" s="2370"/>
      <c r="F7" s="2371" t="s">
        <v>2092</v>
      </c>
      <c r="G7" s="2372" t="s">
        <v>2093</v>
      </c>
      <c r="H7" s="2361"/>
      <c r="I7" s="2361"/>
      <c r="J7" s="2361"/>
      <c r="K7" s="2361"/>
      <c r="L7" s="2361"/>
      <c r="M7" s="2361"/>
      <c r="N7" s="2361"/>
      <c r="O7" s="2361"/>
      <c r="P7" s="2361"/>
      <c r="Q7" s="2361"/>
      <c r="R7" s="2361"/>
    </row>
    <row r="8" spans="1:29" ht="14.4">
      <c r="A8" s="431"/>
      <c r="B8" s="1793" t="s">
        <v>2090</v>
      </c>
      <c r="C8" s="2963" t="s">
        <v>3435</v>
      </c>
      <c r="D8" s="2369"/>
      <c r="E8" s="2369"/>
      <c r="F8" s="1132"/>
      <c r="G8" s="1132"/>
      <c r="H8" s="2361"/>
      <c r="I8" s="2361"/>
      <c r="J8" s="2361"/>
      <c r="K8" s="2361"/>
      <c r="L8" s="2361"/>
      <c r="M8" s="2361"/>
      <c r="N8" s="2361"/>
      <c r="O8" s="2361"/>
      <c r="P8" s="2361"/>
      <c r="Q8" s="2361"/>
      <c r="R8" s="2361"/>
    </row>
    <row r="9" spans="1:29" ht="14.4">
      <c r="A9" s="431"/>
      <c r="B9" s="1793" t="s">
        <v>2094</v>
      </c>
      <c r="C9" s="2964" t="s">
        <v>3437</v>
      </c>
      <c r="D9" s="2363"/>
      <c r="E9" s="2369"/>
      <c r="F9" s="1132"/>
      <c r="G9" s="1132"/>
      <c r="H9" s="2361"/>
      <c r="I9" s="2361"/>
      <c r="J9" s="2361"/>
      <c r="K9" s="2361"/>
      <c r="L9" s="2361"/>
      <c r="M9" s="2361"/>
      <c r="N9" s="2361"/>
      <c r="O9" s="2361"/>
      <c r="P9" s="2361"/>
      <c r="Q9" s="2361"/>
      <c r="R9" s="2361"/>
    </row>
    <row r="10" spans="1:29" s="117" customFormat="1" ht="15" thickBot="1">
      <c r="A10" s="2373"/>
      <c r="B10" s="2374" t="s">
        <v>2095</v>
      </c>
      <c r="C10" s="2375"/>
      <c r="D10" s="2363"/>
      <c r="E10" s="2363"/>
      <c r="F10" s="1132"/>
      <c r="G10" s="1132"/>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c r="A11" s="2379"/>
      <c r="B11" s="2369"/>
      <c r="C11" s="2363"/>
      <c r="D11" s="2363"/>
      <c r="E11" s="2363"/>
      <c r="F11" s="2369"/>
      <c r="G11" s="1150"/>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7.399999999999999">
      <c r="A12" s="2379"/>
      <c r="B12" s="2369"/>
      <c r="C12" s="2363"/>
      <c r="D12" s="2380"/>
      <c r="E12" s="2363"/>
      <c r="F12" s="2369"/>
      <c r="G12" s="1150"/>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8" thickBot="1">
      <c r="A13" s="2386" t="s">
        <v>2096</v>
      </c>
      <c r="B13" s="2380"/>
      <c r="C13" s="2380"/>
      <c r="D13" s="2387"/>
      <c r="E13" s="2380"/>
      <c r="F13" s="2380"/>
      <c r="G13" s="2380"/>
    </row>
    <row r="14" spans="1:29" ht="15" thickBot="1">
      <c r="A14" s="2391"/>
      <c r="B14" s="2392"/>
      <c r="C14" s="2393" t="s">
        <v>2097</v>
      </c>
      <c r="D14" s="2363"/>
      <c r="E14" s="2394"/>
      <c r="F14" s="2394"/>
      <c r="G14" s="2358" t="s">
        <v>2098</v>
      </c>
    </row>
    <row r="15" spans="1:29" ht="41.4">
      <c r="A15" s="68" t="s">
        <v>2099</v>
      </c>
      <c r="B15" s="1266" t="s">
        <v>2080</v>
      </c>
      <c r="C15" s="2395" t="str">
        <f>C3</f>
        <v>较差</v>
      </c>
      <c r="D15" s="2363"/>
      <c r="E15" s="2396" t="s">
        <v>2100</v>
      </c>
      <c r="F15" s="1266" t="s">
        <v>2101</v>
      </c>
      <c r="G15" s="135" t="str">
        <f>G3</f>
        <v>估价对象位于XX开发区，园区建设成熟度XX，产业集聚程度XX</v>
      </c>
    </row>
    <row r="16" spans="1:29" ht="41.4">
      <c r="A16" s="645"/>
      <c r="B16" s="2397" t="s">
        <v>2083</v>
      </c>
      <c r="C16" s="2398" t="str">
        <f>C4</f>
        <v>较差</v>
      </c>
      <c r="D16" s="2363"/>
      <c r="E16" s="2399"/>
      <c r="F16" s="2400" t="s">
        <v>2084</v>
      </c>
      <c r="G16" s="136" t="str">
        <f>G4</f>
        <v>估价对象周边道路状况、公共交通通达情况、停车便捷程度，综合评价交通便捷度较好</v>
      </c>
    </row>
    <row r="17" spans="1:18" ht="14.4">
      <c r="A17" s="645"/>
      <c r="B17" s="2397" t="s">
        <v>2086</v>
      </c>
      <c r="C17" s="2398">
        <f>C5</f>
        <v>0</v>
      </c>
      <c r="D17" s="2369"/>
      <c r="E17" s="2399"/>
      <c r="F17" s="2400" t="s">
        <v>2102</v>
      </c>
      <c r="G17" s="1567"/>
    </row>
    <row r="18" spans="1:18" ht="41.4">
      <c r="A18" s="645"/>
      <c r="B18" s="2400" t="s">
        <v>2089</v>
      </c>
      <c r="C18" s="136" t="str">
        <f>C6</f>
        <v>差</v>
      </c>
      <c r="D18" s="2369"/>
      <c r="E18" s="2399"/>
      <c r="F18" s="2400" t="s">
        <v>2092</v>
      </c>
      <c r="G18" s="136" t="str">
        <f>G7</f>
        <v>该园区内是否有污染型企业，绿化情况，卫生条件，整体环境状况判断</v>
      </c>
    </row>
    <row r="19" spans="1:18" ht="27.6">
      <c r="A19" s="645"/>
      <c r="B19" s="2400" t="s">
        <v>2103</v>
      </c>
      <c r="C19" s="2965" t="s">
        <v>3438</v>
      </c>
      <c r="D19" s="2363"/>
      <c r="E19" s="2399"/>
      <c r="F19" s="1793" t="s">
        <v>2087</v>
      </c>
      <c r="G19" s="136" t="str">
        <f>G5</f>
        <v>估价对象所在区域公共配套设施齐备情况</v>
      </c>
    </row>
    <row r="20" spans="1:18" ht="27.6">
      <c r="A20" s="645"/>
      <c r="B20" s="2400" t="s">
        <v>2104</v>
      </c>
      <c r="C20" s="2398" t="str">
        <f>C9</f>
        <v>一般</v>
      </c>
      <c r="D20" s="2369"/>
      <c r="E20" s="2399"/>
      <c r="F20" s="1793" t="s">
        <v>2105</v>
      </c>
      <c r="G20" s="136" t="str">
        <f>G6</f>
        <v>估价对象所在区域基础设施水平</v>
      </c>
    </row>
    <row r="21" spans="1:18" ht="14.4">
      <c r="A21" s="645"/>
      <c r="B21" s="1793" t="s">
        <v>2087</v>
      </c>
      <c r="C21" s="136" t="str">
        <f>C7</f>
        <v>差</v>
      </c>
      <c r="D21" s="2363"/>
      <c r="E21" s="2399"/>
      <c r="F21" s="2400" t="s">
        <v>2106</v>
      </c>
      <c r="G21" s="2401"/>
    </row>
    <row r="22" spans="1:18" ht="13.5" customHeight="1">
      <c r="A22" s="645"/>
      <c r="B22" s="1793" t="s">
        <v>2090</v>
      </c>
      <c r="C22" s="136" t="str">
        <f>C8</f>
        <v>七通</v>
      </c>
      <c r="D22" s="2363"/>
      <c r="E22" s="2399"/>
      <c r="F22" s="2400" t="s">
        <v>2095</v>
      </c>
      <c r="G22" s="1567"/>
    </row>
    <row r="23" spans="1:18" s="2361" customFormat="1" ht="15" thickBot="1">
      <c r="A23" s="645"/>
      <c r="B23" s="2400" t="s">
        <v>2106</v>
      </c>
      <c r="C23" s="2401"/>
      <c r="D23" s="2388"/>
      <c r="E23" s="2402"/>
      <c r="F23" s="2403" t="s">
        <v>2107</v>
      </c>
      <c r="G23" s="2404"/>
      <c r="H23" s="2388"/>
      <c r="I23" s="2389"/>
      <c r="J23" s="2388"/>
      <c r="K23" s="2388"/>
      <c r="L23" s="2389"/>
      <c r="M23" s="2388"/>
      <c r="N23" s="2388"/>
      <c r="O23" s="2389"/>
      <c r="P23" s="2388"/>
      <c r="Q23" s="2388"/>
      <c r="R23" s="2390"/>
    </row>
    <row r="24" spans="1:18" s="2361" customFormat="1" ht="15" thickBot="1">
      <c r="A24" s="2405"/>
      <c r="B24" s="2403" t="s">
        <v>2108</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4"/>
  <sheetViews>
    <sheetView zoomScale="85" zoomScaleNormal="85" workbookViewId="0">
      <selection activeCell="C24" sqref="C24"/>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SUM(B14:B24)</f>
        <v>1573024.8</v>
      </c>
      <c r="C1" s="1740"/>
      <c r="D1" s="1740"/>
      <c r="E1" s="1740"/>
      <c r="F1" s="1740"/>
      <c r="G1" s="1738"/>
    </row>
    <row r="2" spans="1:10" ht="16.2">
      <c r="A2" s="1741" t="s">
        <v>1349</v>
      </c>
      <c r="B2" s="1741">
        <f>SUM(C14:C24)</f>
        <v>853837.25</v>
      </c>
      <c r="C2" s="1740"/>
      <c r="D2" s="1740"/>
      <c r="E2" s="1740"/>
      <c r="F2" s="1740"/>
      <c r="G2" s="1738"/>
    </row>
    <row r="3" spans="1:10" ht="15.6">
      <c r="A3" s="1741" t="s">
        <v>1358</v>
      </c>
      <c r="B3" s="1742">
        <f>项目基本情况!D3</f>
        <v>43725</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SUM(D14:D24)</f>
        <v>760782</v>
      </c>
      <c r="C5" s="1741">
        <f ca="1">ROUND(B5*10000/$B$1,0)</f>
        <v>4836</v>
      </c>
      <c r="D5" s="1741">
        <f ca="1">ROUND(B5*10000/$B$2,0)</f>
        <v>8910</v>
      </c>
      <c r="E5" s="1740"/>
      <c r="F5" s="1738"/>
      <c r="G5" s="1738"/>
    </row>
    <row r="6" spans="1:10" ht="15.6">
      <c r="A6" s="1741" t="s">
        <v>1352</v>
      </c>
      <c r="B6" s="1741">
        <f ca="1">SUM(G14:G24)</f>
        <v>760782</v>
      </c>
      <c r="C6" s="1741">
        <f ca="1">ROUND(B6*10000/$B$1,0)</f>
        <v>4836</v>
      </c>
      <c r="D6" s="1741">
        <f ca="1">ROUND(B6*10000/$B$2,0)</f>
        <v>8910</v>
      </c>
      <c r="E6" s="1740"/>
      <c r="F6" s="1738"/>
      <c r="G6" s="1738"/>
    </row>
    <row r="7" spans="1:10" ht="15.6">
      <c r="A7" s="1741" t="s">
        <v>1360</v>
      </c>
      <c r="B7" s="1741">
        <f>SUM(H14:H23)</f>
        <v>0</v>
      </c>
      <c r="C7" s="1741">
        <f>ROUND(B7*10000/$B$1,0)</f>
        <v>0</v>
      </c>
      <c r="D7" s="1741">
        <f>ROUND(B7*10000/$B$2,0)</f>
        <v>0</v>
      </c>
      <c r="E7" s="1740"/>
      <c r="F7" s="1738"/>
      <c r="G7" s="1738"/>
    </row>
    <row r="8" spans="1:10" ht="15.6">
      <c r="A8" s="1741" t="s">
        <v>1281</v>
      </c>
      <c r="B8" s="1741">
        <f>SUM(I14:I23)</f>
        <v>0</v>
      </c>
      <c r="C8" s="1741">
        <f>ROUND(B8*10000/$B$1,0)</f>
        <v>0</v>
      </c>
      <c r="D8" s="1741">
        <f>ROUND(B8*10000/$B$2,0)</f>
        <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14966.349999999999</v>
      </c>
      <c r="C14" s="1739">
        <f>结果表!C118</f>
        <v>3741.59</v>
      </c>
      <c r="D14" s="1739">
        <f ca="1">结果表!H118</f>
        <v>13247</v>
      </c>
      <c r="E14" s="1739">
        <f ca="1">ROUND(D14*10000/B14,0)</f>
        <v>8851</v>
      </c>
      <c r="F14" s="1739">
        <f ca="1">ROUND(D14*10000/C14,0)</f>
        <v>35405</v>
      </c>
      <c r="G14" s="1739">
        <f ca="1">结果表!D122</f>
        <v>13247</v>
      </c>
      <c r="H14" s="1739" t="str">
        <f>结果表!D124</f>
        <v>——</v>
      </c>
      <c r="I14" s="1739" t="str">
        <f>结果表!D126</f>
        <v>——</v>
      </c>
      <c r="J14" s="1738"/>
    </row>
    <row r="15" spans="1:10" ht="15.6">
      <c r="A15" s="1737" t="s">
        <v>1345</v>
      </c>
      <c r="B15" s="2976">
        <f>[1]价值明细表!H9</f>
        <v>29207.610000000004</v>
      </c>
      <c r="C15" s="2976">
        <f>[1]价值明细表!I9</f>
        <v>36509.51</v>
      </c>
      <c r="D15" s="2976">
        <f>[1]价值明细表!N9</f>
        <v>32598</v>
      </c>
      <c r="E15" s="1739">
        <f t="shared" ref="E15:E23" si="0">ROUND(D15*10000/B15,0)</f>
        <v>11161</v>
      </c>
      <c r="F15" s="1739">
        <f t="shared" ref="F15:F23" si="1">ROUND(D15*10000/C15,0)</f>
        <v>8929</v>
      </c>
      <c r="G15" s="1745">
        <f>D15</f>
        <v>32598</v>
      </c>
      <c r="H15" s="1745"/>
      <c r="I15" s="1744"/>
      <c r="J15" s="1738"/>
    </row>
    <row r="16" spans="1:10" ht="15.6">
      <c r="A16" s="1737" t="s">
        <v>1344</v>
      </c>
      <c r="B16" s="2976">
        <f>[1]价值明细表!H10</f>
        <v>323903.75</v>
      </c>
      <c r="C16" s="2976">
        <f>[1]价值明细表!I10</f>
        <v>80975.94</v>
      </c>
      <c r="D16" s="2976">
        <f>[1]价值明细表!N10</f>
        <v>163926</v>
      </c>
      <c r="E16" s="1739">
        <f t="shared" si="0"/>
        <v>5061</v>
      </c>
      <c r="F16" s="1739">
        <f t="shared" si="1"/>
        <v>20244</v>
      </c>
      <c r="G16" s="1745">
        <f t="shared" ref="G16:G24" si="2">D16</f>
        <v>163926</v>
      </c>
      <c r="H16" s="1745"/>
      <c r="I16" s="1744"/>
    </row>
    <row r="17" spans="1:9" ht="15.6">
      <c r="A17" s="1737" t="s">
        <v>1343</v>
      </c>
      <c r="B17" s="2976">
        <f>[1]价值明细表!H11</f>
        <v>201021.05000000002</v>
      </c>
      <c r="C17" s="2976">
        <f>[1]价值明细表!I11</f>
        <v>251276.31</v>
      </c>
      <c r="D17" s="2976">
        <f>[1]价值明细表!N11</f>
        <v>125257</v>
      </c>
      <c r="E17" s="1739">
        <f t="shared" si="0"/>
        <v>6231</v>
      </c>
      <c r="F17" s="1739">
        <f t="shared" si="1"/>
        <v>4985</v>
      </c>
      <c r="G17" s="1745">
        <f t="shared" si="2"/>
        <v>125257</v>
      </c>
      <c r="H17" s="1745"/>
      <c r="I17" s="1744"/>
    </row>
    <row r="18" spans="1:9" ht="15.6">
      <c r="A18" s="1737" t="s">
        <v>1342</v>
      </c>
      <c r="B18" s="2976">
        <f>[1]价值明细表!H12</f>
        <v>101379.92</v>
      </c>
      <c r="C18" s="2976">
        <f>[1]价值明细表!I12</f>
        <v>126724.9</v>
      </c>
      <c r="D18" s="2976">
        <f>[1]价值明细表!N12</f>
        <v>61689</v>
      </c>
      <c r="E18" s="1739">
        <f t="shared" si="0"/>
        <v>6085</v>
      </c>
      <c r="F18" s="1739">
        <f t="shared" si="1"/>
        <v>4868</v>
      </c>
      <c r="G18" s="1745">
        <f t="shared" si="2"/>
        <v>61689</v>
      </c>
      <c r="H18" s="1744"/>
      <c r="I18" s="1744"/>
    </row>
    <row r="19" spans="1:9" ht="15.6">
      <c r="A19" s="1737" t="s">
        <v>1341</v>
      </c>
      <c r="B19" s="2976">
        <f>[1]价值明细表!H13</f>
        <v>233448.4</v>
      </c>
      <c r="C19" s="2976">
        <f>[1]价值明细表!I13</f>
        <v>58362.1</v>
      </c>
      <c r="D19" s="2976">
        <f>[1]价值明细表!N13</f>
        <v>121894</v>
      </c>
      <c r="E19" s="1739">
        <f t="shared" si="0"/>
        <v>5221</v>
      </c>
      <c r="F19" s="1739">
        <f t="shared" si="1"/>
        <v>20886</v>
      </c>
      <c r="G19" s="1745">
        <f t="shared" si="2"/>
        <v>121894</v>
      </c>
      <c r="H19" s="1744"/>
      <c r="I19" s="1744"/>
    </row>
    <row r="20" spans="1:9" ht="15.6">
      <c r="A20" s="1737" t="s">
        <v>1340</v>
      </c>
      <c r="B20" s="2976">
        <f>[1]价值明细表!H14</f>
        <v>230826.5</v>
      </c>
      <c r="C20" s="2976">
        <f>[1]价值明细表!I14</f>
        <v>48837.7</v>
      </c>
      <c r="D20" s="2976">
        <f>[1]价值明细表!N14</f>
        <v>84036</v>
      </c>
      <c r="E20" s="1739">
        <f t="shared" si="0"/>
        <v>3641</v>
      </c>
      <c r="F20" s="1739">
        <f t="shared" si="1"/>
        <v>17207</v>
      </c>
      <c r="G20" s="1745">
        <f t="shared" si="2"/>
        <v>84036</v>
      </c>
      <c r="H20" s="1744"/>
      <c r="I20" s="1744"/>
    </row>
    <row r="21" spans="1:9" ht="15.6">
      <c r="A21" s="1737" t="s">
        <v>1339</v>
      </c>
      <c r="B21" s="2976">
        <f>[1]价值明细表!H15</f>
        <v>144427.36000000002</v>
      </c>
      <c r="C21" s="2976">
        <f>[1]价值明细表!I15</f>
        <v>180534.2</v>
      </c>
      <c r="D21" s="2976">
        <f>[1]价值明细表!N15</f>
        <v>88287</v>
      </c>
      <c r="E21" s="1739">
        <f t="shared" si="0"/>
        <v>6113</v>
      </c>
      <c r="F21" s="1739">
        <f t="shared" si="1"/>
        <v>4890</v>
      </c>
      <c r="G21" s="1745">
        <f t="shared" si="2"/>
        <v>88287</v>
      </c>
      <c r="H21" s="1744"/>
      <c r="I21" s="1744"/>
    </row>
    <row r="22" spans="1:9" ht="15.6">
      <c r="A22" s="1737" t="s">
        <v>1338</v>
      </c>
      <c r="B22" s="2976">
        <f>[1]价值明细表!H16</f>
        <v>73973.16</v>
      </c>
      <c r="C22" s="2976">
        <f>[1]价值明细表!I16</f>
        <v>13454.9</v>
      </c>
      <c r="D22" s="2976">
        <f>[1]价值明细表!N16</f>
        <v>15175</v>
      </c>
      <c r="E22" s="1739">
        <f t="shared" si="0"/>
        <v>2051</v>
      </c>
      <c r="F22" s="1739">
        <f t="shared" si="1"/>
        <v>11278</v>
      </c>
      <c r="G22" s="1745">
        <f t="shared" si="2"/>
        <v>15175</v>
      </c>
      <c r="H22" s="1744"/>
      <c r="I22" s="1744"/>
    </row>
    <row r="23" spans="1:9" ht="15.6">
      <c r="A23" s="1737" t="s">
        <v>1337</v>
      </c>
      <c r="B23" s="2976">
        <f>[1]价值明细表!H17</f>
        <v>197725.03</v>
      </c>
      <c r="C23" s="2976">
        <f>[1]价值明细表!I17</f>
        <v>34513</v>
      </c>
      <c r="D23" s="2976">
        <f>[1]价值明细表!N17</f>
        <v>36243</v>
      </c>
      <c r="E23" s="1741">
        <f t="shared" si="0"/>
        <v>1833</v>
      </c>
      <c r="F23" s="1741">
        <f t="shared" si="1"/>
        <v>10501</v>
      </c>
      <c r="G23" s="1745">
        <f t="shared" si="2"/>
        <v>36243</v>
      </c>
      <c r="H23" s="1744"/>
      <c r="I23" s="1744"/>
    </row>
    <row r="24" spans="1:9" ht="15.6">
      <c r="A24" s="1737" t="s">
        <v>3552</v>
      </c>
      <c r="B24" s="2976">
        <f>[1]价值明细表!H18</f>
        <v>22145.67</v>
      </c>
      <c r="C24" s="2976">
        <f>[1]价值明细表!I18</f>
        <v>18907.099999999999</v>
      </c>
      <c r="D24" s="2976">
        <f>[1]价值明细表!N18</f>
        <v>18430</v>
      </c>
      <c r="E24" s="1741">
        <f t="shared" ref="E24" si="3">ROUND(D24*10000/B24,0)</f>
        <v>8322</v>
      </c>
      <c r="F24" s="1741">
        <f t="shared" ref="F24" si="4">ROUND(D24*10000/C24,0)</f>
        <v>9748</v>
      </c>
      <c r="G24" s="1745">
        <f t="shared" si="2"/>
        <v>18430</v>
      </c>
      <c r="H24" s="1744"/>
      <c r="I24" s="1744"/>
    </row>
  </sheetData>
  <sheetProtection algorithmName="SHA-512" hashValue="62YuzaVWSTxvK6KlI8moBm6R22j5u8c6p127My3AGYQARwo5C8G3W1zjM5SZBQUCeZ6cDKDjw59/N0ov3F7/nA==" saltValue="Tih+y+jm1wZqmBpSQM3+2A==" spinCount="100000"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85" zoomScaleNormal="100" zoomScaleSheetLayoutView="85" zoomScalePageLayoutView="80" workbookViewId="0">
      <selection activeCell="D122" sqref="D122:I122"/>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19" t="s">
        <v>2109</v>
      </c>
      <c r="B1" s="2411"/>
      <c r="C1" s="2412"/>
      <c r="D1" s="2411"/>
      <c r="E1" s="2411"/>
      <c r="F1" s="2413" t="s">
        <v>2110</v>
      </c>
      <c r="G1" s="2065" t="s">
        <v>3547</v>
      </c>
      <c r="H1" s="2414" t="str">
        <f>IF(G1="现房","——","估价对象范围")</f>
        <v>估价对象范围</v>
      </c>
      <c r="I1" s="2415"/>
    </row>
    <row r="2" spans="1:12" ht="21.75" customHeight="1" thickBot="1">
      <c r="A2" s="3112" t="str">
        <f>项目基本情况!S2</f>
        <v>天津市滨海新区中心渔港经济区鲤鱼门路以东、海湾一道以南4-1、4-2#地块出让国有建设用地使用权及在建建筑物房地产</v>
      </c>
      <c r="B2" s="3113"/>
      <c r="C2" s="3113"/>
      <c r="D2" s="3113"/>
      <c r="E2" s="3113"/>
      <c r="F2" s="3113"/>
      <c r="G2" s="3113"/>
      <c r="H2" s="3113"/>
      <c r="I2" s="3114"/>
    </row>
    <row r="3" spans="1:12" ht="13.2">
      <c r="A3" s="3116" t="s">
        <v>2111</v>
      </c>
      <c r="B3" s="3117"/>
      <c r="C3" s="3117"/>
      <c r="D3" s="3117"/>
      <c r="E3" s="3117"/>
      <c r="F3" s="3117"/>
      <c r="G3" s="3117"/>
      <c r="H3" s="3117"/>
      <c r="I3" s="3117"/>
    </row>
    <row r="4" spans="1:12" ht="14.4">
      <c r="A4" s="2418" t="s">
        <v>2112</v>
      </c>
      <c r="B4" s="2419" t="s">
        <v>2113</v>
      </c>
      <c r="C4" s="2420" t="s">
        <v>3546</v>
      </c>
      <c r="D4" s="2420" t="s">
        <v>3496</v>
      </c>
      <c r="E4" s="3109" t="s">
        <v>2114</v>
      </c>
      <c r="F4" s="3110"/>
      <c r="G4" s="3110"/>
      <c r="H4" s="3110"/>
      <c r="I4" s="3118"/>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3.2">
      <c r="A5" s="3092" t="s">
        <v>2115</v>
      </c>
      <c r="B5" s="3024">
        <v>25</v>
      </c>
      <c r="C5" s="3095"/>
      <c r="D5" s="3115"/>
      <c r="E5" s="140" t="s">
        <v>2116</v>
      </c>
      <c r="F5" s="2422"/>
      <c r="G5" s="2422"/>
      <c r="H5" s="2422"/>
      <c r="I5" s="1829"/>
    </row>
    <row r="6" spans="1:12" ht="13.2">
      <c r="A6" s="3092"/>
      <c r="B6" s="3024"/>
      <c r="C6" s="3096"/>
      <c r="D6" s="3115"/>
      <c r="E6" s="140" t="s">
        <v>2117</v>
      </c>
      <c r="F6" s="2422"/>
      <c r="G6" s="2422"/>
      <c r="H6" s="2422"/>
      <c r="I6" s="1829"/>
    </row>
    <row r="7" spans="1:12" ht="13.2">
      <c r="A7" s="3092"/>
      <c r="B7" s="3024"/>
      <c r="C7" s="3097"/>
      <c r="D7" s="3115"/>
      <c r="E7" s="140" t="s">
        <v>2118</v>
      </c>
      <c r="F7" s="2422"/>
      <c r="G7" s="2422"/>
      <c r="H7" s="2422"/>
      <c r="I7" s="1829"/>
    </row>
    <row r="8" spans="1:12" ht="13.2">
      <c r="A8" s="3092" t="s">
        <v>2119</v>
      </c>
      <c r="B8" s="3024">
        <v>15</v>
      </c>
      <c r="C8" s="3095"/>
      <c r="D8" s="3115"/>
      <c r="E8" s="140" t="s">
        <v>2120</v>
      </c>
      <c r="F8" s="2422"/>
      <c r="G8" s="2422"/>
      <c r="H8" s="2422"/>
      <c r="I8" s="1829"/>
    </row>
    <row r="9" spans="1:12" ht="13.2">
      <c r="A9" s="3092"/>
      <c r="B9" s="3024"/>
      <c r="C9" s="3097"/>
      <c r="D9" s="3115"/>
      <c r="E9" s="140" t="s">
        <v>2121</v>
      </c>
      <c r="F9" s="2422"/>
      <c r="G9" s="2422"/>
      <c r="H9" s="2422"/>
      <c r="I9" s="1829"/>
    </row>
    <row r="10" spans="1:12" ht="13.2">
      <c r="A10" s="3092" t="s">
        <v>2122</v>
      </c>
      <c r="B10" s="3024">
        <v>15</v>
      </c>
      <c r="C10" s="3095"/>
      <c r="D10" s="3115"/>
      <c r="E10" s="140" t="s">
        <v>2123</v>
      </c>
      <c r="F10" s="2422"/>
      <c r="G10" s="2422"/>
      <c r="H10" s="2422"/>
      <c r="I10" s="1829"/>
    </row>
    <row r="11" spans="1:12" ht="13.2">
      <c r="A11" s="3092"/>
      <c r="B11" s="3024"/>
      <c r="C11" s="3097"/>
      <c r="D11" s="3115"/>
      <c r="E11" s="140" t="s">
        <v>2124</v>
      </c>
      <c r="F11" s="2422"/>
      <c r="G11" s="2422"/>
      <c r="H11" s="2422"/>
      <c r="I11" s="1829"/>
    </row>
    <row r="12" spans="1:12" ht="13.2">
      <c r="A12" s="3092" t="s">
        <v>2125</v>
      </c>
      <c r="B12" s="3024">
        <v>15</v>
      </c>
      <c r="C12" s="3095"/>
      <c r="D12" s="3115"/>
      <c r="E12" s="140" t="s">
        <v>2126</v>
      </c>
      <c r="F12" s="2422"/>
      <c r="G12" s="2422"/>
      <c r="H12" s="2422"/>
      <c r="I12" s="1829"/>
    </row>
    <row r="13" spans="1:12" ht="13.2">
      <c r="A13" s="3092"/>
      <c r="B13" s="3024"/>
      <c r="C13" s="3097"/>
      <c r="D13" s="3115"/>
      <c r="E13" s="140" t="s">
        <v>2127</v>
      </c>
      <c r="F13" s="2422"/>
      <c r="G13" s="2422"/>
      <c r="H13" s="2422"/>
      <c r="I13" s="1829"/>
    </row>
    <row r="14" spans="1:12" ht="13.2">
      <c r="A14" s="3092" t="s">
        <v>2128</v>
      </c>
      <c r="B14" s="3024">
        <v>30</v>
      </c>
      <c r="C14" s="3095">
        <v>60</v>
      </c>
      <c r="D14" s="3115">
        <v>40</v>
      </c>
      <c r="E14" s="140" t="s">
        <v>2129</v>
      </c>
      <c r="F14" s="2422"/>
      <c r="G14" s="2422"/>
      <c r="H14" s="2422"/>
      <c r="I14" s="1829"/>
    </row>
    <row r="15" spans="1:12" ht="13.2">
      <c r="A15" s="3092"/>
      <c r="B15" s="3024"/>
      <c r="C15" s="3096"/>
      <c r="D15" s="3115"/>
      <c r="E15" s="140" t="s">
        <v>2130</v>
      </c>
      <c r="F15" s="2422"/>
      <c r="G15" s="2422"/>
      <c r="H15" s="2422"/>
      <c r="I15" s="1829"/>
    </row>
    <row r="16" spans="1:12" ht="13.2">
      <c r="A16" s="3092"/>
      <c r="B16" s="3024"/>
      <c r="C16" s="3097"/>
      <c r="D16" s="3115"/>
      <c r="E16" s="140" t="s">
        <v>2131</v>
      </c>
      <c r="F16" s="2422"/>
      <c r="G16" s="2422"/>
      <c r="H16" s="2422"/>
      <c r="I16" s="1829"/>
    </row>
    <row r="17" spans="1:35" ht="14.4">
      <c r="A17" s="2423" t="s">
        <v>2132</v>
      </c>
      <c r="B17" s="64"/>
      <c r="C17" s="141">
        <f>SUM(C5:C16)</f>
        <v>60</v>
      </c>
      <c r="D17" s="141">
        <f>SUM(D5:D16)</f>
        <v>40</v>
      </c>
      <c r="E17" s="138"/>
      <c r="F17" s="138"/>
      <c r="G17" s="138"/>
      <c r="H17" s="138"/>
      <c r="I17" s="138"/>
      <c r="K17" s="2421"/>
      <c r="L17" s="2424" t="s">
        <v>2133</v>
      </c>
      <c r="M17" s="2424" t="s">
        <v>2134</v>
      </c>
    </row>
    <row r="18" spans="1:35" ht="15" thickBot="1">
      <c r="A18" s="2425" t="s">
        <v>2135</v>
      </c>
      <c r="B18" s="2426"/>
      <c r="C18" s="142">
        <f>ROUND(C17/SUM(C17:D17),2)</f>
        <v>0.6</v>
      </c>
      <c r="D18" s="142">
        <f>1-C18</f>
        <v>0.4</v>
      </c>
      <c r="E18" s="138"/>
      <c r="F18" s="138"/>
      <c r="G18" s="138"/>
      <c r="H18" s="138"/>
      <c r="I18" s="138"/>
      <c r="K18" s="2421" t="s">
        <v>2136</v>
      </c>
      <c r="L18" s="2421">
        <f>IF(C1="",'数据-汇总表'!E3,SUMIF(项目类型,C1,'数据-汇总表'!E17:E26)+SUMIF(项目类型,C1,'数据-汇总表'!I17:I26))</f>
        <v>14966.349999999999</v>
      </c>
      <c r="M18" s="2421">
        <f>IF(C1="",'数据-汇总表'!E3,SUMIF(项目类型,C1,'数据-汇总表'!E17:E26))</f>
        <v>14966.349999999999</v>
      </c>
    </row>
    <row r="19" spans="1:35" ht="14.4">
      <c r="A19" s="2427" t="s">
        <v>2137</v>
      </c>
      <c r="B19" s="2428" t="s">
        <v>2138</v>
      </c>
      <c r="C19" s="143">
        <f ca="1">SUMIF(INDIRECT("'"&amp;C4&amp;"'"&amp;"!A:A"),结果表!B19,INDIRECT("'"&amp;C4&amp;"'"&amp;"!B:B"))</f>
        <v>14714</v>
      </c>
      <c r="D19" s="144">
        <f ca="1">SUMIF(INDIRECT("'"&amp;D4&amp;"'"&amp;"!A:A"),结果表!B19,INDIRECT("'"&amp;D4&amp;"'"&amp;"!B:B"))</f>
        <v>11047</v>
      </c>
      <c r="E19" s="2427" t="s">
        <v>2139</v>
      </c>
      <c r="F19" s="2428" t="s">
        <v>2138</v>
      </c>
      <c r="G19" s="145">
        <f ca="1">ROUND(C19*$C$18+D19*$D$18,0)</f>
        <v>13247</v>
      </c>
      <c r="H19" s="2429" t="s">
        <v>2140</v>
      </c>
      <c r="I19" s="138"/>
      <c r="K19" s="2421" t="s">
        <v>2141</v>
      </c>
      <c r="L19" s="2421">
        <f>IF(C1="",'数据-汇总表'!D3,SUMIF(项目类型,C1,'数据-汇总表'!D17:D26)+SUMIF(项目类型,C1,'数据-汇总表'!H17:H27))</f>
        <v>3741.59</v>
      </c>
      <c r="M19" s="2421">
        <f>IF(C1="",'数据-汇总表'!D3,SUMIF(项目类型,C1,'数据-汇总表'!D17:D26))</f>
        <v>3741.59</v>
      </c>
    </row>
    <row r="20" spans="1:35" ht="14.4">
      <c r="A20" s="2430"/>
      <c r="B20" s="1246" t="s">
        <v>2142</v>
      </c>
      <c r="C20" s="146">
        <f ca="1">SUMIF(INDIRECT("'"&amp;C4&amp;"'"&amp;"!A:A"),结果表!B20,INDIRECT("'"&amp;C4&amp;"'"&amp;"!B:B"))</f>
        <v>9831</v>
      </c>
      <c r="D20" s="147">
        <f ca="1">SUMIF(INDIRECT("'"&amp;D4&amp;"'"&amp;"!A:A"),结果表!B20,INDIRECT("'"&amp;D4&amp;"'"&amp;"!B:B"))</f>
        <v>7381</v>
      </c>
      <c r="E20" s="2430"/>
      <c r="F20" s="1246" t="s">
        <v>2142</v>
      </c>
      <c r="G20" s="148">
        <f ca="1">ROUND(C20*$C$18+D20*$D$18,0)</f>
        <v>8851</v>
      </c>
      <c r="H20" s="980" t="s">
        <v>2143</v>
      </c>
      <c r="I20" s="138"/>
    </row>
    <row r="21" spans="1:35" ht="15" customHeight="1" thickBot="1">
      <c r="A21" s="1000"/>
      <c r="B21" s="2431" t="s">
        <v>2144</v>
      </c>
      <c r="C21" s="789">
        <f ca="1">ROUND(C19*10000/L19,0)</f>
        <v>39326</v>
      </c>
      <c r="D21" s="790">
        <f ca="1">ROUND(D19*10000/L19,0)</f>
        <v>29525</v>
      </c>
      <c r="E21" s="1000"/>
      <c r="F21" s="2431" t="s">
        <v>2144</v>
      </c>
      <c r="G21" s="149">
        <f ca="1">ROUND(G19*10000/L19,0)</f>
        <v>35405</v>
      </c>
      <c r="H21" s="2432" t="s">
        <v>2143</v>
      </c>
      <c r="I21" s="138"/>
    </row>
    <row r="22" spans="1:35" ht="15" thickBot="1">
      <c r="A22" s="2274" t="s">
        <v>2145</v>
      </c>
      <c r="B22" s="2433"/>
      <c r="C22" s="2434"/>
      <c r="D22" s="791">
        <f ca="1">IF(C19&lt;D19,D19/C19-1,C19/D19-1)</f>
        <v>0.33194532452249481</v>
      </c>
      <c r="E22" s="138"/>
      <c r="F22" s="138"/>
      <c r="G22" s="138"/>
      <c r="H22" s="138"/>
      <c r="I22" s="138"/>
    </row>
    <row r="23" spans="1:35" ht="13.8" thickBot="1">
      <c r="A23" s="2411"/>
      <c r="B23" s="2411"/>
      <c r="C23" s="2411"/>
      <c r="D23" s="2411"/>
      <c r="E23" s="138"/>
      <c r="F23" s="138"/>
      <c r="G23" s="138"/>
      <c r="H23" s="138"/>
      <c r="I23" s="138"/>
    </row>
    <row r="24" spans="1:35" ht="14.4">
      <c r="A24" s="3086" t="s">
        <v>2146</v>
      </c>
      <c r="B24" s="2428" t="s">
        <v>2138</v>
      </c>
      <c r="C24" s="145">
        <f>IF(B30=0,0,D30)</f>
        <v>0</v>
      </c>
      <c r="D24" s="2435"/>
      <c r="E24" s="138"/>
      <c r="F24" s="138"/>
      <c r="G24" s="138"/>
      <c r="H24" s="138"/>
      <c r="I24" s="138"/>
    </row>
    <row r="25" spans="1:35" ht="14.4">
      <c r="A25" s="3087"/>
      <c r="B25" s="1246" t="s">
        <v>2142</v>
      </c>
      <c r="C25" s="150">
        <f>IF(B30=0,0,C30)</f>
        <v>0</v>
      </c>
      <c r="D25" s="2436"/>
      <c r="E25" s="138"/>
      <c r="F25" s="138"/>
      <c r="G25" s="138"/>
      <c r="H25" s="138"/>
      <c r="I25" s="138"/>
    </row>
    <row r="26" spans="1:35" ht="13.5" customHeight="1">
      <c r="A26" s="2437" t="s">
        <v>2147</v>
      </c>
      <c r="B26" s="151" t="s">
        <v>2148</v>
      </c>
      <c r="C26" s="151" t="s">
        <v>2149</v>
      </c>
      <c r="D26" s="152" t="s">
        <v>2150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2151</v>
      </c>
      <c r="B30" s="151"/>
      <c r="C30" s="151"/>
      <c r="D30" s="151"/>
      <c r="E30" s="2908" t="s">
        <v>3025</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2152</v>
      </c>
      <c r="B32" s="2441"/>
      <c r="C32" s="153">
        <f ca="1">IF(D32="总价",G19-C24,G20-C25)</f>
        <v>13247</v>
      </c>
      <c r="D32" s="2442" t="s">
        <v>2153</v>
      </c>
      <c r="E32" s="138"/>
      <c r="F32" s="138"/>
      <c r="G32" s="138"/>
      <c r="H32" s="138"/>
      <c r="I32" s="138"/>
    </row>
    <row r="33" spans="1:15" ht="14.4">
      <c r="A33" s="957" t="s">
        <v>2154</v>
      </c>
      <c r="B33" s="2443"/>
      <c r="C33" s="2444" t="s">
        <v>3554</v>
      </c>
      <c r="D33" s="2445" t="s">
        <v>3546</v>
      </c>
      <c r="E33" s="2446" t="s">
        <v>2155</v>
      </c>
      <c r="F33" s="2447" t="str">
        <f>IF(D32="楼面单价","取值（单价）","取值（总价）")</f>
        <v>取值（总价）</v>
      </c>
      <c r="G33" s="138"/>
      <c r="H33" s="138"/>
      <c r="I33" s="138"/>
    </row>
    <row r="34" spans="1:15" ht="14.4">
      <c r="A34" s="2448"/>
      <c r="B34" s="2449" t="s">
        <v>2156</v>
      </c>
      <c r="C34" s="157">
        <f ca="1">IF(C33="自定义",F34,C32-C35)</f>
        <v>7870</v>
      </c>
      <c r="D34" s="1054">
        <f ca="1">IF(C33="自定义",ROUND(C34/C32,3),IF(C33="收益比率",SUMIF(INDIRECT("'"&amp;D33&amp;"'"&amp;"!b:b"),"土地收益比率",INDIRECT("'"&amp;D33&amp;"'"&amp;"!c:c")),SUMIF(INDIRECT("'"&amp;D33&amp;"'"&amp;"!b:b"),"土地成本比率",INDIRECT("'"&amp;D33&amp;"'"&amp;"!c:c"))))</f>
        <v>0.59399999999999997</v>
      </c>
      <c r="E34" s="2450" t="s">
        <v>2157</v>
      </c>
      <c r="F34" s="1734">
        <f ca="1">ROUND(成本法!C5/成本法!C52*结果表!G19,0)</f>
        <v>7870</v>
      </c>
      <c r="G34" s="138">
        <f ca="1">F34/'数据-汇总表'!E3*10000</f>
        <v>5258.4631523384132</v>
      </c>
      <c r="H34" s="138"/>
      <c r="I34" s="138"/>
    </row>
    <row r="35" spans="1:15" ht="15" thickBot="1">
      <c r="A35" s="2451"/>
      <c r="B35" s="2452" t="s">
        <v>2158</v>
      </c>
      <c r="C35" s="1440">
        <f ca="1">IF(C33="自定义",F35,ROUND(C32*D35,0))</f>
        <v>5377</v>
      </c>
      <c r="D35" s="1441">
        <f ca="1">IF(C33="自定义",ROUND(C35/C32,3),IF(C33="收益比率",SUMIF(INDIRECT("'"&amp;D33&amp;"'"&amp;"!b:b"),"建筑物收益比率",INDIRECT("'"&amp;D33&amp;"'"&amp;"!c:c")),SUMIF(INDIRECT("'"&amp;D33&amp;"'"&amp;"!b:b"),"建筑物成本比率",INDIRECT("'"&amp;D33&amp;"'"&amp;"!c:c"))))</f>
        <v>0.40600000000000003</v>
      </c>
      <c r="E35" s="2453" t="s">
        <v>2159</v>
      </c>
      <c r="F35" s="163">
        <f ca="1">G19-F34</f>
        <v>5377</v>
      </c>
      <c r="G35" s="138"/>
      <c r="H35" s="138"/>
      <c r="I35" s="138"/>
    </row>
    <row r="36" spans="1:15" ht="15" thickBot="1">
      <c r="A36" s="3104" t="s">
        <v>2160</v>
      </c>
      <c r="B36" s="2454" t="s">
        <v>2161</v>
      </c>
      <c r="C36" s="154"/>
      <c r="D36" s="2455"/>
      <c r="E36" s="2456"/>
      <c r="F36" s="2457"/>
      <c r="G36" s="138"/>
      <c r="H36" s="138"/>
      <c r="I36" s="138"/>
    </row>
    <row r="37" spans="1:15" ht="15" thickBot="1">
      <c r="A37" s="3105"/>
      <c r="B37" s="2260" t="s">
        <v>2162</v>
      </c>
      <c r="C37" s="156"/>
      <c r="D37" s="1391"/>
      <c r="E37" s="1391"/>
      <c r="F37" s="2457"/>
      <c r="G37" s="138"/>
      <c r="H37" s="138"/>
      <c r="I37" s="138"/>
    </row>
    <row r="38" spans="1:15" ht="15" thickBot="1">
      <c r="A38" s="3106"/>
      <c r="B38" s="2458" t="s">
        <v>2163</v>
      </c>
      <c r="C38" s="727"/>
      <c r="D38" s="2459" t="s">
        <v>2164</v>
      </c>
      <c r="E38" s="1391"/>
      <c r="F38" s="2457"/>
      <c r="G38" s="138"/>
      <c r="H38" s="138"/>
      <c r="I38" s="138"/>
    </row>
    <row r="39" spans="1:15" ht="14.4">
      <c r="A39" s="2430" t="s">
        <v>2165</v>
      </c>
      <c r="B39" s="2460" t="s">
        <v>2166</v>
      </c>
      <c r="C39" s="2461" t="s">
        <v>2167</v>
      </c>
      <c r="D39" s="2461" t="s">
        <v>2168</v>
      </c>
      <c r="E39" s="2462" t="s">
        <v>2169</v>
      </c>
      <c r="F39" s="2457"/>
      <c r="G39" s="138"/>
      <c r="H39" s="138"/>
      <c r="I39" s="138"/>
    </row>
    <row r="40" spans="1:15" ht="13.8">
      <c r="A40" s="2463" t="s">
        <v>2170</v>
      </c>
      <c r="B40" s="158"/>
      <c r="C40" s="159"/>
      <c r="D40" s="159"/>
      <c r="E40" s="160"/>
      <c r="F40" s="2457"/>
      <c r="G40" s="138"/>
      <c r="H40" s="138"/>
      <c r="I40" s="138"/>
    </row>
    <row r="41" spans="1:15" ht="13.8">
      <c r="A41" s="2463" t="s">
        <v>2171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60"/>
      <c r="B43" s="2160"/>
      <c r="C43" s="2160"/>
      <c r="D43" s="2160"/>
      <c r="E43" s="2160"/>
      <c r="F43" s="2465"/>
      <c r="G43" s="2465"/>
      <c r="H43" s="2465"/>
      <c r="I43" s="2466"/>
    </row>
    <row r="44" spans="1:15" ht="17.399999999999999">
      <c r="A44" s="2467" t="s">
        <v>2172</v>
      </c>
      <c r="B44" s="2468"/>
      <c r="C44" s="2468"/>
      <c r="D44" s="2469"/>
      <c r="E44" s="2469"/>
      <c r="F44" s="2470"/>
      <c r="G44" s="2470"/>
      <c r="H44" s="2470"/>
      <c r="I44" s="2470"/>
      <c r="J44" s="2471" t="s">
        <v>2173</v>
      </c>
      <c r="K44" s="2472"/>
      <c r="L44" s="2472"/>
      <c r="M44" s="2472"/>
      <c r="N44" s="2472"/>
      <c r="O44" s="2472"/>
    </row>
    <row r="45" spans="1:15" ht="14.25" customHeight="1" thickBot="1">
      <c r="A45" s="3083" t="s">
        <v>2174</v>
      </c>
      <c r="B45" s="3084"/>
      <c r="C45" s="3085"/>
      <c r="D45" s="164">
        <f ca="1">ROUND(H101*F45,0)</f>
        <v>13247</v>
      </c>
      <c r="E45" s="165" t="s">
        <v>2175</v>
      </c>
      <c r="F45" s="166">
        <v>1</v>
      </c>
      <c r="G45" s="167" t="s">
        <v>2176</v>
      </c>
      <c r="H45" s="138"/>
      <c r="I45" s="138"/>
      <c r="J45" s="3143" t="s">
        <v>2177</v>
      </c>
      <c r="K45" s="3143"/>
      <c r="L45" s="3143"/>
      <c r="M45" s="3143"/>
      <c r="N45" s="3143"/>
      <c r="O45" s="3143"/>
    </row>
    <row r="46" spans="1:15" ht="14.25" customHeight="1">
      <c r="A46" s="3080" t="s">
        <v>2178</v>
      </c>
      <c r="B46" s="3081"/>
      <c r="C46" s="3081"/>
      <c r="D46" s="3081"/>
      <c r="E46" s="3081"/>
      <c r="F46" s="3081"/>
      <c r="G46" s="3082"/>
      <c r="H46" s="2473"/>
      <c r="I46" s="168"/>
      <c r="J46" s="1807">
        <v>1</v>
      </c>
      <c r="K46" s="3143" t="s">
        <v>2179</v>
      </c>
      <c r="L46" s="3143"/>
      <c r="M46" s="3163"/>
      <c r="N46" s="3163"/>
      <c r="O46" s="3163"/>
    </row>
    <row r="47" spans="1:15" ht="12" customHeight="1">
      <c r="A47" s="169" t="s">
        <v>2180</v>
      </c>
      <c r="B47" s="170"/>
      <c r="C47" s="171"/>
      <c r="D47" s="172" t="s">
        <v>2181</v>
      </c>
      <c r="E47" s="24" t="s">
        <v>2182</v>
      </c>
      <c r="F47" s="173" t="s">
        <v>2183</v>
      </c>
      <c r="G47" s="174" t="s">
        <v>2184</v>
      </c>
      <c r="H47" s="2473"/>
      <c r="I47" s="168"/>
      <c r="J47" s="1807">
        <v>2</v>
      </c>
      <c r="K47" s="3143" t="s">
        <v>2185</v>
      </c>
      <c r="L47" s="3143"/>
      <c r="M47" s="3164">
        <f>'数据-取费表'!B2</f>
        <v>43725</v>
      </c>
      <c r="N47" s="3164"/>
      <c r="O47" s="3164"/>
    </row>
    <row r="48" spans="1:15" ht="26.4">
      <c r="A48" s="3111" t="s">
        <v>2186</v>
      </c>
      <c r="B48" s="3094"/>
      <c r="C48" s="3094"/>
      <c r="D48" s="140">
        <f>IF(H48="情况1",0,IF(H48="情况2",D52,IF(H48="情况3",D53,IF(H48="情况4",D54))))</f>
        <v>0</v>
      </c>
      <c r="E48" s="1796" t="str">
        <f>IF(H48="情况4","(销售额-原购置价)×税（费）率","销售额×税（费）率")</f>
        <v>销售额×税（费）率</v>
      </c>
      <c r="F48" s="175" t="str">
        <f>IF(H48="情况1","免征",'数据-取费表'!B41)</f>
        <v>免征</v>
      </c>
      <c r="G48" s="2474" t="s">
        <v>2187</v>
      </c>
      <c r="H48" s="2475" t="s">
        <v>2188</v>
      </c>
      <c r="I48" s="2473"/>
      <c r="J48" s="1807">
        <v>3</v>
      </c>
      <c r="K48" s="3143" t="s">
        <v>2189</v>
      </c>
      <c r="L48" s="3143"/>
      <c r="M48" s="3165">
        <f ca="1">H101</f>
        <v>13247</v>
      </c>
      <c r="N48" s="3165"/>
      <c r="O48" s="3165"/>
    </row>
    <row r="49" spans="1:35" ht="25.5" customHeight="1">
      <c r="A49" s="176" t="s">
        <v>2190</v>
      </c>
      <c r="B49" s="3079" t="s">
        <v>2191</v>
      </c>
      <c r="C49" s="3079"/>
      <c r="D49" s="177">
        <v>0</v>
      </c>
      <c r="E49" s="23" t="s">
        <v>2192</v>
      </c>
      <c r="F49" s="28" t="s">
        <v>34</v>
      </c>
      <c r="G49" s="3149"/>
      <c r="H49" s="138"/>
      <c r="I49" s="2476"/>
      <c r="J49" s="1807">
        <v>4</v>
      </c>
      <c r="K49" s="3143" t="str">
        <f>IF(项目基本情况!E8="房地产抵押价值","房地产抵押价值","抵押担保权已注销时的房地产抵押价值")</f>
        <v>房地产抵押价值</v>
      </c>
      <c r="L49" s="3143"/>
      <c r="M49" s="3165">
        <f ca="1">IF(项目基本情况!E8="房地产抵押价值",H107,H109)</f>
        <v>13247</v>
      </c>
      <c r="N49" s="3165"/>
      <c r="O49" s="3165"/>
    </row>
    <row r="50" spans="1:35" ht="25.5" customHeight="1">
      <c r="A50" s="178"/>
      <c r="B50" s="3079" t="s">
        <v>2193</v>
      </c>
      <c r="C50" s="3079"/>
      <c r="D50" s="179"/>
      <c r="E50" s="31"/>
      <c r="F50" s="180"/>
      <c r="G50" s="3150"/>
      <c r="H50" s="138"/>
      <c r="I50" s="2476"/>
      <c r="J50" s="3143" t="s">
        <v>2194</v>
      </c>
      <c r="K50" s="3143"/>
      <c r="L50" s="3143"/>
      <c r="M50" s="3143"/>
      <c r="N50" s="3143"/>
      <c r="O50" s="3143"/>
    </row>
    <row r="51" spans="1:35" ht="12" customHeight="1">
      <c r="A51" s="181"/>
      <c r="B51" s="3079" t="s">
        <v>2195</v>
      </c>
      <c r="C51" s="3079"/>
      <c r="D51" s="182"/>
      <c r="E51" s="30"/>
      <c r="F51" s="180"/>
      <c r="G51" s="3151"/>
      <c r="H51" s="138"/>
      <c r="I51" s="2476"/>
      <c r="J51" s="2477" t="s">
        <v>2196</v>
      </c>
      <c r="K51" s="3143" t="s">
        <v>2197</v>
      </c>
      <c r="L51" s="3143"/>
      <c r="M51" s="2477" t="s">
        <v>2198</v>
      </c>
      <c r="N51" s="2477" t="s">
        <v>2199</v>
      </c>
      <c r="O51" s="2477" t="s">
        <v>2200</v>
      </c>
    </row>
    <row r="52" spans="1:35" ht="24" customHeight="1">
      <c r="A52" s="183" t="s">
        <v>2201</v>
      </c>
      <c r="B52" s="3079" t="s">
        <v>2202</v>
      </c>
      <c r="C52" s="3079"/>
      <c r="D52" s="182">
        <f ca="1">ROUND(D45*'数据-取费表'!B41/(1+'数据-取费表'!C42),0)</f>
        <v>707</v>
      </c>
      <c r="E52" s="11" t="s">
        <v>2203</v>
      </c>
      <c r="F52" s="184">
        <f>'数据-取费表'!B41</f>
        <v>5.6000000000000001E-2</v>
      </c>
      <c r="G52" s="2478"/>
      <c r="H52" s="138"/>
      <c r="I52" s="2476"/>
      <c r="J52" s="1807">
        <v>1</v>
      </c>
      <c r="K52" s="3144" t="s">
        <v>2204</v>
      </c>
      <c r="L52" s="3144"/>
      <c r="M52" s="1749">
        <f>D48</f>
        <v>0</v>
      </c>
      <c r="N52" s="1807" t="str">
        <f>E48</f>
        <v>销售额×税（费）率</v>
      </c>
      <c r="O52" s="1750" t="str">
        <f>F48</f>
        <v>免征</v>
      </c>
    </row>
    <row r="53" spans="1:35" ht="12" customHeight="1">
      <c r="A53" s="183" t="s">
        <v>2205</v>
      </c>
      <c r="B53" s="3102" t="s">
        <v>2206</v>
      </c>
      <c r="C53" s="3103"/>
      <c r="D53" s="182">
        <f ca="1">ROUND(D45*'数据-取费表'!B41/(1+'数据-取费表'!C42),0)</f>
        <v>707</v>
      </c>
      <c r="E53" s="11" t="s">
        <v>2203</v>
      </c>
      <c r="F53" s="184">
        <f>'数据-取费表'!B41</f>
        <v>5.6000000000000001E-2</v>
      </c>
      <c r="G53" s="2478"/>
      <c r="H53" s="138"/>
      <c r="I53" s="2476"/>
      <c r="J53" s="1807">
        <v>2</v>
      </c>
      <c r="K53" s="3144" t="s">
        <v>2207</v>
      </c>
      <c r="L53" s="3144"/>
      <c r="M53" s="1749">
        <f t="shared" ref="M53:O54" ca="1" si="0">D55</f>
        <v>7</v>
      </c>
      <c r="N53" s="1807" t="str">
        <f t="shared" si="0"/>
        <v>销售额×税（费）率</v>
      </c>
      <c r="O53" s="1750">
        <f t="shared" si="0"/>
        <v>5.0000000000000001E-4</v>
      </c>
    </row>
    <row r="54" spans="1:35" ht="12" customHeight="1">
      <c r="A54" s="183" t="s">
        <v>2208</v>
      </c>
      <c r="B54" s="3102" t="s">
        <v>2209</v>
      </c>
      <c r="C54" s="3103"/>
      <c r="D54" s="182">
        <f ca="1">C68</f>
        <v>706</v>
      </c>
      <c r="E54" s="30" t="s">
        <v>2210</v>
      </c>
      <c r="F54" s="184">
        <f>'数据-取费表'!B41</f>
        <v>5.6000000000000001E-2</v>
      </c>
      <c r="G54" s="2478"/>
      <c r="H54" s="2479"/>
      <c r="I54" s="2476"/>
      <c r="J54" s="1807">
        <v>3</v>
      </c>
      <c r="K54" s="3144" t="s">
        <v>2211</v>
      </c>
      <c r="L54" s="3144"/>
      <c r="M54" s="1749">
        <f t="shared" ca="1" si="0"/>
        <v>7497</v>
      </c>
      <c r="N54" s="1807" t="str">
        <f t="shared" si="0"/>
        <v>增值额×税（费）率</v>
      </c>
      <c r="O54" s="1751" t="str">
        <f t="shared" si="0"/>
        <v>——</v>
      </c>
    </row>
    <row r="55" spans="1:35" ht="24" customHeight="1">
      <c r="A55" s="3093" t="s">
        <v>2212</v>
      </c>
      <c r="B55" s="3094"/>
      <c r="C55" s="3094"/>
      <c r="D55" s="185">
        <f ca="1">IF(H55="个人住宅",0,ROUND(D45*I55,0))</f>
        <v>7</v>
      </c>
      <c r="E55" s="11" t="s">
        <v>2213</v>
      </c>
      <c r="F55" s="184">
        <f>IF(H55="正常",I55,"免征")</f>
        <v>5.0000000000000001E-4</v>
      </c>
      <c r="G55" s="2478"/>
      <c r="H55" s="2475" t="s">
        <v>2214</v>
      </c>
      <c r="I55" s="186">
        <f>'数据-取费表'!B49</f>
        <v>5.0000000000000001E-4</v>
      </c>
      <c r="J55" s="1807" t="str">
        <f>IF(H59="非个人房产","",4)</f>
        <v/>
      </c>
      <c r="K55" s="3144" t="str">
        <f>IF(H59="非个人房产","——","个人所得税")</f>
        <v>——</v>
      </c>
      <c r="L55" s="3144"/>
      <c r="M55" s="1752" t="str">
        <f>D59</f>
        <v>——</v>
      </c>
      <c r="N55" s="1805" t="str">
        <f>E59</f>
        <v>——</v>
      </c>
      <c r="O55" s="1753" t="str">
        <f>F59</f>
        <v>——</v>
      </c>
    </row>
    <row r="56" spans="1:35" ht="25.2">
      <c r="A56" s="3093" t="s">
        <v>2215</v>
      </c>
      <c r="B56" s="3094"/>
      <c r="C56" s="3094"/>
      <c r="D56" s="185">
        <f ca="1">IF(H56="个人住宅",D57,D58)</f>
        <v>7497</v>
      </c>
      <c r="E56" s="11" t="s">
        <v>2216</v>
      </c>
      <c r="F56" s="184" t="str">
        <f>IF(H56="正常",F58,"免征")</f>
        <v>——</v>
      </c>
      <c r="G56" s="2480" t="s">
        <v>2217</v>
      </c>
      <c r="H56" s="2481" t="s">
        <v>2214</v>
      </c>
      <c r="I56" s="2482"/>
      <c r="J56" s="1807" t="str">
        <f>IF(项目基本情况!K6="上海银行",IF(J55="",4,J55+1),"")</f>
        <v/>
      </c>
      <c r="K56" s="3167" t="str">
        <f>IF(项目基本情况!K6="上海银行","其他处置费用","")</f>
        <v/>
      </c>
      <c r="L56" s="3168"/>
      <c r="M56" s="1749" t="str">
        <f>IF(项目基本情况!K6="上海银行",M69,"")</f>
        <v/>
      </c>
      <c r="N56" s="3170" t="str">
        <f>IF(项目基本情况!K6="上海银行","包含处置中涉及的律师、诉讼、拍卖、评估等费用","")</f>
        <v/>
      </c>
      <c r="O56" s="3171"/>
    </row>
    <row r="57" spans="1:35" ht="13.2">
      <c r="A57" s="183" t="s">
        <v>2190</v>
      </c>
      <c r="B57" s="3109" t="s">
        <v>2218</v>
      </c>
      <c r="C57" s="3118"/>
      <c r="D57" s="187">
        <v>0</v>
      </c>
      <c r="E57" s="23" t="s">
        <v>2192</v>
      </c>
      <c r="F57" s="155"/>
      <c r="G57" s="2478"/>
      <c r="H57" s="2482"/>
      <c r="I57" s="2482"/>
      <c r="J57" s="3144">
        <f>IF(AND(J55="",J56=""),4,IF(项目基本情况!K6="上海银行",结果表!J56+1,结果表!J55+1))</f>
        <v>4</v>
      </c>
      <c r="K57" s="3144" t="s">
        <v>2219</v>
      </c>
      <c r="L57" s="2483" t="s">
        <v>2220</v>
      </c>
      <c r="M57" s="1754"/>
      <c r="N57" s="1755">
        <f ca="1">SUMIF(M52:M56,"&lt;9e307")</f>
        <v>7504</v>
      </c>
      <c r="O57" s="2484"/>
      <c r="P57" s="1748">
        <f ca="1">N57/M49</f>
        <v>0.5664678795198913</v>
      </c>
    </row>
    <row r="58" spans="1:35" ht="25.2">
      <c r="A58" s="183" t="s">
        <v>2201</v>
      </c>
      <c r="B58" s="3109" t="s">
        <v>2221</v>
      </c>
      <c r="C58" s="3110"/>
      <c r="D58" s="185">
        <f ca="1">IF(H58="转让取得",C81,C97)</f>
        <v>7497</v>
      </c>
      <c r="E58" s="11" t="s">
        <v>2216</v>
      </c>
      <c r="F58" s="24" t="s">
        <v>34</v>
      </c>
      <c r="G58" s="2478"/>
      <c r="H58" s="2481" t="s">
        <v>2222</v>
      </c>
      <c r="I58" s="2482"/>
      <c r="J58" s="3144"/>
      <c r="K58" s="3144"/>
      <c r="L58" s="2483" t="s">
        <v>2223</v>
      </c>
      <c r="M58" s="1756"/>
      <c r="N58" s="2485" t="str">
        <f ca="1">NUMBERSTRING(INT(N57*10000),2)&amp;"元整"</f>
        <v>柒仟伍佰零肆万元整</v>
      </c>
      <c r="O58" s="2486"/>
    </row>
    <row r="59" spans="1:35" ht="24.6" thickBot="1">
      <c r="A59" s="3147" t="s">
        <v>2224</v>
      </c>
      <c r="B59" s="3148"/>
      <c r="C59" s="3148"/>
      <c r="D59" s="188" t="str">
        <f>IF(H59="非个人房产","——",IF(H59="个人住宅",0,ROUND(D45*I59,0)))</f>
        <v>——</v>
      </c>
      <c r="E59" s="189" t="str">
        <f>IF(H59="非个人房产","——","销售额×税（费）率")</f>
        <v>——</v>
      </c>
      <c r="F59" s="190" t="str">
        <f>IF(H59="非个人房产","——",IF(H59="个人住宅","免征",I59))</f>
        <v>——</v>
      </c>
      <c r="G59" s="2487" t="s">
        <v>2217</v>
      </c>
      <c r="H59" s="2481" t="s">
        <v>2225</v>
      </c>
      <c r="I59" s="191">
        <v>0.01</v>
      </c>
      <c r="J59" s="3145">
        <f>J57+1</f>
        <v>5</v>
      </c>
      <c r="K59" s="3144" t="s">
        <v>2226</v>
      </c>
      <c r="L59" s="1807" t="s">
        <v>2220</v>
      </c>
      <c r="M59" s="1757"/>
      <c r="N59" s="1758">
        <f ca="1">M49-N57</f>
        <v>5743</v>
      </c>
      <c r="O59" s="2488"/>
    </row>
    <row r="60" spans="1:35" ht="12" customHeight="1">
      <c r="A60" s="2489"/>
      <c r="B60" s="2411"/>
      <c r="C60" s="2411"/>
      <c r="D60" s="2411"/>
      <c r="E60" s="2161"/>
      <c r="F60" s="2482"/>
      <c r="G60" s="2482"/>
      <c r="H60" s="2490"/>
      <c r="I60" s="138"/>
      <c r="J60" s="3146"/>
      <c r="K60" s="3144"/>
      <c r="L60" s="2483" t="s">
        <v>2223</v>
      </c>
      <c r="M60" s="1756"/>
      <c r="N60" s="2485" t="str">
        <f ca="1">NUMBERSTRING(INT(N59*10000),2)&amp;"元整"</f>
        <v>伍仟柒佰肆拾叁万元整</v>
      </c>
      <c r="O60" s="2486"/>
    </row>
    <row r="61" spans="1:35" ht="13.8" thickBot="1">
      <c r="A61" s="3091" t="s">
        <v>2227</v>
      </c>
      <c r="B61" s="3091"/>
      <c r="C61" s="3091"/>
      <c r="D61" s="3091"/>
      <c r="E61" s="3091"/>
      <c r="F61" s="2482"/>
      <c r="G61" s="2482"/>
      <c r="H61" s="2490"/>
      <c r="I61" s="138"/>
      <c r="J61" s="1807">
        <f>J59+1</f>
        <v>6</v>
      </c>
      <c r="K61" s="3144" t="s">
        <v>2228</v>
      </c>
      <c r="L61" s="3144"/>
      <c r="M61" s="1759"/>
      <c r="N61" s="1760">
        <f ca="1">ROUND(N59*10000/'数据-汇总表'!E3,0)</f>
        <v>3837</v>
      </c>
      <c r="O61" s="2491"/>
    </row>
    <row r="62" spans="1:35" ht="13.2">
      <c r="A62" s="3107" t="s">
        <v>2229</v>
      </c>
      <c r="B62" s="3108"/>
      <c r="C62" s="1799"/>
      <c r="D62" s="1799" t="s">
        <v>2230</v>
      </c>
      <c r="E62" s="192" t="s">
        <v>2231</v>
      </c>
      <c r="F62" s="2482"/>
      <c r="G62" s="2482"/>
      <c r="H62" s="2490"/>
      <c r="I62" s="138"/>
    </row>
    <row r="63" spans="1:35" ht="13.2">
      <c r="A63" s="203" t="s">
        <v>775</v>
      </c>
      <c r="B63" s="193" t="s">
        <v>2232</v>
      </c>
      <c r="C63" s="194">
        <f ca="1">ROUND((C64+C65)/(1+'数据-取费表'!C42),0)</f>
        <v>12616</v>
      </c>
      <c r="D63" s="195"/>
      <c r="E63" s="196"/>
      <c r="F63" s="2482"/>
      <c r="G63" s="2482"/>
      <c r="H63" s="2490"/>
      <c r="I63" s="138"/>
      <c r="J63" s="3169" t="s">
        <v>2233</v>
      </c>
      <c r="K63" s="2492" t="s">
        <v>2234</v>
      </c>
      <c r="L63" s="1747">
        <f ca="1">IF(M49&gt;10000,M49*0.5%,IF(AND(M49&gt;1000,M49&lt;=10000),M49*1%,IF(AND(M49&gt;100,M49&lt;=1000),M49*3%,IF(AND(M49&gt;10,M49&lt;=100),M49*5%,M49*8%))))</f>
        <v>66.234999999999999</v>
      </c>
      <c r="M63" s="24">
        <f ca="1">ROUND(L63,1)</f>
        <v>66.2</v>
      </c>
      <c r="Z63" s="2416"/>
      <c r="AI63" s="2417"/>
    </row>
    <row r="64" spans="1:35" ht="14.25" customHeight="1">
      <c r="A64" s="197" t="s">
        <v>770</v>
      </c>
      <c r="B64" s="198" t="s">
        <v>2235</v>
      </c>
      <c r="C64" s="199">
        <f ca="1">D45</f>
        <v>13247</v>
      </c>
      <c r="D64" s="200" t="s">
        <v>32</v>
      </c>
      <c r="E64" s="201"/>
      <c r="F64" s="2482"/>
      <c r="G64" s="2482"/>
      <c r="H64" s="2490"/>
      <c r="I64" s="138"/>
      <c r="J64" s="3169"/>
      <c r="K64" s="2492" t="s">
        <v>2236</v>
      </c>
      <c r="L64" s="1747">
        <f ca="1">IF(M49&gt;2000,M49*0.5%,IF(AND(M49&gt;1000,M49&lt;=2000),M49*0.6%,IF(AND(M49&gt;500,M49&lt;=1000),M49*0.7%,IF(AND(M49&gt;200,M49&lt;=500),M49*0.8%,IF(AND(M49&gt;100,M49&lt;=200),M49*0.9%,IF(AND(M49&gt;50,M49&lt;=100),M49*1%,IF(AND(M49&gt;20,M49&lt;=50),M49*1.5%,IF(AND(M49&gt;10,M49&lt;=20),M49*2%,IF(AND(M49&gt;1,M49&lt;=10),M49*2.5%)))))))))</f>
        <v>66.234999999999999</v>
      </c>
      <c r="M64" s="24">
        <f ca="1">ROUND(L64,1)</f>
        <v>66.2</v>
      </c>
      <c r="N64" s="138" t="s">
        <v>2237</v>
      </c>
      <c r="Z64" s="2416"/>
      <c r="AI64" s="2417"/>
    </row>
    <row r="65" spans="1:35" ht="14.25" customHeight="1">
      <c r="A65" s="197" t="s">
        <v>771</v>
      </c>
      <c r="B65" s="198" t="s">
        <v>2238</v>
      </c>
      <c r="C65" s="202"/>
      <c r="D65" s="200"/>
      <c r="E65" s="201"/>
      <c r="F65" s="2482"/>
      <c r="G65" s="2482"/>
      <c r="H65" s="2490"/>
      <c r="I65" s="138"/>
      <c r="J65" s="3169"/>
      <c r="K65" s="2492" t="s">
        <v>2239</v>
      </c>
      <c r="L65" s="1747">
        <f ca="1">IF(M49&gt;1000,M49*0.1%,IF(AND(M49&gt;500,M49&lt;=1000),M49*0.5%,IF(AND(M49&gt;50,M49&lt;=500),M49*1%,IF(AND(M49&gt;1,M49&lt;=50),M49*1.5%))))</f>
        <v>13.247</v>
      </c>
      <c r="M65" s="24">
        <f ca="1">ROUND(L65,1)</f>
        <v>13.2</v>
      </c>
      <c r="N65" s="138" t="s">
        <v>2237</v>
      </c>
      <c r="Z65" s="2416"/>
      <c r="AI65" s="2417"/>
    </row>
    <row r="66" spans="1:35" ht="14.25" customHeight="1">
      <c r="A66" s="203" t="s">
        <v>772</v>
      </c>
      <c r="B66" s="204" t="s">
        <v>2240</v>
      </c>
      <c r="C66" s="205"/>
      <c r="D66" s="206" t="s">
        <v>32</v>
      </c>
      <c r="E66" s="1771" t="s">
        <v>1367</v>
      </c>
      <c r="F66" s="2482"/>
      <c r="G66" s="2482"/>
      <c r="H66" s="2490"/>
      <c r="I66" s="138"/>
      <c r="J66" s="3169"/>
      <c r="K66" s="2492" t="s">
        <v>2241</v>
      </c>
      <c r="L66" s="1747">
        <f ca="1">M49*0.5%</f>
        <v>66.234999999999999</v>
      </c>
      <c r="M66" s="24">
        <f ca="1">IF(L66&gt;0.5,0.5,ROUND(L66,0))</f>
        <v>0.5</v>
      </c>
      <c r="N66" s="138" t="s">
        <v>2242</v>
      </c>
      <c r="Z66" s="2416"/>
      <c r="AI66" s="2417"/>
    </row>
    <row r="67" spans="1:35" ht="14.25" customHeight="1">
      <c r="A67" s="203" t="s">
        <v>773</v>
      </c>
      <c r="B67" s="204" t="s">
        <v>2243</v>
      </c>
      <c r="C67" s="207">
        <f ca="1">C63-C66</f>
        <v>12616</v>
      </c>
      <c r="D67" s="200" t="s">
        <v>32</v>
      </c>
      <c r="E67" s="201"/>
      <c r="F67" s="2482"/>
      <c r="G67" s="2482"/>
      <c r="H67" s="2490"/>
      <c r="I67" s="138"/>
      <c r="J67" s="3169"/>
      <c r="K67" s="2492" t="s">
        <v>2244</v>
      </c>
      <c r="L67" s="1747">
        <f ca="1">IF(M49&gt;=10000,(8.25+(M49-10000)*0.01%),IF(AND(M49&gt;=8000,M49&lt;10000),(7.85+(M49-8000)*0.02%),IF(AND(M49&gt;=5000,M49&lt;8000),(6.65+(M49-5000)*0.04%),IF(AND(M49&gt;=2000,M49&lt;5000),(4.25+(PM49-2000)*0.08%),IF(AND(M49&gt;=1000,M49&lt;2000),(2.75+(M49-1000)*0.15%),IF(AND(M49&gt;=100,M49&lt;1000),(0.5+(M49-100)*0.25%),IF(AND(M49&gt;0,M49&lt;100),M49*0.5%)))))))</f>
        <v>8.5747</v>
      </c>
      <c r="M67" s="24">
        <f ca="1">ROUND(L67*0.9,1)</f>
        <v>7.7</v>
      </c>
      <c r="Z67" s="2416"/>
      <c r="AI67" s="2417"/>
    </row>
    <row r="68" spans="1:35" ht="14.25" customHeight="1" thickBot="1">
      <c r="A68" s="208" t="s">
        <v>774</v>
      </c>
      <c r="B68" s="209" t="s">
        <v>2245</v>
      </c>
      <c r="C68" s="210">
        <f ca="1">IF(C67&lt;=0,0,ROUND(C67*D68,0))</f>
        <v>706</v>
      </c>
      <c r="D68" s="211">
        <f>'数据-取费表'!B41</f>
        <v>5.6000000000000001E-2</v>
      </c>
      <c r="E68" s="212"/>
      <c r="F68" s="2482"/>
      <c r="G68" s="2482"/>
      <c r="H68" s="2490"/>
      <c r="I68" s="138"/>
      <c r="J68" s="3169"/>
      <c r="K68" s="2492" t="s">
        <v>2246</v>
      </c>
      <c r="L68" s="1747">
        <f ca="1">IF(M49&gt;10000,M49*0.5%,IF(AND(M49&gt;5000,M49&lt;=10000),M49*1%,IF(AND(M49&gt;1000,M49&lt;=5000),M49*2%,IF(AND(M49&gt;200,M49&lt;=1000),M49*3%,M49*5%))))</f>
        <v>66.234999999999999</v>
      </c>
      <c r="M68" s="24">
        <f ca="1">ROUND(L68,1)</f>
        <v>66.2</v>
      </c>
      <c r="Z68" s="2416"/>
      <c r="AI68" s="2417"/>
    </row>
    <row r="69" spans="1:35" s="2439" customFormat="1" ht="16.5" customHeight="1">
      <c r="A69" s="2493"/>
      <c r="B69" s="2494"/>
      <c r="C69" s="2495"/>
      <c r="D69" s="2496"/>
      <c r="E69" s="2497"/>
      <c r="F69" s="2161"/>
      <c r="G69" s="2161"/>
      <c r="H69" s="2160"/>
      <c r="I69" s="2411"/>
      <c r="J69" s="3169"/>
      <c r="K69" s="2492" t="s">
        <v>2247</v>
      </c>
      <c r="L69" s="2498"/>
      <c r="M69" s="24">
        <f ca="1">ROUND(SUM(M63:M68),0)</f>
        <v>220</v>
      </c>
      <c r="N69" s="1748">
        <f ca="1">M69/M49</f>
        <v>1.6607533781233488E-2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28" t="s">
        <v>2248</v>
      </c>
      <c r="B70" s="3129"/>
      <c r="C70" s="3129"/>
      <c r="D70" s="3129"/>
      <c r="E70" s="3129"/>
      <c r="F70" s="3129"/>
      <c r="G70" s="3129"/>
      <c r="H70" s="312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07" t="s">
        <v>2229</v>
      </c>
      <c r="B71" s="3108"/>
      <c r="C71" s="1799"/>
      <c r="D71" s="1799" t="s">
        <v>2230</v>
      </c>
      <c r="E71" s="213" t="s">
        <v>2231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2249</v>
      </c>
      <c r="C72" s="207">
        <f ca="1">ROUND(D45/(1+'数据-取费表'!C42),0)</f>
        <v>12616</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2250</v>
      </c>
      <c r="C73" s="207">
        <f ca="1">C74+C78</f>
        <v>76</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2251</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2252</v>
      </c>
      <c r="C75" s="218"/>
      <c r="D75" s="200" t="s">
        <v>32</v>
      </c>
      <c r="E75" s="219" t="s">
        <v>2253</v>
      </c>
      <c r="F75" s="2504" t="s">
        <v>2254</v>
      </c>
      <c r="G75" s="219" t="s">
        <v>2255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2256</v>
      </c>
      <c r="C76" s="200">
        <f>IF(F75="购房发票",ROUND(C75*H75*D76,0),0)</f>
        <v>0</v>
      </c>
      <c r="D76" s="222">
        <v>0.05</v>
      </c>
      <c r="E76" s="3102" t="s">
        <v>2257</v>
      </c>
      <c r="F76" s="3079"/>
      <c r="G76" s="3079"/>
      <c r="H76" s="312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6" t="s">
        <v>2260</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2261</v>
      </c>
      <c r="C78" s="225">
        <f ca="1">ROUND(D45*D78/(1+'数据-取费表'!C42),0)</f>
        <v>76</v>
      </c>
      <c r="D78" s="226">
        <f>'数据-取费表'!B43</f>
        <v>6.000000000000001E-3</v>
      </c>
      <c r="E78" s="3088" t="s">
        <v>2262</v>
      </c>
      <c r="F78" s="3089"/>
      <c r="G78" s="3089"/>
      <c r="H78" s="309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2263</v>
      </c>
      <c r="C79" s="207">
        <f ca="1">C72-C73</f>
        <v>12540</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2264</v>
      </c>
      <c r="C80" s="227">
        <f ca="1">IF(C79&lt;=0,0,C79/C73)</f>
        <v>165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2265</v>
      </c>
      <c r="C81" s="228">
        <f ca="1">ROUND(IF(C79&lt;=0,0,IF(C80&gt;=200%,C79*60%-C73*35%,IF(C80&gt;=100%,C79*50%-C73*15%,IF(C80&gt;=50%,C79*40%-C73*5%,IF(C80&lt;50%,C79*30%,0))))),0)</f>
        <v>7497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28" t="s">
        <v>2266</v>
      </c>
      <c r="B83" s="3129"/>
      <c r="C83" s="3129"/>
      <c r="D83" s="3129"/>
      <c r="E83" s="3129"/>
      <c r="F83" s="3129"/>
      <c r="G83" s="3129"/>
      <c r="H83" s="312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07" t="s">
        <v>2229</v>
      </c>
      <c r="B84" s="3108"/>
      <c r="C84" s="1799"/>
      <c r="D84" s="1799" t="s">
        <v>2230</v>
      </c>
      <c r="E84" s="213" t="s">
        <v>2231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2249</v>
      </c>
      <c r="C85" s="207">
        <f ca="1">ROUND(D45/(1+'数据-取费表'!C42),0)</f>
        <v>12616</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2250</v>
      </c>
      <c r="C86" s="207">
        <f ca="1">IF(H88="仅含出让金",C87+C90+C91+C92+C93+C94,C87+C91+C92+C93+C94)</f>
        <v>76</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2267</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2268</v>
      </c>
      <c r="C88" s="236"/>
      <c r="D88" s="226"/>
      <c r="E88" s="237" t="s">
        <v>2269</v>
      </c>
      <c r="F88" s="1795"/>
      <c r="G88" s="238"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2258</v>
      </c>
      <c r="C89" s="225">
        <f>ROUND(C88*D89,0)</f>
        <v>0</v>
      </c>
      <c r="D89" s="226">
        <f>'数据-取费表'!B48+'数据-取费表'!B49</f>
        <v>3.0499999999999999E-2</v>
      </c>
      <c r="E89" s="237" t="s">
        <v>2271</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2272</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2273</v>
      </c>
      <c r="B91" s="198" t="s">
        <v>2274</v>
      </c>
      <c r="C91" s="225">
        <f>IF(H91="——",成本法!C33,I91)</f>
        <v>0</v>
      </c>
      <c r="D91" s="226"/>
      <c r="E91" s="3088" t="s">
        <v>2275</v>
      </c>
      <c r="F91" s="3089"/>
      <c r="G91" s="3089"/>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088" t="s">
        <v>2279</v>
      </c>
      <c r="F92" s="3089"/>
      <c r="G92" s="3089"/>
      <c r="H92" s="309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2261</v>
      </c>
      <c r="C93" s="225">
        <f ca="1">ROUND(D45*D93/(1+'数据-取费表'!C42),0)</f>
        <v>76</v>
      </c>
      <c r="D93" s="226">
        <f>'数据-取费表'!B43</f>
        <v>6.000000000000001E-3</v>
      </c>
      <c r="E93" s="3088" t="s">
        <v>2262</v>
      </c>
      <c r="F93" s="3089"/>
      <c r="G93" s="3089"/>
      <c r="H93" s="309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099" t="s">
        <v>2283</v>
      </c>
      <c r="F94" s="3100"/>
      <c r="G94" s="3100"/>
      <c r="H94" s="310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2263</v>
      </c>
      <c r="C95" s="207">
        <f ca="1">ROUND(C85-C86,0)</f>
        <v>12540</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2264</v>
      </c>
      <c r="C96" s="227">
        <f ca="1">IF(C95&lt;=0,0,C95/C86)</f>
        <v>165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2265</v>
      </c>
      <c r="C97" s="228">
        <f ca="1">ROUND(IF(C95&lt;=0,0,IF(C96&gt;=200%,C95*60%-C86*35%,IF(C96&gt;=100%,C95*50%-C86*15%,IF(C96&gt;=50%,C95*40%-C86*5%,IF(C96&lt;50%,C95*30%,0))))),0)</f>
        <v>7497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2284</v>
      </c>
      <c r="B99" s="2411"/>
      <c r="C99" s="2411"/>
      <c r="D99" s="2411"/>
      <c r="E99" s="2161"/>
      <c r="F99" s="2161"/>
      <c r="G99" s="2161"/>
      <c r="H99" s="2160"/>
      <c r="I99" s="138"/>
    </row>
    <row r="100" spans="1:35" ht="18.75" customHeight="1">
      <c r="A100" s="3067" t="s">
        <v>2285</v>
      </c>
      <c r="B100" s="3068"/>
      <c r="C100" s="3068"/>
      <c r="D100" s="3090"/>
      <c r="E100" s="3068" t="s">
        <v>2286</v>
      </c>
      <c r="F100" s="3068"/>
      <c r="G100" s="3068"/>
      <c r="H100" s="3090"/>
      <c r="I100" s="138"/>
    </row>
    <row r="101" spans="1:35" ht="18.75" customHeight="1">
      <c r="A101" s="3152" t="s">
        <v>2287</v>
      </c>
      <c r="B101" s="3153"/>
      <c r="C101" s="736" t="str">
        <f>C4</f>
        <v>成本法</v>
      </c>
      <c r="D101" s="737" t="str">
        <f>D4</f>
        <v>假设开发法</v>
      </c>
      <c r="E101" s="3166" t="s">
        <v>2288</v>
      </c>
      <c r="F101" s="3120"/>
      <c r="G101" s="2513" t="s">
        <v>2289</v>
      </c>
      <c r="H101" s="1044">
        <f ca="1">H118</f>
        <v>13247</v>
      </c>
      <c r="I101" s="138"/>
    </row>
    <row r="102" spans="1:35" ht="18.75" customHeight="1">
      <c r="A102" s="3122" t="s">
        <v>2290</v>
      </c>
      <c r="B102" s="2513" t="s">
        <v>2289</v>
      </c>
      <c r="C102" s="736">
        <f ca="1">C19</f>
        <v>14714</v>
      </c>
      <c r="D102" s="737">
        <f ca="1">D19</f>
        <v>11047</v>
      </c>
      <c r="E102" s="3166"/>
      <c r="F102" s="3120"/>
      <c r="G102" s="2513" t="s">
        <v>2291</v>
      </c>
      <c r="H102" s="371">
        <f ca="1">I118</f>
        <v>8851</v>
      </c>
      <c r="I102" s="138"/>
    </row>
    <row r="103" spans="1:35" ht="42.75" customHeight="1">
      <c r="A103" s="3122"/>
      <c r="B103" s="2513" t="s">
        <v>2291</v>
      </c>
      <c r="C103" s="738">
        <f ca="1">C20</f>
        <v>9831</v>
      </c>
      <c r="D103" s="739">
        <f ca="1">D20</f>
        <v>7381</v>
      </c>
      <c r="E103" s="3161" t="s">
        <v>2292</v>
      </c>
      <c r="F103" s="3162"/>
      <c r="G103" s="2514" t="s">
        <v>2293</v>
      </c>
      <c r="H103" s="1044">
        <f>IF(D36="正常操作",H104+H105+H106,H105+H106)</f>
        <v>0</v>
      </c>
      <c r="I103" s="138"/>
    </row>
    <row r="104" spans="1:35" ht="18.75" customHeight="1">
      <c r="A104" s="3122" t="s">
        <v>2294</v>
      </c>
      <c r="B104" s="2515" t="s">
        <v>2289</v>
      </c>
      <c r="C104" s="740">
        <f ca="1">H118</f>
        <v>13247</v>
      </c>
      <c r="D104" s="741"/>
      <c r="E104" s="2260" t="s">
        <v>2295</v>
      </c>
      <c r="F104" s="2252"/>
      <c r="G104" s="2514" t="s">
        <v>2293</v>
      </c>
      <c r="H104" s="1045">
        <f>IF(D36="同一抵押权人同一抵押物续贷",C36&amp;"（未扣减，详见特别提示）",C36)</f>
        <v>0</v>
      </c>
      <c r="I104" s="138"/>
    </row>
    <row r="105" spans="1:35" ht="18.75" customHeight="1" thickBot="1">
      <c r="A105" s="3123"/>
      <c r="B105" s="2516" t="s">
        <v>2291</v>
      </c>
      <c r="C105" s="742">
        <f ca="1">I118</f>
        <v>8851</v>
      </c>
      <c r="D105" s="743"/>
      <c r="E105" s="2260" t="s">
        <v>2296</v>
      </c>
      <c r="F105" s="2252"/>
      <c r="G105" s="2514" t="s">
        <v>2293</v>
      </c>
      <c r="H105" s="1045">
        <f>C37</f>
        <v>0</v>
      </c>
      <c r="I105" s="138"/>
    </row>
    <row r="106" spans="1:35" ht="18.75" customHeight="1">
      <c r="A106" s="2411" t="s">
        <v>2297</v>
      </c>
      <c r="B106" s="2411"/>
      <c r="C106" s="2411"/>
      <c r="D106" s="2411"/>
      <c r="E106" s="2517" t="s">
        <v>2298</v>
      </c>
      <c r="F106" s="2252"/>
      <c r="G106" s="2514" t="s">
        <v>2293</v>
      </c>
      <c r="H106" s="1045">
        <f>C38</f>
        <v>0</v>
      </c>
      <c r="I106" s="138"/>
    </row>
    <row r="107" spans="1:35" ht="18.75" customHeight="1">
      <c r="A107" s="138"/>
      <c r="B107" s="138"/>
      <c r="C107" s="138"/>
      <c r="D107" s="138"/>
      <c r="E107" s="3119" t="str">
        <f>IF(项目基本情况!E8="已注销","——","3.房地产抵押价值")</f>
        <v>3.房地产抵押价值</v>
      </c>
      <c r="F107" s="3120"/>
      <c r="G107" s="2513" t="s">
        <v>2289</v>
      </c>
      <c r="H107" s="1044">
        <f ca="1">IF(E107="——","——",H101-H103)</f>
        <v>13247</v>
      </c>
      <c r="I107" s="138"/>
    </row>
    <row r="108" spans="1:35" ht="18.75" customHeight="1">
      <c r="A108" s="138"/>
      <c r="B108" s="138"/>
      <c r="C108" s="138"/>
      <c r="D108" s="138"/>
      <c r="E108" s="3119"/>
      <c r="F108" s="3120"/>
      <c r="G108" s="2513" t="s">
        <v>2291</v>
      </c>
      <c r="H108" s="371">
        <f ca="1">ROUND(H107*10000/'数据-汇总表'!E3,0)</f>
        <v>8851</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13" t="s">
        <v>2289</v>
      </c>
      <c r="H109" s="348" t="str">
        <f>IF(E109="——","——",H101-H105-H106)</f>
        <v>——</v>
      </c>
      <c r="I109" s="138"/>
    </row>
    <row r="110" spans="1:35" ht="18.75" customHeight="1">
      <c r="A110" s="138"/>
      <c r="B110" s="138"/>
      <c r="C110" s="138"/>
      <c r="D110" s="138"/>
      <c r="E110" s="3119"/>
      <c r="F110" s="3120"/>
      <c r="G110" s="2513" t="s">
        <v>2291</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3" t="s">
        <v>2289</v>
      </c>
      <c r="H111" s="1044" t="str">
        <f>IF(E111="——","——",N59)</f>
        <v>——</v>
      </c>
      <c r="I111" s="138"/>
    </row>
    <row r="112" spans="1:35" ht="18.75" customHeight="1" thickBot="1">
      <c r="A112" s="138"/>
      <c r="B112" s="138"/>
      <c r="C112" s="138"/>
      <c r="D112" s="138"/>
      <c r="E112" s="3156"/>
      <c r="F112" s="3157"/>
      <c r="G112" s="2518" t="s">
        <v>2291</v>
      </c>
      <c r="H112" s="790" t="str">
        <f>IF(E111="——","——",N61)</f>
        <v>——</v>
      </c>
      <c r="I112" s="138"/>
    </row>
    <row r="113" spans="1:11" ht="18.75" customHeight="1">
      <c r="A113" s="138"/>
      <c r="B113" s="138"/>
      <c r="C113" s="138"/>
      <c r="D113" s="138"/>
      <c r="E113" s="3124" t="s">
        <v>2297</v>
      </c>
      <c r="F113" s="3124"/>
      <c r="G113" s="3124"/>
      <c r="H113" s="3124"/>
      <c r="I113" s="138"/>
    </row>
    <row r="114" spans="1:11" ht="3.75" customHeight="1">
      <c r="A114" s="2411"/>
      <c r="B114" s="2411"/>
      <c r="C114" s="2411"/>
      <c r="D114" s="2411"/>
      <c r="E114" s="2489"/>
      <c r="F114" s="2489"/>
      <c r="G114" s="2489"/>
      <c r="H114" s="2489"/>
      <c r="I114" s="2411"/>
    </row>
    <row r="115" spans="1:11" ht="18.75" customHeight="1">
      <c r="A115" s="3137" t="s">
        <v>2299</v>
      </c>
      <c r="B115" s="3138"/>
      <c r="C115" s="3138"/>
      <c r="D115" s="3138"/>
      <c r="E115" s="3138"/>
      <c r="F115" s="3138"/>
      <c r="G115" s="3138"/>
      <c r="H115" s="3138"/>
      <c r="I115" s="3139"/>
    </row>
    <row r="116" spans="1:11" ht="27" customHeight="1">
      <c r="A116" s="3024" t="s">
        <v>2300</v>
      </c>
      <c r="B116" s="3125" t="s">
        <v>2301</v>
      </c>
      <c r="C116" s="3125" t="s">
        <v>2302</v>
      </c>
      <c r="D116" s="3141" t="s">
        <v>2303</v>
      </c>
      <c r="E116" s="3142"/>
      <c r="F116" s="3133" t="s">
        <v>2304</v>
      </c>
      <c r="G116" s="3133"/>
      <c r="H116" s="3024" t="s">
        <v>2305</v>
      </c>
      <c r="I116" s="3024"/>
    </row>
    <row r="117" spans="1:11" ht="18.75" customHeight="1">
      <c r="A117" s="3024"/>
      <c r="B117" s="3126"/>
      <c r="C117" s="3126"/>
      <c r="D117" s="1793" t="s">
        <v>2306</v>
      </c>
      <c r="E117" s="1793" t="s">
        <v>2307</v>
      </c>
      <c r="F117" s="1793" t="s">
        <v>2306</v>
      </c>
      <c r="G117" s="1793" t="s">
        <v>2308</v>
      </c>
      <c r="H117" s="1793" t="s">
        <v>2306</v>
      </c>
      <c r="I117" s="1793" t="s">
        <v>2308</v>
      </c>
    </row>
    <row r="118" spans="1:11" ht="24.75" customHeight="1">
      <c r="A118" s="2519" t="str">
        <f>项目基本情况!S2</f>
        <v>天津市滨海新区中心渔港经济区鲤鱼门路以东、海湾一道以南4-1、4-2#地块出让国有建设用地使用权及在建建筑物房地产</v>
      </c>
      <c r="B118" s="1793">
        <f>M18</f>
        <v>14966.349999999999</v>
      </c>
      <c r="C118" s="1793">
        <f>M19</f>
        <v>3741.59</v>
      </c>
      <c r="D118" s="1793">
        <f ca="1">ROUND(IF(D32="总价",C34,E118*B118/10000),0)</f>
        <v>7870</v>
      </c>
      <c r="E118" s="1793">
        <f ca="1">ROUND(IF(C33="自定义",IF(D32="楼面单价",C34,D118*10000/B118),I118-G118),0)</f>
        <v>5258</v>
      </c>
      <c r="F118" s="1793">
        <f ca="1">ROUND(IF(D32="总价",C35,G118*B118/10000),0)</f>
        <v>5377</v>
      </c>
      <c r="G118" s="1793">
        <f ca="1">ROUND(IF(D32="楼面单价",C35,F118*10000/B118),0)</f>
        <v>3593</v>
      </c>
      <c r="H118" s="1793">
        <f ca="1">ROUND(IF(D32="总价",C32,I118*B118/10000),0)</f>
        <v>13247</v>
      </c>
      <c r="I118" s="1793">
        <f ca="1">ROUND(IF(D32="楼面单价",C32,H118*10000/B118),0)</f>
        <v>8851</v>
      </c>
    </row>
    <row r="119" spans="1:11" ht="18.75" customHeight="1">
      <c r="A119" s="3024" t="s">
        <v>2309</v>
      </c>
      <c r="B119" s="3024"/>
      <c r="C119" s="3024"/>
      <c r="D119" s="3130" t="str">
        <f ca="1">NUMBERSTRING(INT(D118*10000),2)&amp;"元整"</f>
        <v>柒仟捌佰柒拾万元整</v>
      </c>
      <c r="E119" s="3132"/>
      <c r="F119" s="3130" t="str">
        <f ca="1">NUMBERSTRING(INT(F118*10000),2)&amp;"元整"</f>
        <v>伍仟叁佰柒拾柒万元整</v>
      </c>
      <c r="G119" s="3132"/>
      <c r="H119" s="3130" t="str">
        <f ca="1">NUMBERSTRING(INT(H118*10000),2)&amp;"元整"</f>
        <v>壹亿叁仟贰佰肆拾柒万元整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134" t="s">
        <v>2309</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13247</v>
      </c>
      <c r="E122" s="3159"/>
      <c r="F122" s="3159"/>
      <c r="G122" s="3159"/>
      <c r="H122" s="3159"/>
      <c r="I122" s="3160"/>
    </row>
    <row r="123" spans="1:11" ht="18.75" customHeight="1">
      <c r="A123" s="3024" t="s">
        <v>2309</v>
      </c>
      <c r="B123" s="3024"/>
      <c r="C123" s="3024"/>
      <c r="D123" s="3130" t="str">
        <f ca="1">NUMBERSTRING(INT(D122*10000),2)&amp;"元整"</f>
        <v>壹亿叁仟贰佰肆拾柒万元整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24" t="s">
        <v>2309</v>
      </c>
      <c r="B125" s="3024"/>
      <c r="C125" s="3024"/>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24" t="s">
        <v>2309</v>
      </c>
      <c r="B127" s="3024"/>
      <c r="C127" s="3024"/>
      <c r="D127" s="3130" t="e">
        <f>NUMBERSTRING(INT(D126*10000),2)&amp;"元整"</f>
        <v>#VALUE!</v>
      </c>
      <c r="E127" s="3131"/>
      <c r="F127" s="3131"/>
      <c r="G127" s="3131"/>
      <c r="H127" s="3131"/>
      <c r="I127" s="3132"/>
    </row>
    <row r="128" spans="1:11" ht="21.75" customHeight="1">
      <c r="A128" s="3140" t="s">
        <v>2310</v>
      </c>
      <c r="B128" s="3140"/>
      <c r="C128" s="3140"/>
      <c r="D128" s="3140"/>
      <c r="E128" s="3140"/>
      <c r="F128" s="3140"/>
      <c r="G128" s="3140"/>
      <c r="H128" s="3140"/>
      <c r="I128" s="3140"/>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topLeftCell="A25" workbookViewId="0">
      <selection activeCell="C48" sqref="C4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11" s="244" customFormat="1" ht="21">
      <c r="A1" s="240" t="s">
        <v>2318</v>
      </c>
      <c r="B1" s="1934"/>
      <c r="C1" s="242"/>
      <c r="D1" s="242"/>
      <c r="E1" s="242"/>
      <c r="F1" s="242"/>
      <c r="G1" s="1378">
        <f>MATCH(B1,'数据-取费表'!A6:A16,0)+5</f>
        <v>10</v>
      </c>
    </row>
    <row r="2" spans="1:11" s="244" customFormat="1" ht="18" customHeight="1">
      <c r="A2" s="245" t="s">
        <v>2319</v>
      </c>
      <c r="B2" s="246">
        <f ca="1">IF(D2="——",C52,C52-E2)</f>
        <v>14714</v>
      </c>
      <c r="C2" s="243" t="s">
        <v>2320</v>
      </c>
      <c r="D2" s="2542" t="s">
        <v>70</v>
      </c>
      <c r="E2" s="1439" t="e">
        <f ca="1">SUMIF(INDIRECT("'"&amp;G2&amp;"'"&amp;"!A:A"),"承租人权益价值",INDIRECT("'"&amp;G2&amp;"'"&amp;"!c:c"))</f>
        <v>#REF!</v>
      </c>
      <c r="F2" s="2543" t="s">
        <v>2320</v>
      </c>
      <c r="G2" s="2544"/>
    </row>
    <row r="3" spans="1:11" s="244" customFormat="1" ht="18" customHeight="1" thickBot="1">
      <c r="A3" s="247" t="s">
        <v>2321</v>
      </c>
      <c r="B3" s="248">
        <f ca="1">ROUND(B2*10000/(IF(B1="",'数据-汇总表'!E3,INDIRECT("'数据-取费表'!k"&amp;$G$1))),0)</f>
        <v>9831</v>
      </c>
      <c r="C3" s="243" t="s">
        <v>2322</v>
      </c>
      <c r="D3" s="243"/>
      <c r="E3" s="243"/>
      <c r="F3" s="243"/>
      <c r="G3" s="243"/>
    </row>
    <row r="4" spans="1:11" s="252" customFormat="1" ht="16.2">
      <c r="A4" s="249" t="s">
        <v>2323</v>
      </c>
      <c r="B4" s="250"/>
      <c r="C4" s="250"/>
      <c r="D4" s="250"/>
      <c r="E4" s="250"/>
      <c r="F4" s="250"/>
      <c r="G4" s="251"/>
    </row>
    <row r="5" spans="1:11" s="258" customFormat="1" ht="13.5" customHeight="1">
      <c r="A5" s="299" t="s">
        <v>2324</v>
      </c>
      <c r="B5" s="254" t="s">
        <v>2325</v>
      </c>
      <c r="C5" s="255">
        <f>C6+C7+C8</f>
        <v>8742</v>
      </c>
      <c r="D5" s="255" t="s">
        <v>2326</v>
      </c>
      <c r="E5" s="256" t="s">
        <v>2327</v>
      </c>
      <c r="F5" s="256" t="s">
        <v>2328</v>
      </c>
      <c r="G5" s="257"/>
    </row>
    <row r="6" spans="1:11" s="258" customFormat="1" ht="13.5" customHeight="1">
      <c r="A6" s="949" t="s">
        <v>2329</v>
      </c>
      <c r="B6" s="259" t="s">
        <v>2330</v>
      </c>
      <c r="C6" s="260">
        <f>'土地比较法-住宅、综合'!B2</f>
        <v>8483</v>
      </c>
      <c r="D6" s="261"/>
      <c r="E6" s="262"/>
      <c r="F6" s="262"/>
      <c r="G6" s="263"/>
    </row>
    <row r="7" spans="1:11" s="258" customFormat="1" ht="13.5" customHeight="1">
      <c r="A7" s="949" t="s">
        <v>2331</v>
      </c>
      <c r="B7" s="259" t="s">
        <v>2332</v>
      </c>
      <c r="C7" s="264">
        <f>ROUND(C6*F7,0)</f>
        <v>259</v>
      </c>
      <c r="D7" s="264"/>
      <c r="E7" s="262"/>
      <c r="F7" s="265">
        <f>IF(项目基本情况!B8="出让",0,'数据-取费表'!B48+'数据-取费表'!B49)</f>
        <v>3.0499999999999999E-2</v>
      </c>
      <c r="G7" s="263"/>
    </row>
    <row r="8" spans="1:11" s="267" customFormat="1">
      <c r="A8" s="949" t="s">
        <v>2333</v>
      </c>
      <c r="B8" s="259" t="s">
        <v>2334</v>
      </c>
      <c r="C8" s="264">
        <f>IF(G8="已包含在土地购买价格中","0",IF(B1="",'数据-取费表'!B29,IF(G9="全部缴纳",C9+C10,H9)))</f>
        <v>0</v>
      </c>
      <c r="D8" s="266"/>
      <c r="E8" s="264"/>
      <c r="F8" s="265"/>
      <c r="G8" s="2545" t="s">
        <v>3548</v>
      </c>
    </row>
    <row r="9" spans="1:11" s="258" customFormat="1" ht="13.5" customHeight="1">
      <c r="A9" s="950" t="s">
        <v>800</v>
      </c>
      <c r="B9" s="268" t="s">
        <v>2335</v>
      </c>
      <c r="C9" s="269">
        <f ca="1">ROUND(D9*E9/10000,0)</f>
        <v>0</v>
      </c>
      <c r="D9" s="1031">
        <f ca="1">IF(B1="",'数据-汇总表'!E5,IF(INDIRECT("'数据-取费表'!c"&amp;$G$1)="住宅",INDIRECT("'数据-取费表'!k"&amp;$G$1),0))</f>
        <v>14966.349999999999</v>
      </c>
      <c r="E9" s="269">
        <f>'数据-取费表'!B27</f>
        <v>0</v>
      </c>
      <c r="F9" s="265"/>
      <c r="G9" s="2546" t="s">
        <v>3549</v>
      </c>
      <c r="H9" s="1389"/>
      <c r="I9" s="2547" t="s">
        <v>2336</v>
      </c>
    </row>
    <row r="10" spans="1:11" s="258" customFormat="1" ht="13.5" customHeight="1">
      <c r="A10" s="950" t="s">
        <v>801</v>
      </c>
      <c r="B10" s="268" t="s">
        <v>2337</v>
      </c>
      <c r="C10" s="269">
        <f ca="1">ROUND(D10*E10/10000,0)</f>
        <v>0</v>
      </c>
      <c r="D10" s="1031">
        <f ca="1">IF(B1="",'数据-汇总表'!E6,IF(INDIRECT("'数据-取费表'!c"&amp;$G$1)="住宅",INDIRECT("'数据-取费表'!s"&amp;$G$1),INDIRECT("'数据-取费表'!k"&amp;$G$1)+INDIRECT("'数据-取费表'!s"&amp;$G$1)))</f>
        <v>0</v>
      </c>
      <c r="E10" s="269">
        <f>'数据-取费表'!B28</f>
        <v>0</v>
      </c>
      <c r="F10" s="265"/>
      <c r="G10" s="270"/>
      <c r="J10" s="258">
        <f ca="1">C6/C52*结果表!H118</f>
        <v>7637.2367133342386</v>
      </c>
      <c r="K10" s="258">
        <f ca="1">C31/成本法!C52*结果表!H118</f>
        <v>9845.6702460241959</v>
      </c>
    </row>
    <row r="11" spans="1:11" s="258" customFormat="1" ht="13.5" hidden="1" customHeight="1">
      <c r="A11" s="271" t="s">
        <v>7</v>
      </c>
      <c r="B11" s="259" t="s">
        <v>2338</v>
      </c>
      <c r="C11" s="255"/>
      <c r="D11" s="1033"/>
      <c r="E11" s="262"/>
      <c r="F11" s="262"/>
      <c r="G11" s="263"/>
    </row>
    <row r="12" spans="1:11" s="258" customFormat="1" ht="13.5" hidden="1" customHeight="1">
      <c r="A12" s="271" t="s">
        <v>8</v>
      </c>
      <c r="B12" s="259" t="s">
        <v>2339</v>
      </c>
      <c r="C12" s="255">
        <v>0</v>
      </c>
      <c r="D12" s="1033"/>
      <c r="E12" s="272"/>
      <c r="F12" s="265">
        <v>3.0499999999999999E-2</v>
      </c>
      <c r="G12" s="263"/>
    </row>
    <row r="13" spans="1:11" s="258" customFormat="1" ht="13.5" hidden="1" customHeight="1">
      <c r="A13" s="271" t="s">
        <v>9</v>
      </c>
      <c r="B13" s="259" t="s">
        <v>2340</v>
      </c>
      <c r="C13" s="255"/>
      <c r="D13" s="1033"/>
      <c r="E13" s="262"/>
      <c r="F13" s="262"/>
      <c r="G13" s="263"/>
    </row>
    <row r="14" spans="1:11" s="258" customFormat="1" ht="13.5" hidden="1" customHeight="1">
      <c r="A14" s="271" t="s">
        <v>10</v>
      </c>
      <c r="B14" s="259" t="s">
        <v>2341</v>
      </c>
      <c r="C14" s="255"/>
      <c r="D14" s="1033"/>
      <c r="E14" s="262"/>
      <c r="F14" s="262"/>
      <c r="G14" s="263" t="s">
        <v>2342</v>
      </c>
    </row>
    <row r="15" spans="1:11" s="258" customFormat="1" ht="13.5" hidden="1" customHeight="1">
      <c r="A15" s="271" t="s">
        <v>11</v>
      </c>
      <c r="B15" s="259" t="s">
        <v>2343</v>
      </c>
      <c r="C15" s="264"/>
      <c r="D15" s="1033"/>
      <c r="E15" s="262"/>
      <c r="F15" s="262"/>
      <c r="G15" s="263" t="s">
        <v>2344</v>
      </c>
    </row>
    <row r="16" spans="1:11" s="258" customFormat="1" ht="13.5" hidden="1" customHeight="1">
      <c r="A16" s="271" t="s">
        <v>12</v>
      </c>
      <c r="B16" s="259" t="s">
        <v>2341</v>
      </c>
      <c r="C16" s="264"/>
      <c r="D16" s="1033"/>
      <c r="E16" s="262"/>
      <c r="F16" s="262"/>
      <c r="G16" s="263"/>
    </row>
    <row r="17" spans="1:11" s="258" customFormat="1" ht="13.5" hidden="1" customHeight="1">
      <c r="A17" s="271" t="s">
        <v>13</v>
      </c>
      <c r="B17" s="259" t="s">
        <v>2345</v>
      </c>
      <c r="C17" s="273"/>
      <c r="D17" s="1034"/>
      <c r="E17" s="273"/>
      <c r="F17" s="273"/>
      <c r="G17" s="263" t="s">
        <v>2344</v>
      </c>
    </row>
    <row r="18" spans="1:11" s="258" customFormat="1" ht="13.5" hidden="1" customHeight="1">
      <c r="A18" s="271" t="s">
        <v>14</v>
      </c>
      <c r="B18" s="259" t="s">
        <v>2346</v>
      </c>
      <c r="C18" s="264">
        <v>0</v>
      </c>
      <c r="D18" s="1033"/>
      <c r="E18" s="262"/>
      <c r="F18" s="265">
        <v>3.0499999999999999E-2</v>
      </c>
      <c r="G18" s="263" t="s">
        <v>2347</v>
      </c>
    </row>
    <row r="19" spans="1:11" s="267" customFormat="1" ht="13.5" customHeight="1">
      <c r="A19" s="299" t="s">
        <v>2348</v>
      </c>
      <c r="B19" s="254" t="s">
        <v>2349</v>
      </c>
      <c r="C19" s="255" t="str">
        <f>IF(G19="已包含在土地取得成本中","0",ROUND(D19*E19/10000,0))</f>
        <v>0</v>
      </c>
      <c r="D19" s="1035">
        <f ca="1">D9+D10</f>
        <v>14966.349999999999</v>
      </c>
      <c r="E19" s="255">
        <f>'数据-取费表'!B31</f>
        <v>80</v>
      </c>
      <c r="F19" s="275"/>
      <c r="G19" s="2545" t="s">
        <v>3550</v>
      </c>
      <c r="J19" s="267">
        <f ca="1">J10/'数据-汇总表'!E3*10000</f>
        <v>5102.9387347845268</v>
      </c>
      <c r="K19" s="267">
        <f ca="1">K10/'数据-汇总表'!F31*10000</f>
        <v>6578.5380176356948</v>
      </c>
    </row>
    <row r="20" spans="1:11" s="258" customFormat="1" ht="13.5" customHeight="1">
      <c r="A20" s="299" t="s">
        <v>2350</v>
      </c>
      <c r="B20" s="254" t="s">
        <v>2351</v>
      </c>
      <c r="C20" s="276">
        <f>ROUND((C5+C19)*F20,0)</f>
        <v>175</v>
      </c>
      <c r="D20" s="276"/>
      <c r="E20" s="276"/>
      <c r="F20" s="277">
        <f>'数据-取费表'!B37</f>
        <v>0.02</v>
      </c>
      <c r="G20" s="278" t="s">
        <v>2352</v>
      </c>
    </row>
    <row r="21" spans="1:11" s="258" customFormat="1" ht="13.5" customHeight="1">
      <c r="A21" s="299" t="s">
        <v>2353</v>
      </c>
      <c r="B21" s="254" t="s">
        <v>2354</v>
      </c>
      <c r="C21" s="279">
        <f>F21</f>
        <v>0.02</v>
      </c>
      <c r="D21" s="280" t="s">
        <v>2355</v>
      </c>
      <c r="E21" s="276"/>
      <c r="F21" s="277">
        <f>'数据-取费表'!B38</f>
        <v>0.02</v>
      </c>
      <c r="G21" s="278" t="s">
        <v>2356</v>
      </c>
    </row>
    <row r="22" spans="1:11" s="258" customFormat="1" ht="13.5" customHeight="1">
      <c r="A22" s="299" t="s">
        <v>2357</v>
      </c>
      <c r="B22" s="254" t="s">
        <v>2358</v>
      </c>
      <c r="C22" s="1353">
        <f ca="1">ROUND(SUM(C23:C25),0)</f>
        <v>769</v>
      </c>
      <c r="D22" s="279">
        <f ca="1">C26</f>
        <v>8.9999999999999998E-4</v>
      </c>
      <c r="E22" s="280" t="s">
        <v>2355</v>
      </c>
      <c r="F22" s="281">
        <f ca="1">'数据-取费表'!B40</f>
        <v>4.7500000000000001E-2</v>
      </c>
      <c r="G22" s="278" t="str">
        <f>IF('数据-取费表'!B22&lt;=1,"单利计息","复利计息")</f>
        <v>复利计息</v>
      </c>
    </row>
    <row r="23" spans="1:11" s="258" customFormat="1" ht="13.5" customHeight="1">
      <c r="A23" s="951" t="s">
        <v>2359</v>
      </c>
      <c r="B23" s="259" t="s">
        <v>2360</v>
      </c>
      <c r="C23" s="1354">
        <f ca="1">ROUND(IF('数据-取费表'!B22&lt;=1,C5*F22*'数据-取费表'!B23,C5*(POWER((1+F22),'数据-取费表'!B23)-1)),0)</f>
        <v>762</v>
      </c>
      <c r="D23" s="282"/>
      <c r="E23" s="282"/>
      <c r="F23" s="283"/>
      <c r="G23" s="284" t="s">
        <v>2361</v>
      </c>
    </row>
    <row r="24" spans="1:11" s="258" customFormat="1" ht="13.5" customHeight="1">
      <c r="A24" s="951" t="s">
        <v>2362</v>
      </c>
      <c r="B24" s="259" t="s">
        <v>2363</v>
      </c>
      <c r="C24" s="1354">
        <f ca="1">ROUND(IF('数据-取费表'!B22&lt;=1,C19*F22*('数据-取费表'!B19/2+'数据-取费表'!B21),C19*(POWER((1+F22),('数据-取费表'!B19/2+'数据-取费表'!B21))-1)),0)</f>
        <v>0</v>
      </c>
      <c r="D24" s="282"/>
      <c r="E24" s="282"/>
      <c r="F24" s="283"/>
      <c r="G24" s="284" t="s">
        <v>2364</v>
      </c>
    </row>
    <row r="25" spans="1:11" s="258" customFormat="1" ht="24">
      <c r="A25" s="951" t="s">
        <v>2365</v>
      </c>
      <c r="B25" s="259" t="s">
        <v>2366</v>
      </c>
      <c r="C25" s="1354">
        <f ca="1">ROUND(IF('数据-取费表'!B22&lt;=1,C20*F22*'数据-取费表'!B23/2,C20*(POWER((1+F22),'数据-取费表'!B23/2)-1)),0)</f>
        <v>7</v>
      </c>
      <c r="D25" s="282"/>
      <c r="E25" s="285"/>
      <c r="F25" s="283"/>
      <c r="G25" s="286" t="s">
        <v>2367</v>
      </c>
    </row>
    <row r="26" spans="1:11" s="258" customFormat="1">
      <c r="A26" s="951" t="s">
        <v>795</v>
      </c>
      <c r="B26" s="259" t="s">
        <v>2368</v>
      </c>
      <c r="C26" s="282">
        <f ca="1">ROUND(IF('数据-取费表'!B22&lt;=1,F21*F22*'数据-取费表'!B23/2,F21*(POWER((1+F22),'数据-取费表'!B23/2)-1)),4)</f>
        <v>8.9999999999999998E-4</v>
      </c>
      <c r="D26" s="282"/>
      <c r="E26" s="285"/>
      <c r="F26" s="283"/>
      <c r="G26" s="287"/>
    </row>
    <row r="27" spans="1:11" s="258" customFormat="1" ht="26.4">
      <c r="A27" s="299" t="s">
        <v>2369</v>
      </c>
      <c r="B27" s="288" t="s">
        <v>2370</v>
      </c>
      <c r="C27" s="289">
        <f ca="1">C28</f>
        <v>428</v>
      </c>
      <c r="D27" s="279">
        <f ca="1">C29</f>
        <v>1E-3</v>
      </c>
      <c r="E27" s="280" t="s">
        <v>2371</v>
      </c>
      <c r="F27" s="290">
        <f ca="1">IF(B1="",'数据-取费表'!Q16,INDIRECT("'数据-取费表'!q"&amp;$G$1))</f>
        <v>0.08</v>
      </c>
      <c r="G27" s="291" t="s">
        <v>2372</v>
      </c>
    </row>
    <row r="28" spans="1:11" s="258" customFormat="1" ht="13.5" customHeight="1">
      <c r="A28" s="951" t="s">
        <v>791</v>
      </c>
      <c r="B28" s="292" t="s">
        <v>2373</v>
      </c>
      <c r="C28" s="293">
        <f ca="1">ROUND((C5+C19+C20)*F27*'数据-取费表'!B21/'数据-取费表'!B20,0)</f>
        <v>428</v>
      </c>
      <c r="D28" s="279"/>
      <c r="E28" s="280"/>
      <c r="F28" s="290"/>
      <c r="G28" s="291"/>
    </row>
    <row r="29" spans="1:11" s="258" customFormat="1" ht="13.5" customHeight="1">
      <c r="A29" s="951" t="s">
        <v>792</v>
      </c>
      <c r="B29" s="292" t="s">
        <v>2374</v>
      </c>
      <c r="C29" s="282">
        <f ca="1">ROUND(C21*F27*'数据-取费表'!B21/'数据-取费表'!B20,4)</f>
        <v>1E-3</v>
      </c>
      <c r="D29" s="279"/>
      <c r="E29" s="280"/>
      <c r="F29" s="290"/>
      <c r="G29" s="291"/>
    </row>
    <row r="30" spans="1:11" s="258" customFormat="1" ht="13.5" customHeight="1">
      <c r="A30" s="299" t="s">
        <v>2375</v>
      </c>
      <c r="B30" s="254" t="s">
        <v>2376</v>
      </c>
      <c r="C30" s="279">
        <f>ROUND(F30/(1+'数据-取费表'!C42),4)</f>
        <v>5.33E-2</v>
      </c>
      <c r="D30" s="280" t="s">
        <v>2371</v>
      </c>
      <c r="E30" s="285"/>
      <c r="F30" s="281">
        <f>'数据-取费表'!B41</f>
        <v>5.6000000000000001E-2</v>
      </c>
      <c r="G30" s="278" t="s">
        <v>2377</v>
      </c>
    </row>
    <row r="31" spans="1:11" ht="16.5" customHeight="1">
      <c r="A31" s="253">
        <v>1</v>
      </c>
      <c r="B31" s="254" t="s">
        <v>2378</v>
      </c>
      <c r="C31" s="255">
        <f ca="1">ROUND((C5+C19+C20+C22+C27)/(1-C21-D22-D27-C30),0)</f>
        <v>10936</v>
      </c>
      <c r="D31" s="274"/>
      <c r="E31" s="255"/>
      <c r="F31" s="294"/>
      <c r="G31" s="278" t="s">
        <v>2379</v>
      </c>
    </row>
    <row r="32" spans="1:11" s="252" customFormat="1" ht="16.2">
      <c r="A32" s="296" t="s">
        <v>2380</v>
      </c>
      <c r="B32" s="297"/>
      <c r="C32" s="297"/>
      <c r="D32" s="297"/>
      <c r="E32" s="297"/>
      <c r="F32" s="297"/>
      <c r="G32" s="298"/>
    </row>
    <row r="33" spans="1:7" s="258" customFormat="1" ht="13.5" customHeight="1">
      <c r="A33" s="299" t="s">
        <v>782</v>
      </c>
      <c r="B33" s="254" t="s">
        <v>2381</v>
      </c>
      <c r="C33" s="300">
        <f ca="1">SUM(C34:C38)</f>
        <v>3049</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2694</v>
      </c>
      <c r="D34" s="261"/>
      <c r="E34" s="264"/>
      <c r="F34" s="301">
        <f ca="1">IF('数据-取费表'!B24=0,1,IF(B1="",'数据-取费表'!N16,INDIRECT("'数据-取费表'!n"&amp;$G$1)))</f>
        <v>0.6</v>
      </c>
      <c r="G34" s="263" t="s">
        <v>2383</v>
      </c>
    </row>
    <row r="35" spans="1:7" ht="13.5" customHeight="1">
      <c r="A35" s="951" t="s">
        <v>796</v>
      </c>
      <c r="B35" s="259" t="s">
        <v>2384</v>
      </c>
      <c r="C35" s="264">
        <f ca="1">ROUND(C34*F35,0)</f>
        <v>81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54</v>
      </c>
      <c r="D36" s="264"/>
      <c r="E36" s="264"/>
      <c r="F36" s="303">
        <f>'数据-取费表'!B34</f>
        <v>0.02</v>
      </c>
      <c r="G36" s="304" t="s">
        <v>2387</v>
      </c>
    </row>
    <row r="37" spans="1:7" s="302" customFormat="1" ht="13.5" customHeight="1">
      <c r="A37" s="951" t="s">
        <v>798</v>
      </c>
      <c r="B37" s="259" t="s">
        <v>2388</v>
      </c>
      <c r="C37" s="293">
        <f ca="1">ROUND(E37*D37*F34/10000,0)</f>
        <v>180</v>
      </c>
      <c r="D37" s="261">
        <f ca="1">D19</f>
        <v>14966.349999999999</v>
      </c>
      <c r="E37" s="293">
        <f>'数据-取费表'!B35</f>
        <v>200</v>
      </c>
      <c r="F37" s="303"/>
      <c r="G37" s="305" t="s">
        <v>2389</v>
      </c>
    </row>
    <row r="38" spans="1:7" ht="13.5" customHeight="1">
      <c r="A38" s="951" t="s">
        <v>799</v>
      </c>
      <c r="B38" s="259" t="s">
        <v>2390</v>
      </c>
      <c r="C38" s="264">
        <f ca="1">ROUND(C34*F38,0)</f>
        <v>40</v>
      </c>
      <c r="D38" s="264"/>
      <c r="E38" s="264"/>
      <c r="F38" s="303">
        <f>'数据-取费表'!B36</f>
        <v>1.4999999999999999E-2</v>
      </c>
      <c r="G38" s="263" t="s">
        <v>2385</v>
      </c>
    </row>
    <row r="39" spans="1:7" s="258" customFormat="1" ht="13.5" customHeight="1">
      <c r="A39" s="299" t="s">
        <v>2391</v>
      </c>
      <c r="B39" s="254" t="s">
        <v>2392</v>
      </c>
      <c r="C39" s="276">
        <f ca="1">ROUND(C33*F20,0)</f>
        <v>61</v>
      </c>
      <c r="D39" s="276"/>
      <c r="E39" s="276"/>
      <c r="F39" s="277"/>
      <c r="G39" s="278" t="s">
        <v>2393</v>
      </c>
    </row>
    <row r="40" spans="1:7" s="258" customFormat="1" ht="13.5" customHeight="1">
      <c r="A40" s="299" t="s">
        <v>2394</v>
      </c>
      <c r="B40" s="254" t="s">
        <v>2395</v>
      </c>
      <c r="C40" s="1726">
        <f>F21</f>
        <v>0.02</v>
      </c>
      <c r="D40" s="280" t="s">
        <v>2396</v>
      </c>
      <c r="E40" s="276"/>
      <c r="F40" s="277"/>
      <c r="G40" s="278" t="s">
        <v>2397</v>
      </c>
    </row>
    <row r="41" spans="1:7" s="258" customFormat="1" ht="13.5" customHeight="1">
      <c r="A41" s="299" t="s">
        <v>2398</v>
      </c>
      <c r="B41" s="254" t="s">
        <v>2399</v>
      </c>
      <c r="C41" s="276">
        <f ca="1">ROUND(SUM(C42:C43),0)</f>
        <v>133</v>
      </c>
      <c r="D41" s="279">
        <f ca="1">C44</f>
        <v>8.9999999999999998E-4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130</v>
      </c>
      <c r="D42" s="282"/>
      <c r="E42" s="282"/>
      <c r="F42" s="283"/>
      <c r="G42" s="3172" t="s">
        <v>2401</v>
      </c>
    </row>
    <row r="43" spans="1:7" ht="13.5" customHeight="1">
      <c r="A43" s="951" t="s">
        <v>792</v>
      </c>
      <c r="B43" s="259" t="s">
        <v>2402</v>
      </c>
      <c r="C43" s="282">
        <f ca="1">ROUND(IF('数据-取费表'!B22&lt;=1,C39*F22*'数据-取费表'!B21/2,C39*(POWER((1+F22),'数据-取费表'!B21/2)-1)),0)</f>
        <v>3</v>
      </c>
      <c r="D43" s="282"/>
      <c r="E43" s="282"/>
      <c r="F43" s="283"/>
      <c r="G43" s="3173"/>
    </row>
    <row r="44" spans="1:7" ht="13.5" customHeight="1">
      <c r="A44" s="951" t="s">
        <v>793</v>
      </c>
      <c r="B44" s="259" t="s">
        <v>2403</v>
      </c>
      <c r="C44" s="282">
        <f ca="1">ROUND(IF('数据-取费表'!B22&lt;=1,C40*F22*'数据-取费表'!B21/2,C40*(POWER((1+F22),'数据-取费表'!B21/2)-1)),4)</f>
        <v>8.9999999999999998E-4</v>
      </c>
      <c r="D44" s="282"/>
      <c r="E44" s="282"/>
      <c r="F44" s="283"/>
      <c r="G44" s="3174"/>
    </row>
    <row r="45" spans="1:7" s="258" customFormat="1" ht="13.5" customHeight="1">
      <c r="A45" s="299" t="s">
        <v>2404</v>
      </c>
      <c r="B45" s="288" t="s">
        <v>2370</v>
      </c>
      <c r="C45" s="289">
        <f ca="1">C46</f>
        <v>249</v>
      </c>
      <c r="D45" s="279">
        <f ca="1">C47</f>
        <v>1.6000000000000001E-3</v>
      </c>
      <c r="E45" s="280" t="s">
        <v>2396</v>
      </c>
      <c r="F45" s="290"/>
      <c r="G45" s="291" t="s">
        <v>2405</v>
      </c>
    </row>
    <row r="46" spans="1:7" s="258" customFormat="1" ht="13.5" customHeight="1">
      <c r="A46" s="951" t="s">
        <v>791</v>
      </c>
      <c r="B46" s="292" t="s">
        <v>2406</v>
      </c>
      <c r="C46" s="293">
        <f ca="1">ROUND((C33+C39)*F27,0)</f>
        <v>249</v>
      </c>
      <c r="D46" s="307"/>
      <c r="E46" s="280"/>
      <c r="F46" s="290"/>
      <c r="G46" s="291"/>
    </row>
    <row r="47" spans="1:7" s="258" customFormat="1" ht="13.5" customHeight="1">
      <c r="A47" s="951" t="s">
        <v>792</v>
      </c>
      <c r="B47" s="292" t="s">
        <v>2407</v>
      </c>
      <c r="C47" s="282">
        <f ca="1">ROUND(C40*F27,4)</f>
        <v>1.6000000000000001E-3</v>
      </c>
      <c r="D47" s="307"/>
      <c r="E47" s="280"/>
      <c r="F47" s="290"/>
      <c r="G47" s="291"/>
    </row>
    <row r="48" spans="1:7" s="258" customFormat="1" ht="13.5" customHeight="1">
      <c r="A48" s="299" t="s">
        <v>2369</v>
      </c>
      <c r="B48" s="254" t="s">
        <v>2408</v>
      </c>
      <c r="C48" s="1726">
        <f>ROUND(F30/(1+'数据-取费表'!C42),4)</f>
        <v>5.33E-2</v>
      </c>
      <c r="D48" s="280" t="s">
        <v>2396</v>
      </c>
      <c r="E48" s="276"/>
      <c r="F48" s="281"/>
      <c r="G48" s="278" t="s">
        <v>2409</v>
      </c>
    </row>
    <row r="49" spans="1:7" ht="16.5" customHeight="1">
      <c r="A49" s="299" t="s">
        <v>2375</v>
      </c>
      <c r="B49" s="254" t="s">
        <v>2410</v>
      </c>
      <c r="C49" s="276">
        <f ca="1">ROUND((C33+C39+C41+C45)/(1-C40-D41-D45-C48),0)</f>
        <v>3778</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3778</v>
      </c>
      <c r="D51" s="276"/>
      <c r="E51" s="276"/>
      <c r="F51" s="308"/>
      <c r="G51" s="278" t="s">
        <v>2417</v>
      </c>
    </row>
    <row r="52" spans="1:7" s="252" customFormat="1" ht="16.8" thickBot="1">
      <c r="A52" s="309" t="s">
        <v>2418</v>
      </c>
      <c r="B52" s="310"/>
      <c r="C52" s="311">
        <f ca="1">C31+C51</f>
        <v>14714</v>
      </c>
      <c r="D52" s="310"/>
      <c r="E52" s="310"/>
      <c r="F52" s="310"/>
      <c r="G52" s="312"/>
    </row>
    <row r="55" spans="1:7" ht="15">
      <c r="B55" s="314" t="s">
        <v>2419</v>
      </c>
      <c r="C55" s="315"/>
    </row>
    <row r="56" spans="1:7">
      <c r="B56" s="317" t="s">
        <v>1508</v>
      </c>
      <c r="C56" s="319">
        <f ca="1">1-C57</f>
        <v>0.74299999999999999</v>
      </c>
    </row>
    <row r="57" spans="1:7">
      <c r="B57" s="317" t="s">
        <v>1509</v>
      </c>
      <c r="C57" s="318">
        <f ca="1">ROUND(C51/C52,3)</f>
        <v>0.25700000000000001</v>
      </c>
    </row>
  </sheetData>
  <sheetProtection algorithmName="SHA-512" hashValue="5SmLuNGvUl+z029uErLsoQCQAaEF3WBrB/0X+yH6Wa95RiqpWkbGdtGabp4j4kfZBWw7Db047qRftE/O9+7JFA==" saltValue="xUGwftZ9MsB3R+nkKWNYvg==" spinCount="100000"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80" t="str">
        <f>项目基本情况!B1</f>
        <v>天津市滨海新区中心渔港经济区鲤鱼门路以东、海湾一道以南4-1、4-2#地块出让国有建设用地使用权及在建建筑物房地产抵押价值预评估</v>
      </c>
      <c r="C37" s="2980"/>
      <c r="D37" s="2980"/>
      <c r="E37" s="2980"/>
      <c r="F37" s="2980"/>
      <c r="G37" s="2980"/>
      <c r="H37" s="2980"/>
      <c r="I37" s="2980"/>
    </row>
    <row r="38" spans="1:9">
      <c r="A38" s="1015"/>
      <c r="B38" s="1015"/>
    </row>
    <row r="39" spans="1:9">
      <c r="A39" s="1013" t="s">
        <v>818</v>
      </c>
      <c r="B39" s="1013" t="s">
        <v>820</v>
      </c>
    </row>
    <row r="40" spans="1:9">
      <c r="A40" s="1013"/>
      <c r="B40" s="1939" t="str">
        <f>项目基本情况!B5</f>
        <v>中国信达资产管理股份有限公司北京市分公司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34"/>
      <c r="C1" s="2548" t="s">
        <v>2420</v>
      </c>
      <c r="D1" s="242"/>
      <c r="E1" s="242"/>
      <c r="F1" s="242"/>
      <c r="G1" s="1378">
        <f>MATCH(B1,'数据-取费表'!A6:A16,0)+5</f>
        <v>10</v>
      </c>
      <c r="H1" s="1281" t="str">
        <f>IF(ISERROR(FIND("住宅",B1)),"非住宅","住宅")</f>
        <v>非住宅</v>
      </c>
    </row>
    <row r="2" spans="1:8" s="244" customFormat="1" ht="18" customHeight="1">
      <c r="A2" s="245" t="s">
        <v>2319</v>
      </c>
      <c r="B2" s="246">
        <f ca="1">ROUND(IF(D2="——",C52/10000,C52/10000-E2),0)</f>
        <v>6626</v>
      </c>
      <c r="C2" s="243" t="s">
        <v>2320</v>
      </c>
      <c r="D2" s="2542" t="s">
        <v>70</v>
      </c>
      <c r="E2" s="1439" t="e">
        <f ca="1">SUMIF(INDIRECT("'"&amp;G2&amp;"'"&amp;"!A:A"),"承租人权益价值",INDIRECT("'"&amp;G2&amp;"'"&amp;"!c:c"))</f>
        <v>#REF!</v>
      </c>
      <c r="F2" s="2543" t="s">
        <v>2320</v>
      </c>
      <c r="G2" s="2544"/>
    </row>
    <row r="3" spans="1:8" s="244" customFormat="1" ht="18" customHeight="1" thickBot="1">
      <c r="A3" s="247" t="s">
        <v>2321</v>
      </c>
      <c r="B3" s="248">
        <f ca="1">ROUND(B2*10000/(IF(B1="",'数据-汇总表'!E3,INDIRECT("'数据-取费表'!k"&amp;$G$1))),0)</f>
        <v>4427</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0</v>
      </c>
      <c r="D8" s="266"/>
      <c r="E8" s="264"/>
      <c r="F8" s="265"/>
      <c r="G8" s="2545"/>
    </row>
    <row r="9" spans="1:8" s="258" customFormat="1" ht="13.5" customHeight="1">
      <c r="A9" s="950" t="s">
        <v>800</v>
      </c>
      <c r="B9" s="268" t="s">
        <v>2335</v>
      </c>
      <c r="C9" s="269">
        <f ca="1">ROUND(D9*E9,0)</f>
        <v>0</v>
      </c>
      <c r="D9" s="1031">
        <f ca="1">IF(B1="",'数据-汇总表'!E5,IF(INDIRECT("'数据-取费表'!c"&amp;$G$1)="住宅",INDIRECT("'数据-取费表'!k"&amp;$G$1),0))</f>
        <v>14966.349999999999</v>
      </c>
      <c r="E9" s="269">
        <f>'数据-取费表'!B27</f>
        <v>0</v>
      </c>
      <c r="F9" s="265"/>
      <c r="G9" s="270"/>
    </row>
    <row r="10" spans="1:8" s="258" customFormat="1" ht="13.5" customHeight="1">
      <c r="A10" s="950" t="s">
        <v>801</v>
      </c>
      <c r="B10" s="268" t="s">
        <v>2337</v>
      </c>
      <c r="C10" s="269">
        <f ca="1">ROUND(D10*E10,0)</f>
        <v>0</v>
      </c>
      <c r="D10" s="1031">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2338</v>
      </c>
      <c r="C11" s="255"/>
      <c r="D11" s="1033"/>
      <c r="E11" s="262"/>
      <c r="F11" s="262"/>
      <c r="G11" s="263"/>
    </row>
    <row r="12" spans="1:8" s="258" customFormat="1" ht="13.5" hidden="1" customHeight="1">
      <c r="A12" s="271" t="s">
        <v>8</v>
      </c>
      <c r="B12" s="259" t="s">
        <v>2421</v>
      </c>
      <c r="C12" s="255">
        <v>0</v>
      </c>
      <c r="D12" s="1033"/>
      <c r="E12" s="272"/>
      <c r="F12" s="265">
        <v>3.0499999999999999E-2</v>
      </c>
      <c r="G12" s="263"/>
    </row>
    <row r="13" spans="1:8" s="258" customFormat="1" ht="13.5" hidden="1" customHeight="1">
      <c r="A13" s="271" t="s">
        <v>9</v>
      </c>
      <c r="B13" s="259" t="s">
        <v>2422</v>
      </c>
      <c r="C13" s="255"/>
      <c r="D13" s="1033"/>
      <c r="E13" s="262"/>
      <c r="F13" s="262"/>
      <c r="G13" s="263"/>
    </row>
    <row r="14" spans="1:8" s="258" customFormat="1" ht="13.5" hidden="1" customHeight="1">
      <c r="A14" s="271" t="s">
        <v>10</v>
      </c>
      <c r="B14" s="259" t="s">
        <v>2334</v>
      </c>
      <c r="C14" s="255"/>
      <c r="D14" s="1033"/>
      <c r="E14" s="262"/>
      <c r="F14" s="262"/>
      <c r="G14" s="263" t="s">
        <v>2423</v>
      </c>
    </row>
    <row r="15" spans="1:8" s="258" customFormat="1" ht="13.5" hidden="1" customHeight="1">
      <c r="A15" s="271" t="s">
        <v>11</v>
      </c>
      <c r="B15" s="259" t="s">
        <v>2424</v>
      </c>
      <c r="C15" s="264"/>
      <c r="D15" s="1033"/>
      <c r="E15" s="262"/>
      <c r="F15" s="262"/>
      <c r="G15" s="263" t="s">
        <v>2425</v>
      </c>
    </row>
    <row r="16" spans="1:8" s="258" customFormat="1" ht="13.5" hidden="1" customHeight="1">
      <c r="A16" s="271" t="s">
        <v>12</v>
      </c>
      <c r="B16" s="259" t="s">
        <v>2334</v>
      </c>
      <c r="C16" s="264"/>
      <c r="D16" s="1033"/>
      <c r="E16" s="262"/>
      <c r="F16" s="262"/>
      <c r="G16" s="263"/>
    </row>
    <row r="17" spans="1:7" s="258" customFormat="1" ht="13.5" hidden="1" customHeight="1">
      <c r="A17" s="271" t="s">
        <v>13</v>
      </c>
      <c r="B17" s="259" t="s">
        <v>2426</v>
      </c>
      <c r="C17" s="273"/>
      <c r="D17" s="1034"/>
      <c r="E17" s="273"/>
      <c r="F17" s="273"/>
      <c r="G17" s="263" t="s">
        <v>2425</v>
      </c>
    </row>
    <row r="18" spans="1:7" s="258" customFormat="1" ht="13.5" hidden="1" customHeight="1">
      <c r="A18" s="271" t="s">
        <v>14</v>
      </c>
      <c r="B18" s="259" t="s">
        <v>2427</v>
      </c>
      <c r="C18" s="264">
        <v>0</v>
      </c>
      <c r="D18" s="1033"/>
      <c r="E18" s="262"/>
      <c r="F18" s="265">
        <v>3.0499999999999999E-2</v>
      </c>
      <c r="G18" s="263" t="s">
        <v>2428</v>
      </c>
    </row>
    <row r="19" spans="1:7" s="267" customFormat="1" ht="13.5" customHeight="1">
      <c r="A19" s="299" t="s">
        <v>2429</v>
      </c>
      <c r="B19" s="254" t="s">
        <v>2430</v>
      </c>
      <c r="C19" s="255">
        <f ca="1">IF(G19="已包含在土地取得成本中","0",ROUND(D19*E19,0))</f>
        <v>1197308</v>
      </c>
      <c r="D19" s="1035">
        <f ca="1">D9+D10</f>
        <v>14966.349999999999</v>
      </c>
      <c r="E19" s="255">
        <f>'数据-取费表'!B31</f>
        <v>80</v>
      </c>
      <c r="F19" s="275"/>
      <c r="G19" s="2545"/>
    </row>
    <row r="20" spans="1:7" s="258" customFormat="1" ht="13.5" customHeight="1">
      <c r="A20" s="299" t="s">
        <v>2431</v>
      </c>
      <c r="B20" s="254" t="s">
        <v>2432</v>
      </c>
      <c r="C20" s="276">
        <f ca="1">ROUND((C5+C19)*F20,0)</f>
        <v>23946</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180575</v>
      </c>
      <c r="D22" s="279">
        <f ca="1">C26</f>
        <v>1.4E-3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0">
        <f ca="1">ROUND(IF('数据-取费表'!B22&lt;=1,C5*F22*'数据-取费表'!B22,C5*(POWER((1+F22),'数据-取费表'!B22)-1)),0)</f>
        <v>0</v>
      </c>
      <c r="D23" s="282"/>
      <c r="E23" s="282"/>
      <c r="F23" s="283"/>
      <c r="G23" s="284" t="s">
        <v>2441</v>
      </c>
    </row>
    <row r="24" spans="1:7" s="258" customFormat="1" ht="13.5" customHeight="1">
      <c r="A24" s="951" t="s">
        <v>2331</v>
      </c>
      <c r="B24" s="259" t="s">
        <v>2442</v>
      </c>
      <c r="C24" s="1380">
        <f ca="1">ROUND(IF('数据-取费表'!B22&lt;=1,C19*F22*('数据-取费表'!B19/2+'数据-取费表'!B20),C19*(POWER((1+F22),('数据-取费表'!B19/2+'数据-取费表'!B20))-1)),0)</f>
        <v>178849</v>
      </c>
      <c r="D24" s="282"/>
      <c r="E24" s="282"/>
      <c r="F24" s="283"/>
      <c r="G24" s="284" t="s">
        <v>2443</v>
      </c>
    </row>
    <row r="25" spans="1:7" s="258" customFormat="1" ht="24">
      <c r="A25" s="951" t="s">
        <v>2333</v>
      </c>
      <c r="B25" s="259" t="s">
        <v>2444</v>
      </c>
      <c r="C25" s="1380">
        <f ca="1">ROUND(IF('数据-取费表'!B22&lt;=1,C20*F22*'数据-取费表'!B22/2,C20*(POWER((1+F22),'数据-取费表'!B22/2)-1)),0)</f>
        <v>1726</v>
      </c>
      <c r="D25" s="282"/>
      <c r="E25" s="285"/>
      <c r="F25" s="283"/>
      <c r="G25" s="286" t="s">
        <v>2445</v>
      </c>
    </row>
    <row r="26" spans="1:7" s="258" customFormat="1">
      <c r="A26" s="951" t="s">
        <v>795</v>
      </c>
      <c r="B26" s="259" t="s">
        <v>2368</v>
      </c>
      <c r="C26" s="282">
        <f ca="1">ROUND(IF('数据-取费表'!B22&lt;=1,F21*F22*'数据-取费表'!B22/2,F21*(POWER((1+F22),'数据-取费表'!B22/2)-1)),4)</f>
        <v>1.4E-3</v>
      </c>
      <c r="D26" s="282"/>
      <c r="E26" s="285"/>
      <c r="F26" s="283"/>
      <c r="G26" s="287"/>
    </row>
    <row r="27" spans="1:7" s="258" customFormat="1" ht="26.4">
      <c r="A27" s="299" t="s">
        <v>2369</v>
      </c>
      <c r="B27" s="288" t="s">
        <v>2370</v>
      </c>
      <c r="C27" s="289">
        <f ca="1">C28</f>
        <v>97700</v>
      </c>
      <c r="D27" s="279">
        <f ca="1">C29</f>
        <v>1.6000000000000001E-3</v>
      </c>
      <c r="E27" s="280" t="s">
        <v>2371</v>
      </c>
      <c r="F27" s="290">
        <f ca="1">IF(B1="",'数据-取费表'!Q16,INDIRECT("'数据-取费表'!q"&amp;$G$1))</f>
        <v>0.08</v>
      </c>
      <c r="G27" s="291" t="s">
        <v>2372</v>
      </c>
    </row>
    <row r="28" spans="1:7" s="258" customFormat="1" ht="13.5" customHeight="1">
      <c r="A28" s="951" t="s">
        <v>791</v>
      </c>
      <c r="B28" s="292" t="s">
        <v>2373</v>
      </c>
      <c r="C28" s="293">
        <f ca="1">ROUND((C5+C19+C20)*F27,0)</f>
        <v>97700</v>
      </c>
      <c r="D28" s="279"/>
      <c r="E28" s="280"/>
      <c r="F28" s="290"/>
      <c r="G28" s="291"/>
    </row>
    <row r="29" spans="1:7" s="258" customFormat="1" ht="13.5" customHeight="1">
      <c r="A29" s="951" t="s">
        <v>792</v>
      </c>
      <c r="B29" s="292" t="s">
        <v>2374</v>
      </c>
      <c r="C29" s="282">
        <f ca="1">ROUND(C21*F27,4)</f>
        <v>1.6000000000000001E-3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1623394</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782</v>
      </c>
      <c r="B33" s="254" t="s">
        <v>2447</v>
      </c>
      <c r="C33" s="300">
        <f ca="1">SUM(C34:C38)</f>
        <v>50810759</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44899050</v>
      </c>
      <c r="D34" s="261"/>
      <c r="E34" s="264"/>
      <c r="F34" s="301"/>
      <c r="G34" s="263"/>
    </row>
    <row r="35" spans="1:7" ht="13.5" customHeight="1">
      <c r="A35" s="951" t="s">
        <v>796</v>
      </c>
      <c r="B35" s="259" t="s">
        <v>2384</v>
      </c>
      <c r="C35" s="264">
        <f ca="1">ROUND(C34*F35,0)</f>
        <v>1346972</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897981</v>
      </c>
      <c r="D36" s="264"/>
      <c r="E36" s="264"/>
      <c r="F36" s="303">
        <f>'数据-取费表'!B34</f>
        <v>0.02</v>
      </c>
      <c r="G36" s="304" t="s">
        <v>2387</v>
      </c>
    </row>
    <row r="37" spans="1:7" s="302" customFormat="1" ht="13.5" customHeight="1">
      <c r="A37" s="951" t="s">
        <v>798</v>
      </c>
      <c r="B37" s="259" t="s">
        <v>2388</v>
      </c>
      <c r="C37" s="293">
        <f ca="1">ROUND(E37*D37,0)</f>
        <v>2993270</v>
      </c>
      <c r="D37" s="261">
        <f ca="1">D19</f>
        <v>14966.349999999999</v>
      </c>
      <c r="E37" s="293">
        <f>'数据-取费表'!B35</f>
        <v>200</v>
      </c>
      <c r="F37" s="303"/>
      <c r="G37" s="305"/>
    </row>
    <row r="38" spans="1:7" ht="13.5" customHeight="1">
      <c r="A38" s="951" t="s">
        <v>799</v>
      </c>
      <c r="B38" s="259" t="s">
        <v>2390</v>
      </c>
      <c r="C38" s="264">
        <f ca="1">ROUND(C34*F38,0)</f>
        <v>673486</v>
      </c>
      <c r="D38" s="264"/>
      <c r="E38" s="264"/>
      <c r="F38" s="303">
        <f>'数据-取费表'!B36</f>
        <v>1.4999999999999999E-2</v>
      </c>
      <c r="G38" s="263" t="s">
        <v>2385</v>
      </c>
    </row>
    <row r="39" spans="1:7" s="258" customFormat="1" ht="13.5" customHeight="1">
      <c r="A39" s="299" t="s">
        <v>2391</v>
      </c>
      <c r="B39" s="254" t="s">
        <v>2392</v>
      </c>
      <c r="C39" s="276">
        <f ca="1">ROUND(C33*F20,0)</f>
        <v>1016215</v>
      </c>
      <c r="D39" s="276"/>
      <c r="E39" s="276"/>
      <c r="F39" s="277"/>
      <c r="G39" s="278" t="s">
        <v>2393</v>
      </c>
    </row>
    <row r="40" spans="1:7" s="258" customFormat="1" ht="13.5" customHeight="1">
      <c r="A40" s="299" t="s">
        <v>2394</v>
      </c>
      <c r="B40" s="254" t="s">
        <v>2395</v>
      </c>
      <c r="C40" s="1726">
        <f>F21</f>
        <v>0.02</v>
      </c>
      <c r="D40" s="280" t="s">
        <v>2396</v>
      </c>
      <c r="E40" s="276"/>
      <c r="F40" s="277"/>
      <c r="G40" s="278" t="s">
        <v>2397</v>
      </c>
    </row>
    <row r="41" spans="1:7" s="258" customFormat="1" ht="13.5" customHeight="1">
      <c r="A41" s="299" t="s">
        <v>2398</v>
      </c>
      <c r="B41" s="254" t="s">
        <v>2399</v>
      </c>
      <c r="C41" s="276">
        <f ca="1">ROUND(SUM(C42:C43),0)</f>
        <v>3736181</v>
      </c>
      <c r="D41" s="279">
        <f ca="1">C44</f>
        <v>1.4E-3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3662923</v>
      </c>
      <c r="D42" s="282"/>
      <c r="E42" s="282"/>
      <c r="F42" s="283"/>
      <c r="G42" s="3172" t="s">
        <v>2448</v>
      </c>
    </row>
    <row r="43" spans="1:7" ht="13.5" customHeight="1">
      <c r="A43" s="951" t="s">
        <v>792</v>
      </c>
      <c r="B43" s="259" t="s">
        <v>2402</v>
      </c>
      <c r="C43" s="282">
        <f ca="1">ROUND(IF('数据-取费表'!B22&lt;=1,C39*F22*'数据-取费表'!B20/2,C39*(POWER((1+F22),'数据-取费表'!B20/2)-1)),0)</f>
        <v>73258</v>
      </c>
      <c r="D43" s="282"/>
      <c r="E43" s="282"/>
      <c r="F43" s="283"/>
      <c r="G43" s="3173"/>
    </row>
    <row r="44" spans="1:7" ht="13.5" customHeight="1">
      <c r="A44" s="951" t="s">
        <v>793</v>
      </c>
      <c r="B44" s="259" t="s">
        <v>2403</v>
      </c>
      <c r="C44" s="282">
        <f ca="1">ROUND(IF('数据-取费表'!B22&lt;=1,C40*F22*'数据-取费表'!B20/2,C40*(POWER((1+F22),'数据-取费表'!B20/2)-1)),4)</f>
        <v>1.4E-3</v>
      </c>
      <c r="D44" s="282"/>
      <c r="E44" s="282"/>
      <c r="F44" s="283"/>
      <c r="G44" s="3174"/>
    </row>
    <row r="45" spans="1:7" s="258" customFormat="1" ht="13.5" customHeight="1">
      <c r="A45" s="299" t="s">
        <v>2404</v>
      </c>
      <c r="B45" s="288" t="s">
        <v>2370</v>
      </c>
      <c r="C45" s="289">
        <f ca="1">C46</f>
        <v>4146158</v>
      </c>
      <c r="D45" s="279">
        <f ca="1">C47</f>
        <v>1.6000000000000001E-3</v>
      </c>
      <c r="E45" s="280" t="s">
        <v>2396</v>
      </c>
      <c r="F45" s="290"/>
      <c r="G45" s="291" t="s">
        <v>2405</v>
      </c>
    </row>
    <row r="46" spans="1:7" s="258" customFormat="1" ht="13.5" customHeight="1">
      <c r="A46" s="951" t="s">
        <v>791</v>
      </c>
      <c r="B46" s="292" t="s">
        <v>2406</v>
      </c>
      <c r="C46" s="293">
        <f ca="1">ROUND((C33+C39)*F27,0)</f>
        <v>4146158</v>
      </c>
      <c r="D46" s="307"/>
      <c r="E46" s="280"/>
      <c r="F46" s="290"/>
      <c r="G46" s="291"/>
    </row>
    <row r="47" spans="1:7" s="258" customFormat="1" ht="13.5" customHeight="1">
      <c r="A47" s="951" t="s">
        <v>792</v>
      </c>
      <c r="B47" s="292" t="s">
        <v>2407</v>
      </c>
      <c r="C47" s="282">
        <f ca="1">ROUND(C40*F27,4)</f>
        <v>1.6000000000000001E-3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64641456</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64641456</v>
      </c>
      <c r="D51" s="276"/>
      <c r="E51" s="276"/>
      <c r="F51" s="308"/>
      <c r="G51" s="278" t="s">
        <v>2417</v>
      </c>
    </row>
    <row r="52" spans="1:7" s="252" customFormat="1" ht="16.8" thickBot="1">
      <c r="A52" s="309" t="s">
        <v>2418</v>
      </c>
      <c r="B52" s="310"/>
      <c r="C52" s="311">
        <f ca="1">C31+C51</f>
        <v>66264850</v>
      </c>
      <c r="D52" s="310"/>
      <c r="E52" s="310"/>
      <c r="F52" s="310"/>
      <c r="G52" s="312"/>
    </row>
    <row r="55" spans="1:7" ht="15">
      <c r="B55" s="314" t="s">
        <v>2419</v>
      </c>
      <c r="C55" s="315"/>
    </row>
    <row r="56" spans="1:7">
      <c r="B56" s="317" t="s">
        <v>1508</v>
      </c>
      <c r="C56" s="319">
        <f ca="1">1-C57</f>
        <v>2.4000000000000021E-2</v>
      </c>
    </row>
    <row r="57" spans="1:7">
      <c r="B57" s="317" t="s">
        <v>1509</v>
      </c>
      <c r="C57" s="318">
        <f ca="1">ROUND(C51/C52,3)</f>
        <v>0.97599999999999998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5"/>
  <sheetViews>
    <sheetView topLeftCell="A4" zoomScale="85" zoomScaleNormal="85" workbookViewId="0">
      <selection activeCell="C31" sqref="C31"/>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11.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2451</v>
      </c>
      <c r="B1" s="1579"/>
      <c r="C1" s="1580"/>
      <c r="D1" s="1578"/>
      <c r="E1" s="320"/>
      <c r="F1" s="320"/>
      <c r="G1" s="1579"/>
      <c r="H1" s="320"/>
      <c r="I1" s="320"/>
      <c r="J1" s="320"/>
      <c r="K1" s="320">
        <f>MATCH(C1,'数据-取费表'!A6:A16,0)+5</f>
        <v>10</v>
      </c>
    </row>
    <row r="2" spans="1:33" ht="18" customHeight="1">
      <c r="A2" s="245" t="s">
        <v>2319</v>
      </c>
      <c r="B2" s="248">
        <f ca="1">C32</f>
        <v>11047</v>
      </c>
      <c r="C2" s="320" t="s">
        <v>2452</v>
      </c>
      <c r="D2" s="320"/>
      <c r="E2" s="320"/>
      <c r="F2" s="320"/>
      <c r="G2" s="320"/>
      <c r="H2" s="320"/>
      <c r="I2" s="320"/>
      <c r="J2" s="320"/>
      <c r="K2" s="320"/>
    </row>
    <row r="3" spans="1:33" ht="18" customHeight="1" thickBot="1">
      <c r="A3" s="247" t="s">
        <v>2321</v>
      </c>
      <c r="B3" s="248">
        <f ca="1">ROUND(B2*10000/IF(C1="",'数据-汇总表'!E3,INDIRECT("'数据-取费表'!K"&amp;$K$1)),0)</f>
        <v>7381</v>
      </c>
      <c r="C3" s="320" t="s">
        <v>2453</v>
      </c>
      <c r="D3" s="320"/>
      <c r="E3" s="320"/>
      <c r="F3" s="320"/>
      <c r="G3" s="320"/>
      <c r="H3" s="320"/>
      <c r="I3" s="320"/>
      <c r="J3" s="320"/>
      <c r="K3" s="320"/>
    </row>
    <row r="4" spans="1:33" s="956" customFormat="1" ht="16.5" customHeight="1">
      <c r="A4" s="953" t="s">
        <v>2454</v>
      </c>
      <c r="B4" s="954"/>
      <c r="C4" s="996">
        <f>SUM(C8:K8)</f>
        <v>16215</v>
      </c>
      <c r="D4" s="954"/>
      <c r="E4" s="954"/>
      <c r="F4" s="954"/>
      <c r="G4" s="954"/>
      <c r="H4" s="954"/>
      <c r="I4" s="954"/>
      <c r="J4" s="954"/>
      <c r="K4" s="955"/>
    </row>
    <row r="5" spans="1:33" s="960" customFormat="1" ht="14.4">
      <c r="A5" s="957" t="s">
        <v>2455</v>
      </c>
      <c r="B5" s="958" t="s">
        <v>2456</v>
      </c>
      <c r="C5" s="2549" t="s">
        <v>3426</v>
      </c>
      <c r="D5" s="2549" t="s">
        <v>1373</v>
      </c>
      <c r="E5" s="2549" t="s">
        <v>3497</v>
      </c>
      <c r="F5" s="2549" t="s">
        <v>3499</v>
      </c>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f>'比较法-洋房'!B3</f>
        <v>13627</v>
      </c>
      <c r="D6" s="962">
        <f>ROUND('比较法-商业'!C48*(1+0.7+0.6)/3,0)</f>
        <v>22650</v>
      </c>
      <c r="E6" s="962">
        <f>'比较法-高层'!B3</f>
        <v>10834</v>
      </c>
      <c r="F6" s="962">
        <f>'比较法-别墅'!B3</f>
        <v>18890</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14966.349999999999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2460</v>
      </c>
      <c r="B8" s="177" t="s">
        <v>2461</v>
      </c>
      <c r="C8" s="997">
        <f>'比较法-洋房'!B2</f>
        <v>0</v>
      </c>
      <c r="D8" s="997">
        <f>ROUND(D6*D7/10000,0)</f>
        <v>0</v>
      </c>
      <c r="E8" s="997">
        <f>'比较法-高层'!B2</f>
        <v>16215</v>
      </c>
      <c r="F8" s="998">
        <f>'比较法-别墅'!B2</f>
        <v>0</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1796</v>
      </c>
      <c r="D11" s="973"/>
      <c r="E11" s="375"/>
      <c r="F11" s="974">
        <f ca="1">1-IF('数据-取费表'!B24=0,1,IF(C1="",'数据-取费表'!N16,INDIRECT("'数据-取费表'!n"&amp;$K$1)))</f>
        <v>0.4</v>
      </c>
      <c r="G11" s="8"/>
      <c r="H11" s="968"/>
      <c r="I11" s="968"/>
      <c r="J11" s="968"/>
      <c r="K11" s="969"/>
    </row>
    <row r="12" spans="1:33" s="975" customFormat="1" ht="13.5" customHeight="1">
      <c r="A12" s="971" t="s">
        <v>1331</v>
      </c>
      <c r="B12" s="972" t="s">
        <v>2470</v>
      </c>
      <c r="C12" s="24">
        <f ca="1">ROUND(C11*F12,0)</f>
        <v>54</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36</v>
      </c>
      <c r="D13" s="1032"/>
      <c r="E13" s="375"/>
      <c r="F13" s="976">
        <f>'数据-取费表'!B34</f>
        <v>0.02</v>
      </c>
      <c r="G13" s="8" t="s">
        <v>2473</v>
      </c>
      <c r="H13" s="968"/>
      <c r="I13" s="968"/>
      <c r="J13" s="968"/>
      <c r="K13" s="969"/>
    </row>
    <row r="14" spans="1:33" s="977" customFormat="1" ht="13.5" customHeight="1">
      <c r="A14" s="971" t="s">
        <v>1333</v>
      </c>
      <c r="B14" s="972" t="s">
        <v>2474</v>
      </c>
      <c r="C14" s="24">
        <f ca="1">ROUND(D14*E14*F11/10000,0)</f>
        <v>120</v>
      </c>
      <c r="D14" s="1032">
        <f ca="1">IF(C1="",'数据-汇总表'!E3,INDIRECT("'数据-取费表'!K"&amp;$K$1)+INDIRECT("'数据-取费表'!S"&amp;$K$1))</f>
        <v>14966.349999999999</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27</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2033</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180</v>
      </c>
      <c r="D17" s="1032">
        <f ca="1">D14</f>
        <v>14966.349999999999</v>
      </c>
      <c r="E17" s="24">
        <f>'数据-取费表'!B32</f>
        <v>120</v>
      </c>
      <c r="F17" s="978"/>
      <c r="G17" s="140" t="s">
        <v>2480</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0</v>
      </c>
      <c r="D18" s="1032"/>
      <c r="E18" s="24"/>
      <c r="F18" s="976"/>
      <c r="G18" s="2551"/>
      <c r="H18" s="1575"/>
      <c r="I18" s="2552" t="s">
        <v>2482</v>
      </c>
      <c r="J18" s="979"/>
      <c r="K18" s="980"/>
    </row>
    <row r="19" spans="1:33" s="975" customFormat="1" ht="13.5" customHeight="1">
      <c r="A19" s="971" t="s">
        <v>805</v>
      </c>
      <c r="B19" s="972" t="s">
        <v>2483</v>
      </c>
      <c r="C19" s="24">
        <f ca="1">ROUND(D19*E19/10000,0)</f>
        <v>0</v>
      </c>
      <c r="D19" s="1032">
        <f ca="1">IF(C1="",'数据-汇总表'!E5,IF(INDIRECT("'数据-取费表'!c"&amp;$K$1)="住宅",INDIRECT("'数据-取费表'!k"&amp;$K$1),0))</f>
        <v>14966.349999999999</v>
      </c>
      <c r="E19" s="24">
        <f>'数据-取费表'!B27</f>
        <v>0</v>
      </c>
      <c r="F19" s="976"/>
      <c r="G19" s="15"/>
      <c r="H19" s="1577"/>
      <c r="I19" s="981"/>
      <c r="J19" s="981"/>
      <c r="K19" s="982"/>
    </row>
    <row r="20" spans="1:33" s="975" customFormat="1" ht="13.5" customHeight="1">
      <c r="A20" s="971" t="s">
        <v>806</v>
      </c>
      <c r="B20" s="972" t="s">
        <v>2484</v>
      </c>
      <c r="C20" s="24">
        <f ca="1">ROUND(D20*E20/10000,0)</f>
        <v>0</v>
      </c>
      <c r="D20" s="1032">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2485</v>
      </c>
      <c r="C21" s="986">
        <f ca="1">C16+C17+C18</f>
        <v>2213</v>
      </c>
      <c r="D21" s="987"/>
      <c r="E21" s="325"/>
      <c r="F21" s="325"/>
      <c r="G21" s="140" t="s">
        <v>2486</v>
      </c>
      <c r="H21" s="979"/>
      <c r="I21" s="979"/>
      <c r="J21" s="979"/>
      <c r="K21" s="980"/>
    </row>
    <row r="22" spans="1:33" s="975" customFormat="1" ht="13.5" customHeight="1">
      <c r="A22" s="961" t="s">
        <v>2458</v>
      </c>
      <c r="B22" s="985" t="s">
        <v>2487</v>
      </c>
      <c r="C22" s="986">
        <f ca="1">ROUND(C21*F22,0)</f>
        <v>44</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130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5">
        <f ca="1">C27</f>
        <v>67</v>
      </c>
      <c r="D25" s="324">
        <f ca="1">C26</f>
        <v>5.8900000000000001E-2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6">
        <f ca="1">ROUND(IF('数据-取费表'!B22&lt;=1,(1+C24)*F25*'数据-取费表'!B24,(1+C24)*(POWER((1+F25),'数据-取费表'!B24)-1)),4)</f>
        <v>5.8900000000000001E-2</v>
      </c>
      <c r="D26" s="328"/>
      <c r="E26" s="329"/>
      <c r="F26" s="330"/>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7">
        <f ca="1">ROUND(IF('数据-取费表'!B22&lt;=1,(C21+C22+C23)*F25*'数据-取费表'!B24/2,(C21+C22+C23)*(POWER((1+F25),'数据-取费表'!B24/2)-1)),0)</f>
        <v>67</v>
      </c>
      <c r="D27" s="328"/>
      <c r="E27" s="329"/>
      <c r="F27" s="330"/>
      <c r="G27" s="2553" t="str">
        <f>IF('数据-取费表'!B22&lt;=1,"（1）-（3）项×年利率×建设期÷2","（1）-（3）项×((1+年利率)^(建设期÷2)-1)")</f>
        <v>（1）-（3）项×((1+年利率)^(建设期÷2)-1)</v>
      </c>
      <c r="H27" s="979"/>
      <c r="I27" s="979"/>
      <c r="J27" s="979"/>
      <c r="K27" s="980"/>
    </row>
    <row r="28" spans="1:33" s="333" customFormat="1" ht="13.5" customHeight="1">
      <c r="A28" s="961" t="s">
        <v>2498</v>
      </c>
      <c r="B28" s="2554" t="s">
        <v>2499</v>
      </c>
      <c r="C28" s="331">
        <f ca="1">C30</f>
        <v>191</v>
      </c>
      <c r="D28" s="324">
        <f ca="1">C29</f>
        <v>3.2899999999999999E-2</v>
      </c>
      <c r="E28" s="326" t="s">
        <v>15</v>
      </c>
      <c r="F28" s="332">
        <f ca="1">IF(C1="",'数据-取费表'!Q16,INDIRECT("'数据-取费表'!q"&amp;$K$1))</f>
        <v>0.08</v>
      </c>
      <c r="G28" s="989"/>
      <c r="H28" s="990"/>
      <c r="I28" s="990"/>
      <c r="J28" s="990"/>
      <c r="K28" s="991"/>
    </row>
    <row r="29" spans="1:33" s="335" customFormat="1" ht="13.5" customHeight="1">
      <c r="A29" s="971" t="s">
        <v>803</v>
      </c>
      <c r="B29" s="994" t="s">
        <v>2500</v>
      </c>
      <c r="C29" s="328">
        <f ca="1">ROUND((1+C24)*F28*'数据-取费表'!B24/'数据-取费表'!B20,4)</f>
        <v>3.2899999999999999E-2</v>
      </c>
      <c r="D29" s="328"/>
      <c r="E29" s="329"/>
      <c r="F29" s="334"/>
      <c r="G29" s="140" t="s">
        <v>2501</v>
      </c>
      <c r="H29" s="979"/>
      <c r="I29" s="979"/>
      <c r="J29" s="979"/>
      <c r="K29" s="980"/>
    </row>
    <row r="30" spans="1:33" s="335" customFormat="1" ht="13.5" customHeight="1">
      <c r="A30" s="971" t="s">
        <v>804</v>
      </c>
      <c r="B30" s="994" t="s">
        <v>2502</v>
      </c>
      <c r="C30" s="336">
        <f ca="1">ROUND((C21+C22+C23)*F28,0)</f>
        <v>191</v>
      </c>
      <c r="D30" s="328"/>
      <c r="E30" s="329"/>
      <c r="F30" s="334"/>
      <c r="G30" s="140"/>
      <c r="H30" s="979"/>
      <c r="I30" s="979"/>
      <c r="J30" s="979"/>
      <c r="K30" s="980"/>
    </row>
    <row r="31" spans="1:33" s="975" customFormat="1" ht="13.5" customHeight="1" thickBot="1">
      <c r="A31" s="2555" t="s">
        <v>2503</v>
      </c>
      <c r="B31" s="1005" t="s">
        <v>2504</v>
      </c>
      <c r="C31" s="2978">
        <f>ROUND(C4*(F31/(1+'数据-取费表'!C42)+C35),0)</f>
        <v>1189</v>
      </c>
      <c r="D31" s="1006"/>
      <c r="E31" s="1007"/>
      <c r="F31" s="1008">
        <f>'数据-取费表'!B41</f>
        <v>5.6000000000000001E-2</v>
      </c>
      <c r="G31" s="1009" t="s">
        <v>2505</v>
      </c>
      <c r="H31" s="1010"/>
      <c r="I31" s="1010"/>
      <c r="J31" s="1010"/>
      <c r="K31" s="1011"/>
    </row>
    <row r="32" spans="1:33" s="970" customFormat="1" ht="13.5" customHeight="1" thickBot="1">
      <c r="A32" s="1000" t="s">
        <v>2506</v>
      </c>
      <c r="B32" s="1001"/>
      <c r="C32" s="1002">
        <f ca="1">ROUND((C4-C21-C22-C23-C25-C28-C31)/(1+C24+D25+D28),0)</f>
        <v>11047</v>
      </c>
      <c r="D32" s="1001"/>
      <c r="E32" s="1001"/>
      <c r="F32" s="1001"/>
      <c r="G32" s="1003" t="s">
        <v>2507</v>
      </c>
      <c r="H32" s="1001"/>
      <c r="I32" s="1001"/>
      <c r="J32" s="1001"/>
      <c r="K32" s="1004"/>
    </row>
    <row r="34" spans="2:3" ht="12.75" customHeight="1"/>
    <row r="35" spans="2:3">
      <c r="B35" s="2979" t="s">
        <v>3553</v>
      </c>
      <c r="C35" s="2977">
        <v>0.02</v>
      </c>
    </row>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O24" sqref="O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2"/>
      <c r="C1" s="1835" t="s">
        <v>1373</v>
      </c>
      <c r="D1" s="1818" t="s">
        <v>3466</v>
      </c>
      <c r="E1" s="1819" t="s">
        <v>1382</v>
      </c>
      <c r="F1" s="1282">
        <f ca="1">J53</f>
        <v>60.33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0</v>
      </c>
      <c r="D5" s="1820" t="s">
        <v>1397</v>
      </c>
      <c r="E5" s="1292"/>
      <c r="F5" s="1293"/>
      <c r="G5" s="1849"/>
      <c r="H5" s="344">
        <v>1</v>
      </c>
      <c r="I5" s="345" t="s">
        <v>1396</v>
      </c>
      <c r="J5" s="1291">
        <f ca="1">J6+J10+J12</f>
        <v>0</v>
      </c>
      <c r="K5" s="1820" t="s">
        <v>1397</v>
      </c>
      <c r="L5" s="1292"/>
      <c r="M5" s="1293"/>
    </row>
    <row r="6" spans="1:37" ht="18" customHeight="1">
      <c r="A6" s="1290" t="s">
        <v>1032</v>
      </c>
      <c r="B6" s="3177" t="s">
        <v>1398</v>
      </c>
      <c r="C6" s="1295">
        <f ca="1">ROUND(F6*F8*F7*(1-F9)/10000,0)</f>
        <v>0</v>
      </c>
      <c r="D6" s="164" t="s">
        <v>3021</v>
      </c>
      <c r="E6" s="347" t="s">
        <v>1400</v>
      </c>
      <c r="F6" s="348">
        <f ca="1">INDIRECT("'数据-取费表'!u"&amp;$G$1)</f>
        <v>3</v>
      </c>
      <c r="G6" s="1849"/>
      <c r="H6" s="1290" t="s">
        <v>1032</v>
      </c>
      <c r="I6" s="3177" t="s">
        <v>1398</v>
      </c>
      <c r="J6" s="346">
        <f ca="1">ROUND(M6*M8*M7*(1-M9)/10000,0)</f>
        <v>0</v>
      </c>
      <c r="K6" s="164" t="s">
        <v>3020</v>
      </c>
      <c r="L6" s="347" t="s">
        <v>1400</v>
      </c>
      <c r="M6" s="348">
        <f ca="1">INDIRECT("'数据-取费表'!z"&amp;$G$1)</f>
        <v>0</v>
      </c>
    </row>
    <row r="7" spans="1:37" ht="18" customHeight="1">
      <c r="A7" s="1294"/>
      <c r="B7" s="3178"/>
      <c r="C7" s="1296"/>
      <c r="D7" s="352"/>
      <c r="E7" s="1297" t="s">
        <v>1401</v>
      </c>
      <c r="F7" s="348">
        <f ca="1">IF(INDIRECT("'数据-取费表'!ah"&amp;$G$1)="",INDIRECT("'数据-取费表'!k"&amp;$G$1),INDIRECT("'数据-取费表'!ah"&amp;$G$1))</f>
        <v>0</v>
      </c>
      <c r="G7" s="1849"/>
      <c r="H7" s="349"/>
      <c r="I7" s="3178"/>
      <c r="J7" s="351"/>
      <c r="K7" s="352"/>
      <c r="L7" s="347" t="s">
        <v>1401</v>
      </c>
      <c r="M7" s="348">
        <f ca="1">F7</f>
        <v>0</v>
      </c>
    </row>
    <row r="8" spans="1:37" ht="18" customHeight="1">
      <c r="A8" s="349"/>
      <c r="B8" s="3178"/>
      <c r="C8" s="351"/>
      <c r="D8" s="352"/>
      <c r="E8" s="347" t="s">
        <v>1402</v>
      </c>
      <c r="F8" s="348">
        <f ca="1">INDIRECT("'数据-取费表'!ai"&amp;$G$1)</f>
        <v>365</v>
      </c>
      <c r="G8" s="1849"/>
      <c r="H8" s="349"/>
      <c r="I8" s="3178"/>
      <c r="J8" s="351"/>
      <c r="K8" s="352"/>
      <c r="L8" s="347" t="s">
        <v>1402</v>
      </c>
      <c r="M8" s="348">
        <f ca="1">INDIRECT("'数据-取费表'!ai"&amp;$G$1)</f>
        <v>365</v>
      </c>
    </row>
    <row r="9" spans="1:37" ht="18" customHeight="1">
      <c r="A9" s="349"/>
      <c r="B9" s="3179"/>
      <c r="C9" s="351"/>
      <c r="D9" s="352"/>
      <c r="E9" s="347" t="s">
        <v>1403</v>
      </c>
      <c r="F9" s="357">
        <f ca="1">INDIRECT("'数据-取费表'!w"&amp;$G$1)</f>
        <v>0.1</v>
      </c>
      <c r="G9" s="1849"/>
      <c r="H9" s="349"/>
      <c r="I9" s="3179"/>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3030</v>
      </c>
      <c r="E10" s="358" t="s">
        <v>1405</v>
      </c>
      <c r="F10" s="1365" t="s">
        <v>3467</v>
      </c>
      <c r="G10" s="1849"/>
      <c r="H10" s="1290" t="s">
        <v>1036</v>
      </c>
      <c r="I10" s="1821" t="s">
        <v>1404</v>
      </c>
      <c r="J10" s="346">
        <f ca="1">ROUND(IF(M10="押一",J6/12*M11,IF(M10="押二",J6/12*2*M11,IF(M10="押三",J6/12*3*M11,J11*M11))),0)</f>
        <v>0</v>
      </c>
      <c r="K10" s="1822" t="s">
        <v>3029</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1</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0</v>
      </c>
      <c r="D14" s="1798" t="s">
        <v>1413</v>
      </c>
      <c r="E14" s="1792"/>
      <c r="F14" s="364"/>
      <c r="G14" s="1849"/>
      <c r="H14" s="1200" t="s">
        <v>1032</v>
      </c>
      <c r="I14" s="347" t="s">
        <v>1414</v>
      </c>
      <c r="J14" s="24">
        <f ca="1">C29</f>
        <v>0</v>
      </c>
      <c r="K14" s="15"/>
      <c r="L14" s="979"/>
      <c r="M14" s="980"/>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0.02</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ROUND(F17*(F43+INDIRECT("'数据-取费表'!S"&amp;$G$1))/10000,0)</f>
        <v>0</v>
      </c>
      <c r="D17" s="347" t="s">
        <v>1422</v>
      </c>
      <c r="E17" s="347" t="s">
        <v>1423</v>
      </c>
      <c r="F17" s="26">
        <f>'数据-取费表'!B35</f>
        <v>200</v>
      </c>
      <c r="G17" s="1852"/>
      <c r="H17" s="1200" t="s">
        <v>1032</v>
      </c>
      <c r="I17" s="347" t="s">
        <v>1424</v>
      </c>
      <c r="J17" s="24">
        <f ca="1">ROUND(IF(项目基本情况!B11="自然人",J6*M17/(1+'数据-取费表'!C42),J18+J19+J20),1)</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IF(K19="按租金收入计税",ROUND(J6*M19/(1+'数据-取费表'!C42),2),ROUND(C29*M19*0.7,2))</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ROUND(M20*M21/10000,2)</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c r="A26" s="1200" t="s">
        <v>1031</v>
      </c>
      <c r="B26" s="347" t="s">
        <v>1460</v>
      </c>
      <c r="C26" s="24">
        <f ca="1">ROUND((C19+C20)*F26,0)</f>
        <v>0</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0.06</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0</v>
      </c>
      <c r="D33" s="1826" t="s">
        <v>3468</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IF(项目基本情况!B11="自然人","——",ROUND(F34*F35/10000,2))</f>
        <v>0</v>
      </c>
      <c r="D34" s="370" t="s">
        <v>1437</v>
      </c>
      <c r="E34" s="347" t="s">
        <v>1438</v>
      </c>
      <c r="F34" s="371">
        <f>'数据-取费表'!B52</f>
        <v>1.5</v>
      </c>
      <c r="G34" s="1849"/>
      <c r="H34" s="745"/>
      <c r="I34" s="1858"/>
      <c r="J34" s="1859"/>
      <c r="K34" s="1861"/>
      <c r="L34" s="1862"/>
      <c r="M34" s="1862"/>
    </row>
    <row r="35" spans="1:18" ht="18" customHeight="1">
      <c r="A35" s="1352"/>
      <c r="B35" s="1350"/>
      <c r="C35" s="29"/>
      <c r="D35" s="373"/>
      <c r="E35" s="347" t="s">
        <v>1442</v>
      </c>
      <c r="F35" s="348">
        <f ca="1">INDIRECT("'数据-取费表'!r"&amp;$G$1)</f>
        <v>0</v>
      </c>
      <c r="G35" s="1849"/>
      <c r="H35" s="745"/>
      <c r="I35" s="1858"/>
      <c r="J35" s="1859"/>
      <c r="K35" s="1860"/>
      <c r="L35" s="1857"/>
      <c r="M35" s="1857"/>
    </row>
    <row r="36" spans="1:18" ht="18" customHeight="1">
      <c r="A36" s="1351" t="s">
        <v>1036</v>
      </c>
      <c r="B36" s="347" t="s">
        <v>1444</v>
      </c>
      <c r="C36" s="24">
        <f ca="1">ROUND(C29*F36,1)</f>
        <v>0</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0</v>
      </c>
      <c r="D37" s="1796"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0</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0</v>
      </c>
      <c r="D40" s="370" t="s">
        <v>1464</v>
      </c>
      <c r="E40" s="347" t="s">
        <v>1465</v>
      </c>
      <c r="F40" s="357">
        <f ca="1">INDIRECT("'数据-取费表'!I"&amp;$G$1)</f>
        <v>0.06</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60.33</v>
      </c>
      <c r="G41" s="1849"/>
      <c r="H41" s="732"/>
      <c r="I41" s="1858"/>
      <c r="J41" s="1859"/>
      <c r="K41" s="751"/>
      <c r="L41" s="732"/>
      <c r="M41" s="732"/>
    </row>
    <row r="42" spans="1:18" ht="18" customHeight="1">
      <c r="A42" s="353"/>
      <c r="B42" s="354"/>
      <c r="C42" s="355"/>
      <c r="D42" s="373"/>
      <c r="E42" s="347" t="s">
        <v>1472</v>
      </c>
      <c r="F42" s="357">
        <f ca="1">INDIRECT("'数据-取费表'!v"&amp;$G$1)</f>
        <v>2.5000000000000001E-2</v>
      </c>
      <c r="G42" s="1849"/>
      <c r="H42" s="732"/>
      <c r="I42" s="1858"/>
      <c r="J42" s="1859"/>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8" thickBot="1">
      <c r="A46" s="1868" t="s">
        <v>1515</v>
      </c>
      <c r="C46" s="1869">
        <f ca="1">C68-C40</f>
        <v>0</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8" thickBot="1">
      <c r="A47" s="1164" t="s">
        <v>1391</v>
      </c>
      <c r="B47" s="1196" t="s">
        <v>1392</v>
      </c>
      <c r="C47" s="1366" t="s">
        <v>1393</v>
      </c>
      <c r="D47" s="1196" t="s">
        <v>1394</v>
      </c>
      <c r="E47" s="1278" t="s">
        <v>1395</v>
      </c>
      <c r="F47" s="1279"/>
      <c r="G47" s="792"/>
      <c r="I47" s="1878" t="s">
        <v>1521</v>
      </c>
      <c r="J47" s="1879" t="s">
        <v>3469</v>
      </c>
      <c r="K47" s="1880" t="s">
        <v>1522</v>
      </c>
      <c r="L47" s="1881">
        <f ca="1">INDIRECT("'数据-取费表'!d"&amp;$G$1)</f>
        <v>70</v>
      </c>
      <c r="M47" s="1836" t="str">
        <f>IF(ISNUMBER(FIND("住宅",C1)),"住宅","非住宅")</f>
        <v>非住宅</v>
      </c>
      <c r="O47" s="1882" t="s">
        <v>1037</v>
      </c>
      <c r="P47" s="1883" t="s">
        <v>1523</v>
      </c>
      <c r="Q47" s="1884">
        <f ca="1">C40+J29</f>
        <v>0</v>
      </c>
      <c r="R47" s="1884" t="s">
        <v>1524</v>
      </c>
    </row>
    <row r="48" spans="1:18" s="1840" customFormat="1" ht="40.200000000000003" thickBot="1">
      <c r="A48" s="1359" t="s">
        <v>1132</v>
      </c>
      <c r="B48" s="345" t="s">
        <v>1396</v>
      </c>
      <c r="C48" s="1815">
        <f ca="1">C49+C53+C55</f>
        <v>0</v>
      </c>
      <c r="D48" s="1361"/>
      <c r="E48" s="1362"/>
      <c r="F48" s="1180"/>
      <c r="G48" s="792"/>
      <c r="H48" s="793"/>
      <c r="I48" s="1885" t="s">
        <v>1525</v>
      </c>
      <c r="J48" s="1886" t="s">
        <v>3470</v>
      </c>
      <c r="K48" s="1887" t="s">
        <v>1526</v>
      </c>
      <c r="L48" s="1888">
        <f ca="1">INDIRECT("'数据-取费表'!f"&amp;$G$1)</f>
        <v>61.53</v>
      </c>
      <c r="O48" s="1882" t="s">
        <v>1038</v>
      </c>
      <c r="P48" s="1883" t="s">
        <v>1527</v>
      </c>
      <c r="Q48" s="1884" t="str">
        <f ca="1">J60</f>
        <v>0</v>
      </c>
      <c r="R48" s="1884" t="s">
        <v>1528</v>
      </c>
    </row>
    <row r="49" spans="1:18" s="1840" customFormat="1" ht="13.8" thickBot="1">
      <c r="A49" s="1193" t="s">
        <v>1133</v>
      </c>
      <c r="B49" s="1827" t="s">
        <v>1485</v>
      </c>
      <c r="C49" s="1363">
        <f ca="1">ROUND(F49*F51*F50*(1-F52)/10000,0)</f>
        <v>0</v>
      </c>
      <c r="D49" s="1275" t="s">
        <v>3022</v>
      </c>
      <c r="E49" s="1828" t="s">
        <v>1486</v>
      </c>
      <c r="F49" s="1280"/>
      <c r="G49" s="1889"/>
      <c r="H49" s="793"/>
      <c r="I49" s="1885" t="s">
        <v>1529</v>
      </c>
      <c r="J49" s="1890">
        <v>2022</v>
      </c>
      <c r="K49" s="1887" t="s">
        <v>1530</v>
      </c>
      <c r="L49" s="1891"/>
      <c r="O49" s="1892" t="s">
        <v>1039</v>
      </c>
      <c r="P49" s="1883" t="s">
        <v>1531</v>
      </c>
      <c r="Q49" s="1884">
        <f ca="1">C29</f>
        <v>0</v>
      </c>
      <c r="R49" s="1884" t="s">
        <v>1524</v>
      </c>
    </row>
    <row r="50" spans="1:18" s="1840" customFormat="1" ht="13.8" thickBot="1">
      <c r="A50" s="1194"/>
      <c r="B50" s="1197"/>
      <c r="C50" s="1367"/>
      <c r="D50" s="1171"/>
      <c r="E50" s="1276" t="s">
        <v>1401</v>
      </c>
      <c r="F50" s="1277">
        <f ca="1">F7</f>
        <v>0</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8" thickBot="1">
      <c r="A51" s="1195"/>
      <c r="B51" s="1197"/>
      <c r="C51" s="1198"/>
      <c r="D51" s="1171"/>
      <c r="E51" s="1199" t="s">
        <v>1402</v>
      </c>
      <c r="F51" s="348">
        <f ca="1">F8</f>
        <v>365</v>
      </c>
      <c r="I51" s="1896" t="s">
        <v>1535</v>
      </c>
      <c r="J51" s="1897">
        <f>IF(J49="",J50,J49+J50-YEAR('数据-取费表'!B2))</f>
        <v>63</v>
      </c>
      <c r="K51" s="1898" t="s">
        <v>1536</v>
      </c>
      <c r="L51" s="1899">
        <f ca="1">ROUND(-PV(INDIRECT("'数据-取费表'!h"&amp;$G$1),L48,(C39-C13*C76),0),0)</f>
        <v>0</v>
      </c>
      <c r="M51" s="1900"/>
      <c r="O51" s="1892" t="s">
        <v>1041</v>
      </c>
      <c r="P51" s="1883" t="s">
        <v>1537</v>
      </c>
      <c r="Q51" s="1895">
        <f>J52</f>
        <v>0.09</v>
      </c>
      <c r="R51" s="1884"/>
    </row>
    <row r="52" spans="1:18" s="1840" customFormat="1" ht="13.8" thickBot="1">
      <c r="A52" s="1195"/>
      <c r="B52" s="1197"/>
      <c r="C52" s="1198"/>
      <c r="D52" s="1171"/>
      <c r="E52" s="1199" t="s">
        <v>1403</v>
      </c>
      <c r="F52" s="1274"/>
      <c r="I52" s="1901" t="s">
        <v>1538</v>
      </c>
      <c r="J52" s="1902">
        <v>0.09</v>
      </c>
      <c r="K52" s="1901" t="s">
        <v>1539</v>
      </c>
      <c r="L52" s="1902"/>
      <c r="O52" s="1892" t="s">
        <v>1042</v>
      </c>
      <c r="P52" s="1883" t="s">
        <v>1540</v>
      </c>
      <c r="Q52" s="1884">
        <f ca="1">J53</f>
        <v>60.33</v>
      </c>
      <c r="R52" s="1884" t="s">
        <v>1541</v>
      </c>
    </row>
    <row r="53" spans="1:18" s="1840" customFormat="1" ht="36.6" thickBot="1">
      <c r="A53" s="1404" t="s">
        <v>1134</v>
      </c>
      <c r="B53" s="1829" t="s">
        <v>1404</v>
      </c>
      <c r="C53" s="361">
        <f ca="1">ROUND(IF(F53="押一",C49/12*F11,IF(F53="押二",C49/12*2*F11,IF(F53="押三",C49/12*3*F11,C54*F11))),0)</f>
        <v>0</v>
      </c>
      <c r="D53" s="1822" t="s">
        <v>3029</v>
      </c>
      <c r="E53" s="358" t="s">
        <v>1405</v>
      </c>
      <c r="F53" s="1365"/>
      <c r="I53" s="1903" t="s">
        <v>1542</v>
      </c>
      <c r="J53" s="2944">
        <f ca="1">IF(M47="住宅",IF(D1="——",MAX(J51,L48),MAX(J51,L48-'数据-取费表'!B24)),IF(D1="——",MIN(J51,L48),MIN(J51,L48-'数据-取费表'!B24)))</f>
        <v>60.33</v>
      </c>
      <c r="K53" s="3175" t="s">
        <v>1543</v>
      </c>
      <c r="L53" s="3176"/>
      <c r="O53" s="1882" t="s">
        <v>1043</v>
      </c>
      <c r="P53" s="1883" t="s">
        <v>1544</v>
      </c>
      <c r="Q53" s="1884">
        <f ca="1">Q47+Q48</f>
        <v>0</v>
      </c>
      <c r="R53" s="1884" t="s">
        <v>1044</v>
      </c>
    </row>
    <row r="54" spans="1:18" s="1840" customFormat="1" ht="24.6" thickBot="1">
      <c r="A54" s="1405"/>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8"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37.200000000000003" thickTop="1" thickBot="1">
      <c r="A56" s="1175">
        <v>2</v>
      </c>
      <c r="B56" s="1176" t="s">
        <v>1409</v>
      </c>
      <c r="C56" s="276">
        <f ca="1">C13</f>
        <v>0</v>
      </c>
      <c r="D56" s="1911"/>
      <c r="E56" s="1912"/>
      <c r="F56" s="1904"/>
      <c r="I56" s="1913" t="s">
        <v>1549</v>
      </c>
      <c r="J56" s="1914" t="s">
        <v>3412</v>
      </c>
      <c r="K56" s="1885" t="s">
        <v>1550</v>
      </c>
      <c r="L56" s="1888" t="str">
        <f ca="1">IF(L48&lt;J51,"——",L48-J53)</f>
        <v>——</v>
      </c>
      <c r="O56" s="1882" t="s">
        <v>1037</v>
      </c>
      <c r="P56" s="1883" t="s">
        <v>1523</v>
      </c>
      <c r="Q56" s="1884">
        <f ca="1">C40+J29</f>
        <v>0</v>
      </c>
      <c r="R56" s="1884" t="s">
        <v>1524</v>
      </c>
    </row>
    <row r="57" spans="1:18" s="1840" customFormat="1" ht="24.6" thickBot="1">
      <c r="A57" s="1915"/>
      <c r="B57" s="1168" t="s">
        <v>1473</v>
      </c>
      <c r="C57" s="282">
        <f ca="1">C29</f>
        <v>0</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6" thickBot="1">
      <c r="A58" s="360" t="s">
        <v>1027</v>
      </c>
      <c r="B58" s="1176" t="s">
        <v>1419</v>
      </c>
      <c r="C58" s="361">
        <f ca="1">ROUND(C59+C64+C65+C66,0)</f>
        <v>0</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ROUND(IF(项目基本情况!B11="自然人",C48*F59,C60+C61+C62),1)</f>
        <v>0</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IF(项目基本情况!B11="自然人","——",IF(D61="按租金收入计税",ROUND(C48*F61,2),IF(D61="按房产原值计税",ROUND(C57*F61*0.7,2),INDIRECT("'数据-取费表'!Aj"&amp;$G$1))))</f>
        <v>0</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IF(项目基本情况!B11="自然人","——",ROUND(F62*F63/10000,2))</f>
        <v>0</v>
      </c>
      <c r="D62" s="1183" t="s">
        <v>1492</v>
      </c>
      <c r="E62" s="1168" t="s">
        <v>1493</v>
      </c>
      <c r="F62" s="371">
        <f t="shared" si="0"/>
        <v>1.5</v>
      </c>
      <c r="I62" s="1926" t="s">
        <v>1565</v>
      </c>
      <c r="J62" s="1927" t="s">
        <v>1566</v>
      </c>
      <c r="K62" s="1927" t="s">
        <v>1567</v>
      </c>
      <c r="L62" s="1927" t="s">
        <v>1568</v>
      </c>
      <c r="M62" s="1928" t="s">
        <v>1569</v>
      </c>
      <c r="O62" s="1882" t="s">
        <v>1043</v>
      </c>
      <c r="P62" s="1883" t="s">
        <v>1570</v>
      </c>
      <c r="Q62" s="1884">
        <f ca="1">Q56+Q57</f>
        <v>0</v>
      </c>
      <c r="R62" s="1884" t="s">
        <v>1044</v>
      </c>
    </row>
    <row r="63" spans="1:18" s="1840" customFormat="1" ht="13.8"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f ca="1">ROUND(C57*F64,1)</f>
        <v>0</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f ca="1">ROUND(C56*F65,1)</f>
        <v>0</v>
      </c>
      <c r="D65" s="1182" t="s">
        <v>1449</v>
      </c>
      <c r="E65" s="1168" t="s">
        <v>1450</v>
      </c>
      <c r="F65" s="376">
        <f t="shared" ca="1" si="0"/>
        <v>1.5E-3</v>
      </c>
      <c r="I65" s="1926" t="s">
        <v>1574</v>
      </c>
      <c r="J65" s="1927">
        <v>40</v>
      </c>
      <c r="K65" s="1927">
        <v>30</v>
      </c>
      <c r="L65" s="1927">
        <v>50</v>
      </c>
      <c r="M65" s="1929">
        <v>0.02</v>
      </c>
      <c r="O65" s="1882" t="s">
        <v>1037</v>
      </c>
      <c r="P65" s="1883" t="s">
        <v>1575</v>
      </c>
      <c r="Q65" s="1884">
        <f ca="1">C40+J29</f>
        <v>0</v>
      </c>
      <c r="R65" s="1884" t="s">
        <v>1524</v>
      </c>
    </row>
    <row r="66" spans="1:18" s="1840" customFormat="1" ht="16.2"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24.6"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2" thickBot="1">
      <c r="A68" s="1165" t="s">
        <v>1029</v>
      </c>
      <c r="B68" s="1166" t="s">
        <v>1480</v>
      </c>
      <c r="C68" s="346">
        <f ca="1">ROUND(C67*(1-((1+F70)/(1+F68))^F69)/(F68-F70),0)</f>
        <v>0</v>
      </c>
      <c r="D68" s="1183" t="s">
        <v>1464</v>
      </c>
      <c r="E68" s="1168" t="s">
        <v>1465</v>
      </c>
      <c r="F68" s="357">
        <f ca="1">F40</f>
        <v>0.06</v>
      </c>
      <c r="O68" s="1892" t="s">
        <v>1040</v>
      </c>
      <c r="P68" s="1931" t="s">
        <v>1578</v>
      </c>
      <c r="Q68" s="1884">
        <f ca="1">ROUND(Q69-Q70*Q71,0)</f>
        <v>0</v>
      </c>
      <c r="R68" s="1884" t="s">
        <v>1048</v>
      </c>
    </row>
    <row r="69" spans="1:18" s="1840" customFormat="1" ht="13.8" thickBot="1">
      <c r="A69" s="1169"/>
      <c r="B69" s="1170"/>
      <c r="C69" s="351"/>
      <c r="D69" s="1188" t="s">
        <v>1468</v>
      </c>
      <c r="E69" s="1168" t="s">
        <v>1469</v>
      </c>
      <c r="F69" s="379">
        <f ca="1">F41</f>
        <v>60.33</v>
      </c>
      <c r="O69" s="1892" t="s">
        <v>1045</v>
      </c>
      <c r="P69" s="1931" t="s">
        <v>1579</v>
      </c>
      <c r="Q69" s="1884">
        <f ca="1">C39</f>
        <v>0</v>
      </c>
      <c r="R69" s="1884" t="s">
        <v>1524</v>
      </c>
    </row>
    <row r="70" spans="1:18" s="1840" customFormat="1" ht="13.8" thickBot="1">
      <c r="A70" s="1172"/>
      <c r="B70" s="1173"/>
      <c r="C70" s="355"/>
      <c r="D70" s="1184"/>
      <c r="E70" s="1168" t="s">
        <v>1472</v>
      </c>
      <c r="F70" s="1274"/>
      <c r="O70" s="1892" t="s">
        <v>1046</v>
      </c>
      <c r="P70" s="1931" t="s">
        <v>1580</v>
      </c>
      <c r="Q70" s="1884">
        <f ca="1">C13</f>
        <v>0</v>
      </c>
      <c r="R70" s="1884" t="s">
        <v>1524</v>
      </c>
    </row>
    <row r="71" spans="1:18" s="1840" customFormat="1" ht="13.8" thickBot="1">
      <c r="A71" s="1189" t="s">
        <v>1030</v>
      </c>
      <c r="B71" s="1190" t="s">
        <v>1482</v>
      </c>
      <c r="C71" s="382" t="e">
        <f ca="1">ROUND(C68*10000/F71,0)</f>
        <v>#DIV/0!</v>
      </c>
      <c r="D71" s="1191" t="s">
        <v>1483</v>
      </c>
      <c r="E71" s="1192" t="s">
        <v>1484</v>
      </c>
      <c r="F71" s="385">
        <f ca="1">F43</f>
        <v>0</v>
      </c>
      <c r="O71" s="1892" t="s">
        <v>1047</v>
      </c>
      <c r="P71" s="1931" t="s">
        <v>1581</v>
      </c>
      <c r="Q71" s="1895">
        <f ca="1">C76</f>
        <v>8.5000000000000006E-2</v>
      </c>
      <c r="R71" s="1884"/>
    </row>
    <row r="72" spans="1:18" s="1840" customFormat="1" ht="13.8" thickBot="1">
      <c r="B72" s="796"/>
      <c r="C72" s="796"/>
      <c r="O72" s="1892" t="s">
        <v>1041</v>
      </c>
      <c r="P72" s="1883" t="s">
        <v>1559</v>
      </c>
      <c r="Q72" s="1895">
        <f>L52</f>
        <v>0</v>
      </c>
      <c r="R72" s="1884"/>
    </row>
    <row r="73" spans="1:18" ht="16.2" thickBot="1">
      <c r="A73" s="1840"/>
      <c r="B73" s="796"/>
      <c r="C73" s="796"/>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8" thickBot="1">
      <c r="A75" s="1840"/>
      <c r="B75" s="386" t="s">
        <v>1501</v>
      </c>
      <c r="C75" s="387">
        <f ca="1">ROUND(C13*C76,0)</f>
        <v>0</v>
      </c>
      <c r="D75" s="1840"/>
      <c r="E75" s="1840"/>
      <c r="F75" s="1840"/>
      <c r="K75" s="1866"/>
      <c r="L75" s="1840"/>
      <c r="O75" s="1882" t="s">
        <v>1043</v>
      </c>
      <c r="P75" s="1883" t="s">
        <v>1544</v>
      </c>
      <c r="Q75" s="1884">
        <f ca="1">Q65+Q66</f>
        <v>0</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sqref="A1:XFD104857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2"/>
      <c r="C1" s="1835"/>
      <c r="D1" s="1818"/>
      <c r="E1" s="1819" t="s">
        <v>1382</v>
      </c>
      <c r="F1" s="1282">
        <f ca="1">J53</f>
        <v>-1.2</v>
      </c>
      <c r="G1" s="1834">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0</v>
      </c>
      <c r="D5" s="1820" t="s">
        <v>1596</v>
      </c>
      <c r="E5" s="1292"/>
      <c r="F5" s="1293"/>
      <c r="G5" s="1849"/>
      <c r="H5" s="344">
        <v>1</v>
      </c>
      <c r="I5" s="345" t="s">
        <v>1595</v>
      </c>
      <c r="J5" s="1291">
        <f ca="1">J6+J10+J12</f>
        <v>0</v>
      </c>
      <c r="K5" s="1820" t="s">
        <v>1596</v>
      </c>
      <c r="L5" s="1292"/>
      <c r="M5" s="1293"/>
    </row>
    <row r="6" spans="1:37" ht="18" customHeight="1">
      <c r="A6" s="1290" t="s">
        <v>1032</v>
      </c>
      <c r="B6" s="3177" t="s">
        <v>1398</v>
      </c>
      <c r="C6" s="1295">
        <f ca="1">ROUND(F6*F8*F7*(1-F9),0)</f>
        <v>0</v>
      </c>
      <c r="D6" s="164" t="s">
        <v>3018</v>
      </c>
      <c r="E6" s="347" t="s">
        <v>1400</v>
      </c>
      <c r="F6" s="348">
        <f ca="1">INDIRECT("'数据-取费表'!u"&amp;$G$1)</f>
        <v>0</v>
      </c>
      <c r="G6" s="1849"/>
      <c r="H6" s="1290" t="s">
        <v>1032</v>
      </c>
      <c r="I6" s="3177" t="s">
        <v>1398</v>
      </c>
      <c r="J6" s="346">
        <f ca="1">ROUND(M6*M8*M7*(1-M9),0)</f>
        <v>0</v>
      </c>
      <c r="K6" s="1832" t="s">
        <v>3019</v>
      </c>
      <c r="L6" s="347" t="s">
        <v>1400</v>
      </c>
      <c r="M6" s="348">
        <f ca="1">INDIRECT("'数据-取费表'!z"&amp;$G$1)</f>
        <v>0</v>
      </c>
    </row>
    <row r="7" spans="1:37" ht="18" customHeight="1">
      <c r="A7" s="1294"/>
      <c r="B7" s="3178"/>
      <c r="C7" s="1296"/>
      <c r="D7" s="352"/>
      <c r="E7" s="1297" t="s">
        <v>1401</v>
      </c>
      <c r="F7" s="348">
        <f ca="1">IF(INDIRECT("'数据-取费表'!ah"&amp;$G$1)="",INDIRECT("'数据-取费表'!k"&amp;$G$1),INDIRECT("'数据-取费表'!ah"&amp;$G$1))</f>
        <v>0</v>
      </c>
      <c r="G7" s="1849"/>
      <c r="H7" s="349"/>
      <c r="I7" s="3178"/>
      <c r="J7" s="351"/>
      <c r="K7" s="352"/>
      <c r="L7" s="347" t="s">
        <v>1401</v>
      </c>
      <c r="M7" s="348">
        <f ca="1">F7</f>
        <v>0</v>
      </c>
    </row>
    <row r="8" spans="1:37" ht="18" customHeight="1">
      <c r="A8" s="349"/>
      <c r="B8" s="3178"/>
      <c r="C8" s="351"/>
      <c r="D8" s="352"/>
      <c r="E8" s="347" t="s">
        <v>1402</v>
      </c>
      <c r="F8" s="348">
        <f ca="1">INDIRECT("'数据-取费表'!ai"&amp;$G$1)</f>
        <v>0</v>
      </c>
      <c r="G8" s="1849"/>
      <c r="H8" s="349"/>
      <c r="I8" s="3178"/>
      <c r="J8" s="351"/>
      <c r="K8" s="352"/>
      <c r="L8" s="347" t="s">
        <v>1402</v>
      </c>
      <c r="M8" s="348">
        <f ca="1">INDIRECT("'数据-取费表'!ai"&amp;$G$1)</f>
        <v>0</v>
      </c>
    </row>
    <row r="9" spans="1:37" ht="18" customHeight="1">
      <c r="A9" s="349"/>
      <c r="B9" s="3179"/>
      <c r="C9" s="351"/>
      <c r="D9" s="352"/>
      <c r="E9" s="347" t="s">
        <v>1403</v>
      </c>
      <c r="F9" s="357">
        <f ca="1">INDIRECT("'数据-取费表'!w"&amp;$G$1)</f>
        <v>0</v>
      </c>
      <c r="G9" s="1849"/>
      <c r="H9" s="349"/>
      <c r="I9" s="3179"/>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3029</v>
      </c>
      <c r="E10" s="358" t="s">
        <v>1405</v>
      </c>
      <c r="F10" s="1365"/>
      <c r="G10" s="1849"/>
      <c r="H10" s="1290" t="s">
        <v>1036</v>
      </c>
      <c r="I10" s="1821" t="s">
        <v>1404</v>
      </c>
      <c r="J10" s="346">
        <f ca="1">ROUND(IF(M10="押一",J6/12*M11,IF(M10="押二",J6/12*2*M11,IF(M10="押三",J6/12*3*M11,J11*M11))),0)</f>
        <v>0</v>
      </c>
      <c r="K10" s="1833" t="s">
        <v>3031</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9"/>
      <c r="M14" s="980"/>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ROUND(M20*M21,0)</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f>
        <v>0</v>
      </c>
      <c r="D34" s="370" t="s">
        <v>1437</v>
      </c>
      <c r="E34" s="347" t="s">
        <v>1438</v>
      </c>
      <c r="F34" s="371">
        <f>'数据-取费表'!B52</f>
        <v>1.5</v>
      </c>
      <c r="G34" s="1849"/>
      <c r="H34" s="745"/>
      <c r="I34" s="1858"/>
      <c r="J34" s="1859"/>
      <c r="K34" s="1861"/>
      <c r="L34" s="1862"/>
      <c r="M34" s="1862"/>
    </row>
    <row r="35" spans="1:18" ht="18" customHeight="1">
      <c r="A35" s="1352"/>
      <c r="B35" s="1350"/>
      <c r="C35" s="29"/>
      <c r="D35" s="373"/>
      <c r="E35" s="347" t="s">
        <v>1442</v>
      </c>
      <c r="F35" s="348">
        <f ca="1">INDIRECT("'数据-取费表'!r"&amp;$G$1)</f>
        <v>0</v>
      </c>
      <c r="G35" s="1849"/>
      <c r="H35" s="745"/>
      <c r="I35" s="1858"/>
      <c r="J35" s="1859"/>
      <c r="K35" s="1860"/>
      <c r="L35" s="1857"/>
      <c r="M35" s="1857"/>
    </row>
    <row r="36" spans="1:18" ht="18" customHeight="1">
      <c r="A36" s="1351"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8"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8" thickBot="1">
      <c r="A47" s="1164" t="s">
        <v>1391</v>
      </c>
      <c r="B47" s="1196" t="s">
        <v>1392</v>
      </c>
      <c r="C47" s="1196" t="s">
        <v>1393</v>
      </c>
      <c r="D47" s="1196" t="s">
        <v>1394</v>
      </c>
      <c r="E47" s="1278" t="s">
        <v>1395</v>
      </c>
      <c r="F47" s="1279"/>
      <c r="G47" s="792"/>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40.200000000000003" thickBot="1">
      <c r="A48" s="1359" t="s">
        <v>1132</v>
      </c>
      <c r="B48" s="345" t="s">
        <v>1396</v>
      </c>
      <c r="C48" s="1815">
        <f ca="1">C49+C53+C55</f>
        <v>0</v>
      </c>
      <c r="D48" s="1361"/>
      <c r="E48" s="1362"/>
      <c r="F48" s="1180"/>
      <c r="G48" s="792"/>
      <c r="H48" s="793"/>
      <c r="I48" s="1885" t="s">
        <v>1525</v>
      </c>
      <c r="J48" s="1886"/>
      <c r="K48" s="1887" t="s">
        <v>1526</v>
      </c>
      <c r="L48" s="1888">
        <f ca="1">INDIRECT("'数据-取费表'!f"&amp;$G$1)</f>
        <v>0</v>
      </c>
      <c r="O48" s="1882" t="s">
        <v>1038</v>
      </c>
      <c r="P48" s="1883" t="s">
        <v>1527</v>
      </c>
      <c r="Q48" s="1884" t="e">
        <f ca="1">J60</f>
        <v>#DIV/0!</v>
      </c>
      <c r="R48" s="1884" t="s">
        <v>1528</v>
      </c>
    </row>
    <row r="49" spans="1:18" s="1840" customFormat="1" ht="13.8" thickBot="1">
      <c r="A49" s="1193" t="s">
        <v>1133</v>
      </c>
      <c r="B49" s="1827" t="s">
        <v>1485</v>
      </c>
      <c r="C49" s="1363">
        <f ca="1">ROUND(F49*F51*F50*(1-F52),0)</f>
        <v>0</v>
      </c>
      <c r="D49" s="1275" t="s">
        <v>1399</v>
      </c>
      <c r="E49" s="1828" t="s">
        <v>1486</v>
      </c>
      <c r="F49" s="1280"/>
      <c r="G49" s="1889"/>
      <c r="H49" s="793"/>
      <c r="I49" s="1885" t="s">
        <v>1529</v>
      </c>
      <c r="J49" s="1890"/>
      <c r="K49" s="1887" t="s">
        <v>1530</v>
      </c>
      <c r="L49" s="1891"/>
      <c r="O49" s="1892" t="s">
        <v>1039</v>
      </c>
      <c r="P49" s="1883" t="s">
        <v>1531</v>
      </c>
      <c r="Q49" s="1884">
        <f ca="1">C29</f>
        <v>0</v>
      </c>
      <c r="R49" s="1884" t="s">
        <v>1524</v>
      </c>
    </row>
    <row r="50" spans="1:18" s="1840" customFormat="1" ht="13.8" thickBot="1">
      <c r="A50" s="1194"/>
      <c r="B50" s="1197"/>
      <c r="C50" s="1198"/>
      <c r="D50" s="1171"/>
      <c r="E50" s="1276" t="s">
        <v>1401</v>
      </c>
      <c r="F50" s="1277">
        <f ca="1">F7</f>
        <v>0</v>
      </c>
      <c r="H50" s="793"/>
      <c r="I50" s="1885" t="s">
        <v>1532</v>
      </c>
      <c r="J50" s="1893">
        <f>SUMPRODUCT((I63:I65=J47)*(J62:L62=J48)*(J63:L65))</f>
        <v>0</v>
      </c>
      <c r="K50" s="1887" t="s">
        <v>1533</v>
      </c>
      <c r="L50" s="1891"/>
      <c r="M50" s="1894"/>
      <c r="O50" s="1892" t="s">
        <v>1040</v>
      </c>
      <c r="P50" s="1883" t="s">
        <v>1534</v>
      </c>
      <c r="Q50" s="1895" t="e">
        <f ca="1">J58</f>
        <v>#DIV/0!</v>
      </c>
      <c r="R50" s="1884"/>
    </row>
    <row r="51" spans="1:18" s="1840" customFormat="1" ht="13.8"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8" thickBot="1">
      <c r="A52" s="1195"/>
      <c r="B52" s="1197"/>
      <c r="C52" s="1198"/>
      <c r="D52" s="1171"/>
      <c r="E52" s="1199" t="s">
        <v>1403</v>
      </c>
      <c r="F52" s="1274"/>
      <c r="I52" s="1901" t="s">
        <v>1538</v>
      </c>
      <c r="J52" s="1902"/>
      <c r="K52" s="1901" t="s">
        <v>1539</v>
      </c>
      <c r="L52" s="1902"/>
      <c r="O52" s="1892" t="s">
        <v>1042</v>
      </c>
      <c r="P52" s="1883" t="s">
        <v>1540</v>
      </c>
      <c r="Q52" s="1884">
        <f ca="1">J53</f>
        <v>-1.2</v>
      </c>
      <c r="R52" s="1884" t="s">
        <v>1541</v>
      </c>
    </row>
    <row r="53" spans="1:18" s="1840" customFormat="1" ht="30.75" customHeight="1" thickBot="1">
      <c r="A53" s="1360" t="s">
        <v>1134</v>
      </c>
      <c r="B53" s="369" t="s">
        <v>1404</v>
      </c>
      <c r="C53" s="361">
        <f ca="1">ROUND(IF(F53="押一",C49/12*F11,IF(F53="押二",C49/12*2*F11,IF(F53="押三",C49/12*3*F11,C54*F11))),0)</f>
        <v>0</v>
      </c>
      <c r="D53" s="1822" t="s">
        <v>3032</v>
      </c>
      <c r="E53" s="358" t="s">
        <v>1405</v>
      </c>
      <c r="F53" s="1365"/>
      <c r="I53" s="1903" t="s">
        <v>1542</v>
      </c>
      <c r="J53" s="2944">
        <f ca="1">IF(M47="住宅",IF(D1="——",MAX(J51,L48),MAX(J51,L48-'数据-取费表'!B24)),IF(D1="——",MIN(J51,L48),MIN(J51,L48-'数据-取费表'!B24)))</f>
        <v>-1.2</v>
      </c>
      <c r="K53" s="3175" t="s">
        <v>1543</v>
      </c>
      <c r="L53" s="3176"/>
      <c r="O53" s="1882" t="s">
        <v>1043</v>
      </c>
      <c r="P53" s="1883" t="s">
        <v>1544</v>
      </c>
      <c r="Q53" s="1884" t="e">
        <f ca="1">Q47+Q48</f>
        <v>#DIV/0!</v>
      </c>
      <c r="R53" s="1884" t="s">
        <v>1044</v>
      </c>
    </row>
    <row r="54" spans="1:18" s="1840" customFormat="1" ht="13.8"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8" thickBot="1">
      <c r="A55" s="1332" t="s">
        <v>1072</v>
      </c>
      <c r="B55" s="1825" t="s">
        <v>1408</v>
      </c>
      <c r="C55" s="1333"/>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6" thickBot="1">
      <c r="A57" s="1915"/>
      <c r="B57" s="1168"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6" thickBot="1">
      <c r="A58" s="360" t="s">
        <v>1027</v>
      </c>
      <c r="B58" s="1176" t="s">
        <v>1419</v>
      </c>
      <c r="C58" s="361">
        <f ca="1">ROUND(C59+C64+C65+C66,0)</f>
        <v>0</v>
      </c>
      <c r="D58" s="1178" t="s">
        <v>1420</v>
      </c>
      <c r="E58" s="1179"/>
      <c r="F58" s="1180"/>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IF(项目基本情况!B11="自然人","——",ROUND(F62*F63,0))</f>
        <v>0</v>
      </c>
      <c r="D62" s="1183" t="s">
        <v>1492</v>
      </c>
      <c r="E62" s="1168" t="s">
        <v>1493</v>
      </c>
      <c r="F62" s="371">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8"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2"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24.6"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2"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8" thickBot="1">
      <c r="A69" s="1169"/>
      <c r="B69" s="1170"/>
      <c r="C69" s="351"/>
      <c r="D69" s="1188" t="s">
        <v>1468</v>
      </c>
      <c r="E69" s="1168" t="s">
        <v>1469</v>
      </c>
      <c r="F69" s="379">
        <f ca="1">F41</f>
        <v>0</v>
      </c>
      <c r="O69" s="1892" t="s">
        <v>1045</v>
      </c>
      <c r="P69" s="1931" t="s">
        <v>1579</v>
      </c>
      <c r="Q69" s="1884">
        <f ca="1">C39</f>
        <v>0</v>
      </c>
      <c r="R69" s="1884" t="s">
        <v>1524</v>
      </c>
    </row>
    <row r="70" spans="1:18" s="1840" customFormat="1" ht="13.8" thickBot="1">
      <c r="A70" s="1172"/>
      <c r="B70" s="1173"/>
      <c r="C70" s="355"/>
      <c r="D70" s="1184"/>
      <c r="E70" s="1168" t="s">
        <v>1472</v>
      </c>
      <c r="F70" s="1274">
        <f ca="1">F42</f>
        <v>0</v>
      </c>
      <c r="O70" s="1892" t="s">
        <v>1046</v>
      </c>
      <c r="P70" s="1931" t="s">
        <v>1580</v>
      </c>
      <c r="Q70" s="1884">
        <f ca="1">C13</f>
        <v>0</v>
      </c>
      <c r="R70" s="1884" t="s">
        <v>1524</v>
      </c>
    </row>
    <row r="71" spans="1:18" s="1840" customFormat="1" ht="13.8"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8" thickBot="1">
      <c r="B72" s="796"/>
      <c r="C72" s="796"/>
      <c r="O72" s="1892" t="s">
        <v>1041</v>
      </c>
      <c r="P72" s="1883" t="s">
        <v>1559</v>
      </c>
      <c r="Q72" s="1895">
        <f>L52</f>
        <v>0</v>
      </c>
      <c r="R72" s="1884"/>
    </row>
    <row r="73" spans="1:18" ht="16.2" thickBot="1">
      <c r="A73" s="1840"/>
      <c r="B73" s="796"/>
      <c r="C73" s="796"/>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8"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6" t="s">
        <v>2515</v>
      </c>
      <c r="B1" s="2557"/>
      <c r="C1" s="2557"/>
      <c r="D1" s="2557"/>
      <c r="E1" s="2558"/>
    </row>
    <row r="2" spans="1:6" ht="15.6">
      <c r="A2" s="2559" t="s">
        <v>2319</v>
      </c>
      <c r="B2" s="2560">
        <f ca="1">SUMIF(B6:B13,"&lt;&gt;#ref!",B6:B13)</f>
        <v>0</v>
      </c>
      <c r="C2" s="2561" t="s">
        <v>2508</v>
      </c>
      <c r="D2" s="2562" t="s">
        <v>2509</v>
      </c>
      <c r="E2" s="2563">
        <f>SUM(E6:E13)</f>
        <v>0</v>
      </c>
    </row>
    <row r="3" spans="1:6" ht="15.6">
      <c r="A3" s="2559" t="s">
        <v>1390</v>
      </c>
      <c r="B3" s="2560" t="e">
        <f ca="1">ROUND(B2*10000/E2,0)</f>
        <v>#DIV/0!</v>
      </c>
      <c r="C3" s="2561" t="s">
        <v>2516</v>
      </c>
      <c r="D3" s="2564"/>
      <c r="E3" s="2565"/>
    </row>
    <row r="4" spans="1:6" ht="15.6">
      <c r="A4" s="2566"/>
      <c r="B4" s="2564"/>
      <c r="C4" s="2564"/>
      <c r="D4" s="2564"/>
      <c r="E4" s="2565"/>
    </row>
    <row r="5" spans="1:6" ht="14.4">
      <c r="A5" s="2567" t="s">
        <v>2510</v>
      </c>
      <c r="B5" s="3180" t="s">
        <v>2511</v>
      </c>
      <c r="C5" s="3180"/>
      <c r="D5" s="2568"/>
      <c r="E5" s="2569" t="s">
        <v>2512</v>
      </c>
      <c r="F5" s="2570" t="s">
        <v>2513</v>
      </c>
    </row>
    <row r="6" spans="1:6" ht="14.4">
      <c r="A6" s="2571">
        <f>'数据-取费表'!AN6</f>
        <v>0</v>
      </c>
      <c r="B6" s="2570" t="e">
        <f ca="1">IF(F6="是",'数据-取费表'!AO6,0)</f>
        <v>#REF!</v>
      </c>
      <c r="C6" s="2561" t="s">
        <v>2508</v>
      </c>
      <c r="D6" s="2564"/>
      <c r="E6" s="2572">
        <f>IF(OR(A6=0,F6="否"),0,'数据-取费表'!K6+'数据-取费表'!S6)</f>
        <v>0</v>
      </c>
      <c r="F6" s="2573" t="s">
        <v>2514</v>
      </c>
    </row>
    <row r="7" spans="1:6" ht="14.4">
      <c r="A7" s="2571" t="str">
        <f>'数据-取费表'!AN7</f>
        <v>收益法</v>
      </c>
      <c r="B7" s="2570">
        <f ca="1">IF(F7="是",'数据-取费表'!AO7,0)</f>
        <v>0</v>
      </c>
      <c r="C7" s="2561" t="s">
        <v>2508</v>
      </c>
      <c r="D7" s="2564"/>
      <c r="E7" s="2572">
        <f>IF(OR(A7=0,F7="否"),0,'数据-取费表'!K7+'数据-取费表'!S7)</f>
        <v>0</v>
      </c>
      <c r="F7" s="2573" t="s">
        <v>2514</v>
      </c>
    </row>
    <row r="8" spans="1:6" ht="14.4">
      <c r="A8" s="2571">
        <f>'数据-取费表'!AN8</f>
        <v>0</v>
      </c>
      <c r="B8" s="2570" t="e">
        <f ca="1">IF(F8="是",'数据-取费表'!AO8,0)</f>
        <v>#REF!</v>
      </c>
      <c r="C8" s="2561" t="s">
        <v>2508</v>
      </c>
      <c r="D8" s="2564"/>
      <c r="E8" s="2572">
        <f>IF(OR(A8=0,F8="否"),0,'数据-取费表'!K8+'数据-取费表'!S8)</f>
        <v>0</v>
      </c>
      <c r="F8" s="2573" t="s">
        <v>2514</v>
      </c>
    </row>
    <row r="9" spans="1:6" ht="14.4">
      <c r="A9" s="2571">
        <f>'数据-取费表'!AN9</f>
        <v>0</v>
      </c>
      <c r="B9" s="2570" t="e">
        <f ca="1">IF(F9="是",'数据-取费表'!AO9,0)</f>
        <v>#REF!</v>
      </c>
      <c r="C9" s="2561" t="s">
        <v>2508</v>
      </c>
      <c r="D9" s="2564"/>
      <c r="E9" s="2572">
        <f>IF(OR(A9=0,F9="否"),0,'数据-取费表'!K9+'数据-取费表'!S9)</f>
        <v>0</v>
      </c>
      <c r="F9" s="2573" t="s">
        <v>2514</v>
      </c>
    </row>
    <row r="10" spans="1:6" ht="14.4">
      <c r="A10" s="2571">
        <f>'数据-取费表'!AN10</f>
        <v>0</v>
      </c>
      <c r="B10" s="2570" t="e">
        <f ca="1">IF(F10="是",'数据-取费表'!AO10,0)</f>
        <v>#REF!</v>
      </c>
      <c r="C10" s="2561" t="s">
        <v>2508</v>
      </c>
      <c r="D10" s="2564"/>
      <c r="E10" s="2572">
        <f>IF(OR(A10=0,F10="否"),0,'数据-取费表'!K10+'数据-取费表'!S10)</f>
        <v>0</v>
      </c>
      <c r="F10" s="2573" t="s">
        <v>2514</v>
      </c>
    </row>
    <row r="11" spans="1:6" ht="14.4">
      <c r="A11" s="2571">
        <f>'数据-取费表'!AN11</f>
        <v>0</v>
      </c>
      <c r="B11" s="2570" t="e">
        <f ca="1">IF(F11="是",'数据-取费表'!AO11,0)</f>
        <v>#REF!</v>
      </c>
      <c r="C11" s="2561" t="s">
        <v>2508</v>
      </c>
      <c r="D11" s="2564"/>
      <c r="E11" s="2572">
        <f>IF(OR(A11=0,F11="否"),0,'数据-取费表'!K11+'数据-取费表'!S11)</f>
        <v>0</v>
      </c>
      <c r="F11" s="2573" t="s">
        <v>2514</v>
      </c>
    </row>
    <row r="12" spans="1:6" ht="14.4">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197" t="s">
        <v>1073</v>
      </c>
      <c r="B1" s="3198"/>
      <c r="C1" s="3199"/>
      <c r="D1" s="3200">
        <f>SUM(I10,I15,I20,I21,I23)</f>
        <v>0</v>
      </c>
      <c r="E1" s="3200"/>
      <c r="F1" s="3200"/>
      <c r="G1" s="3200"/>
      <c r="H1" s="3200"/>
      <c r="I1" s="3201"/>
    </row>
    <row r="2" spans="1:9">
      <c r="A2" s="3187" t="s">
        <v>1074</v>
      </c>
      <c r="B2" s="3188" t="s">
        <v>1075</v>
      </c>
      <c r="C2" s="3188"/>
      <c r="D2" s="1300" t="s">
        <v>1076</v>
      </c>
      <c r="E2" s="1300" t="s">
        <v>1077</v>
      </c>
      <c r="F2" s="1300" t="s">
        <v>1078</v>
      </c>
      <c r="G2" s="1300" t="s">
        <v>1079</v>
      </c>
      <c r="H2" s="1300" t="s">
        <v>1080</v>
      </c>
      <c r="I2" s="1301" t="s">
        <v>1081</v>
      </c>
    </row>
    <row r="3" spans="1:9">
      <c r="A3" s="3187"/>
      <c r="B3" s="3188" t="s">
        <v>1082</v>
      </c>
      <c r="C3" s="3188"/>
      <c r="D3" s="1302"/>
      <c r="E3" s="1300"/>
      <c r="F3" s="1303"/>
      <c r="G3" s="1303"/>
      <c r="H3" s="1304"/>
      <c r="I3" s="1305">
        <f>ROUND(D3*E3*F3*G3*H3/10000,0)</f>
        <v>0</v>
      </c>
    </row>
    <row r="4" spans="1:9">
      <c r="A4" s="3187"/>
      <c r="B4" s="3188" t="s">
        <v>1083</v>
      </c>
      <c r="C4" s="3188"/>
      <c r="D4" s="1302"/>
      <c r="E4" s="1300"/>
      <c r="F4" s="1303"/>
      <c r="G4" s="1303"/>
      <c r="H4" s="1304"/>
      <c r="I4" s="1305">
        <f t="shared" ref="I4:I9" si="0">ROUND(D4*E4*F4*G4*H4/10000,0)</f>
        <v>0</v>
      </c>
    </row>
    <row r="5" spans="1:9">
      <c r="A5" s="3187"/>
      <c r="B5" s="3188" t="s">
        <v>1084</v>
      </c>
      <c r="C5" s="3188"/>
      <c r="D5" s="1302"/>
      <c r="E5" s="1300"/>
      <c r="F5" s="1303"/>
      <c r="G5" s="1303"/>
      <c r="H5" s="1304"/>
      <c r="I5" s="1305">
        <f t="shared" si="0"/>
        <v>0</v>
      </c>
    </row>
    <row r="6" spans="1:9">
      <c r="A6" s="3187"/>
      <c r="B6" s="3188" t="s">
        <v>1085</v>
      </c>
      <c r="C6" s="3188"/>
      <c r="D6" s="1302"/>
      <c r="E6" s="1300"/>
      <c r="F6" s="1303"/>
      <c r="G6" s="1303"/>
      <c r="H6" s="1304"/>
      <c r="I6" s="1305">
        <f t="shared" si="0"/>
        <v>0</v>
      </c>
    </row>
    <row r="7" spans="1:9">
      <c r="A7" s="3187"/>
      <c r="B7" s="3188" t="s">
        <v>1086</v>
      </c>
      <c r="C7" s="3188"/>
      <c r="D7" s="1302"/>
      <c r="E7" s="1300"/>
      <c r="F7" s="1303"/>
      <c r="G7" s="1303"/>
      <c r="H7" s="1304"/>
      <c r="I7" s="1305">
        <f t="shared" si="0"/>
        <v>0</v>
      </c>
    </row>
    <row r="8" spans="1:9">
      <c r="A8" s="3187"/>
      <c r="B8" s="3188" t="s">
        <v>1087</v>
      </c>
      <c r="C8" s="3188"/>
      <c r="D8" s="1302"/>
      <c r="E8" s="1300"/>
      <c r="F8" s="1303"/>
      <c r="G8" s="1303"/>
      <c r="H8" s="1304"/>
      <c r="I8" s="1305">
        <f t="shared" si="0"/>
        <v>0</v>
      </c>
    </row>
    <row r="9" spans="1:9">
      <c r="A9" s="3187"/>
      <c r="B9" s="3188" t="s">
        <v>1088</v>
      </c>
      <c r="C9" s="3188"/>
      <c r="D9" s="1302"/>
      <c r="E9" s="1300"/>
      <c r="F9" s="1303"/>
      <c r="G9" s="1303"/>
      <c r="H9" s="1304"/>
      <c r="I9" s="1305">
        <f t="shared" si="0"/>
        <v>0</v>
      </c>
    </row>
    <row r="10" spans="1:9">
      <c r="A10" s="3187"/>
      <c r="B10" s="3189" t="s">
        <v>1089</v>
      </c>
      <c r="C10" s="3189"/>
      <c r="D10" s="1306"/>
      <c r="E10" s="1306" t="e">
        <f>ROUND(D1*10000/D10/H9,0)</f>
        <v>#DIV/0!</v>
      </c>
      <c r="F10" s="1307"/>
      <c r="G10" s="1307"/>
      <c r="H10" s="1308"/>
      <c r="I10" s="1309">
        <f>SUM(I3:I9)</f>
        <v>0</v>
      </c>
    </row>
    <row r="11" spans="1:9" ht="15.6">
      <c r="A11" s="3187" t="s">
        <v>1090</v>
      </c>
      <c r="B11" s="3188" t="s">
        <v>1091</v>
      </c>
      <c r="C11" s="3188"/>
      <c r="D11" s="1302" t="s">
        <v>1092</v>
      </c>
      <c r="E11" s="1302" t="s">
        <v>1093</v>
      </c>
      <c r="F11" s="1303" t="s">
        <v>1094</v>
      </c>
      <c r="G11" s="1303" t="s">
        <v>1080</v>
      </c>
      <c r="H11" s="1310" t="s">
        <v>1095</v>
      </c>
      <c r="I11" s="1301" t="s">
        <v>1081</v>
      </c>
    </row>
    <row r="12" spans="1:9">
      <c r="A12" s="3187"/>
      <c r="B12" s="3188" t="s">
        <v>1096</v>
      </c>
      <c r="C12" s="3188"/>
      <c r="D12" s="1302"/>
      <c r="E12" s="1302"/>
      <c r="F12" s="1303"/>
      <c r="G12" s="1304"/>
      <c r="H12" s="1311"/>
      <c r="I12" s="1301">
        <f>ROUND(D12*E12*F12*G12/10000,0)</f>
        <v>0</v>
      </c>
    </row>
    <row r="13" spans="1:9">
      <c r="A13" s="3187"/>
      <c r="B13" s="3188" t="s">
        <v>1097</v>
      </c>
      <c r="C13" s="3188"/>
      <c r="D13" s="1302"/>
      <c r="E13" s="1302"/>
      <c r="F13" s="1303"/>
      <c r="G13" s="1304"/>
      <c r="H13" s="1311"/>
      <c r="I13" s="1301">
        <f>ROUND(D13*E13*F13*G13/10000,0)</f>
        <v>0</v>
      </c>
    </row>
    <row r="14" spans="1:9">
      <c r="A14" s="3187"/>
      <c r="B14" s="3188" t="s">
        <v>1098</v>
      </c>
      <c r="C14" s="3188"/>
      <c r="D14" s="1302"/>
      <c r="E14" s="1302"/>
      <c r="F14" s="1303"/>
      <c r="G14" s="1304"/>
      <c r="H14" s="1311"/>
      <c r="I14" s="1301">
        <f>ROUND(D14*E14*F14*G14/10000,0)</f>
        <v>0</v>
      </c>
    </row>
    <row r="15" spans="1:9">
      <c r="A15" s="3187"/>
      <c r="B15" s="3189" t="s">
        <v>1089</v>
      </c>
      <c r="C15" s="3189"/>
      <c r="D15" s="1306"/>
      <c r="E15" s="1306">
        <f>SUM(E12:E14)</f>
        <v>0</v>
      </c>
      <c r="F15" s="1307"/>
      <c r="G15" s="1304"/>
      <c r="H15" s="1311"/>
      <c r="I15" s="1312">
        <f>SUM(I12:I14)</f>
        <v>0</v>
      </c>
    </row>
    <row r="16" spans="1:9" ht="24">
      <c r="A16" s="3187" t="s">
        <v>1099</v>
      </c>
      <c r="B16" s="3188" t="s">
        <v>1100</v>
      </c>
      <c r="C16" s="3188"/>
      <c r="D16" s="1302" t="s">
        <v>1076</v>
      </c>
      <c r="E16" s="1313" t="s">
        <v>1101</v>
      </c>
      <c r="F16" s="1303" t="s">
        <v>1102</v>
      </c>
      <c r="G16" s="1304" t="s">
        <v>1080</v>
      </c>
      <c r="H16" s="1310" t="s">
        <v>1095</v>
      </c>
      <c r="I16" s="1301" t="s">
        <v>1081</v>
      </c>
    </row>
    <row r="17" spans="1:9" ht="15.6">
      <c r="A17" s="3187"/>
      <c r="B17" s="3188" t="s">
        <v>1103</v>
      </c>
      <c r="C17" s="3188"/>
      <c r="D17" s="1302"/>
      <c r="E17" s="1302"/>
      <c r="F17" s="1303"/>
      <c r="G17" s="1304"/>
      <c r="H17" s="1314"/>
      <c r="I17" s="1315">
        <f>ROUND(D17*E17*F17*G17/10000,0)</f>
        <v>0</v>
      </c>
    </row>
    <row r="18" spans="1:9" ht="15.6">
      <c r="A18" s="3187"/>
      <c r="B18" s="3188" t="s">
        <v>1104</v>
      </c>
      <c r="C18" s="3188"/>
      <c r="D18" s="1302"/>
      <c r="E18" s="1302"/>
      <c r="F18" s="1303"/>
      <c r="G18" s="1304"/>
      <c r="H18" s="1314"/>
      <c r="I18" s="1315">
        <f>ROUND(D18*E18*F18*G18/10000,0)</f>
        <v>0</v>
      </c>
    </row>
    <row r="19" spans="1:9" ht="15.6">
      <c r="A19" s="3187"/>
      <c r="B19" s="3188" t="s">
        <v>1105</v>
      </c>
      <c r="C19" s="3188"/>
      <c r="D19" s="1302"/>
      <c r="E19" s="1302"/>
      <c r="F19" s="1303"/>
      <c r="G19" s="1304"/>
      <c r="H19" s="1314"/>
      <c r="I19" s="1315">
        <f>ROUND(D19*E19*F19*G19/10000,0)</f>
        <v>0</v>
      </c>
    </row>
    <row r="20" spans="1:9">
      <c r="A20" s="3187"/>
      <c r="B20" s="3189" t="s">
        <v>1089</v>
      </c>
      <c r="C20" s="3189"/>
      <c r="D20" s="1306">
        <f>SUM(D17:D19)</f>
        <v>0</v>
      </c>
      <c r="E20" s="1306"/>
      <c r="F20" s="1307"/>
      <c r="G20" s="1304"/>
      <c r="H20" s="1311"/>
      <c r="I20" s="1312">
        <f>SUM(I17:I19)</f>
        <v>0</v>
      </c>
    </row>
    <row r="21" spans="1:9">
      <c r="A21" s="3187" t="s">
        <v>1106</v>
      </c>
      <c r="B21" s="3190"/>
      <c r="C21" s="3190"/>
      <c r="D21" s="3190"/>
      <c r="E21" s="3190"/>
      <c r="F21" s="3190"/>
      <c r="G21" s="3190"/>
      <c r="H21" s="1763">
        <v>0.1</v>
      </c>
      <c r="I21" s="1309">
        <f>ROUND(I10*H21,0)</f>
        <v>0</v>
      </c>
    </row>
    <row r="22" spans="1:9" ht="15.6">
      <c r="A22" s="3191" t="s">
        <v>1107</v>
      </c>
      <c r="B22" s="3192"/>
      <c r="C22" s="3193"/>
      <c r="D22" s="1316" t="s">
        <v>1108</v>
      </c>
      <c r="E22" s="1316" t="s">
        <v>1109</v>
      </c>
      <c r="F22" s="1317" t="s">
        <v>1110</v>
      </c>
      <c r="G22" s="1317" t="s">
        <v>1111</v>
      </c>
      <c r="H22" s="1310" t="s">
        <v>1112</v>
      </c>
      <c r="I22" s="1301" t="s">
        <v>1113</v>
      </c>
    </row>
    <row r="23" spans="1:9" ht="15" thickBot="1">
      <c r="A23" s="3194"/>
      <c r="B23" s="3195"/>
      <c r="C23" s="3196"/>
      <c r="D23" s="1318"/>
      <c r="E23" s="1318"/>
      <c r="F23" s="1318"/>
      <c r="G23" s="1319"/>
      <c r="H23" s="1320"/>
      <c r="I23" s="1321">
        <f>ROUND(E23*D23*F23*(1-G23)/10000,0)</f>
        <v>0</v>
      </c>
    </row>
    <row r="26" spans="1:9">
      <c r="A26" s="1322" t="s">
        <v>1114</v>
      </c>
      <c r="B26" s="1322"/>
      <c r="C26" s="1322"/>
      <c r="D26" s="1322"/>
      <c r="E26" s="3184">
        <f>C27-C30-C31-C32</f>
        <v>0</v>
      </c>
      <c r="F26" s="3184"/>
      <c r="G26" s="3184"/>
      <c r="H26" s="1735" t="s">
        <v>1336</v>
      </c>
    </row>
    <row r="27" spans="1:9">
      <c r="A27" s="1323">
        <v>1</v>
      </c>
      <c r="B27" s="1324" t="s">
        <v>1115</v>
      </c>
      <c r="C27" s="1324">
        <f>C28+C29</f>
        <v>0</v>
      </c>
      <c r="D27" s="1324"/>
      <c r="E27" s="3185"/>
      <c r="F27" s="3185"/>
      <c r="G27" s="3185"/>
    </row>
    <row r="28" spans="1:9">
      <c r="A28" s="1325" t="s">
        <v>1116</v>
      </c>
      <c r="B28" s="1324" t="s">
        <v>1117</v>
      </c>
      <c r="C28" s="1324"/>
      <c r="D28" s="1324"/>
      <c r="E28" s="3185"/>
      <c r="F28" s="3185"/>
      <c r="G28" s="3185"/>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6"/>
      <c r="F32" s="3186"/>
      <c r="G32" s="3186"/>
    </row>
    <row r="33" spans="1:7" hidden="1">
      <c r="A33" s="3181" t="s">
        <v>1126</v>
      </c>
      <c r="B33" s="3182"/>
      <c r="C33" s="3182"/>
      <c r="D33" s="3183"/>
      <c r="E33" s="3184"/>
      <c r="F33" s="3184"/>
      <c r="G33" s="3184"/>
    </row>
    <row r="34" spans="1:7" hidden="1">
      <c r="A34" s="1327">
        <v>1</v>
      </c>
      <c r="B34" s="1324" t="s">
        <v>1127</v>
      </c>
      <c r="C34" s="1324"/>
      <c r="D34" s="1324"/>
      <c r="E34" s="3185"/>
      <c r="F34" s="3185"/>
      <c r="G34" s="3185"/>
    </row>
    <row r="35" spans="1:7" hidden="1">
      <c r="A35" s="1327">
        <v>2</v>
      </c>
      <c r="B35" s="1324" t="s">
        <v>1128</v>
      </c>
      <c r="C35" s="1324"/>
      <c r="D35" s="1324"/>
      <c r="E35" s="3185"/>
      <c r="F35" s="3185"/>
      <c r="G35" s="3185"/>
    </row>
    <row r="36" spans="1:7" hidden="1">
      <c r="A36" s="1327">
        <v>3</v>
      </c>
      <c r="B36" s="1324" t="s">
        <v>1129</v>
      </c>
      <c r="C36" s="1324"/>
      <c r="D36" s="1324"/>
      <c r="E36" s="3185"/>
      <c r="F36" s="3185"/>
      <c r="G36" s="3185"/>
    </row>
    <row r="37" spans="1:7" hidden="1">
      <c r="A37" s="1327">
        <v>4</v>
      </c>
      <c r="B37" s="1324" t="s">
        <v>1130</v>
      </c>
      <c r="C37" s="1324"/>
      <c r="D37" s="1324"/>
      <c r="E37" s="3185"/>
      <c r="F37" s="3185"/>
      <c r="G37" s="3185"/>
    </row>
    <row r="38" spans="1:7" hidden="1">
      <c r="A38" s="3181" t="s">
        <v>1131</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M17" sqref="M1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7.332031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2518</v>
      </c>
      <c r="C1" s="1632" t="s">
        <v>2519</v>
      </c>
      <c r="D1" s="1619" t="s">
        <v>3499</v>
      </c>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0</v>
      </c>
      <c r="C2" s="2581" t="s">
        <v>70</v>
      </c>
      <c r="D2" s="1364"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f>IF(C2="——",C49,ROUND(B2*10000/D3,0))</f>
        <v>18890</v>
      </c>
      <c r="C3" s="400" t="s">
        <v>2523</v>
      </c>
      <c r="D3" s="399">
        <f>IF(D1="",'数据-汇总表'!E3,SUMIF('数据-汇总表'!$C19:$C33,D1,'数据-汇总表'!$E19:$E33))</f>
        <v>0</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4.4">
      <c r="A4" s="401" t="s">
        <v>2524</v>
      </c>
      <c r="B4" s="402"/>
      <c r="C4" s="3205" t="s">
        <v>2525</v>
      </c>
      <c r="D4" s="3206"/>
      <c r="E4" s="3207" t="s">
        <v>2526</v>
      </c>
      <c r="F4" s="3208"/>
      <c r="G4" s="3205" t="s">
        <v>2527</v>
      </c>
      <c r="H4" s="3206"/>
      <c r="I4" s="3205" t="s">
        <v>2528</v>
      </c>
      <c r="J4" s="3206"/>
      <c r="K4" s="2591" t="s">
        <v>2529</v>
      </c>
      <c r="L4" s="1129"/>
      <c r="M4" s="1130"/>
      <c r="N4" s="1130"/>
      <c r="O4" s="1130"/>
      <c r="P4" s="3209" t="s">
        <v>2530</v>
      </c>
      <c r="Q4" s="3210"/>
      <c r="R4" s="3215" t="s">
        <v>2526</v>
      </c>
      <c r="S4" s="3216"/>
      <c r="T4" s="3215" t="s">
        <v>2527</v>
      </c>
      <c r="U4" s="3216"/>
      <c r="V4" s="3231" t="s">
        <v>2528</v>
      </c>
      <c r="W4" s="3231"/>
      <c r="X4" s="2950"/>
      <c r="Y4" s="3215" t="s">
        <v>2530</v>
      </c>
      <c r="Z4" s="3216"/>
      <c r="AA4" s="3202" t="s">
        <v>2526</v>
      </c>
      <c r="AB4" s="3202" t="s">
        <v>2527</v>
      </c>
      <c r="AC4" s="3202" t="s">
        <v>2528</v>
      </c>
    </row>
    <row r="5" spans="1:29">
      <c r="A5" s="404"/>
      <c r="B5" s="405"/>
      <c r="C5" s="3219" t="str">
        <f>'土地比较法-住宅、综合'!C5:D5</f>
        <v>滨海新区中心渔港经济区鲤鱼门路以东、海湾一道以南4-1、4-2#地块</v>
      </c>
      <c r="D5" s="3220"/>
      <c r="E5" s="3221" t="str">
        <f>'比较法-高层'!G5</f>
        <v>力高阳光海岸</v>
      </c>
      <c r="F5" s="3222"/>
      <c r="G5" s="3223" t="s">
        <v>3533</v>
      </c>
      <c r="H5" s="3220"/>
      <c r="I5" s="3223" t="s">
        <v>3532</v>
      </c>
      <c r="J5" s="3220"/>
      <c r="K5" s="2592"/>
      <c r="L5" s="1129"/>
      <c r="M5" s="1130"/>
      <c r="N5" s="1130"/>
      <c r="O5" s="1130"/>
      <c r="P5" s="3211"/>
      <c r="Q5" s="3212"/>
      <c r="R5" s="3217"/>
      <c r="S5" s="3218"/>
      <c r="T5" s="3217"/>
      <c r="U5" s="3218"/>
      <c r="V5" s="3231"/>
      <c r="W5" s="3231"/>
      <c r="X5" s="2950"/>
      <c r="Y5" s="3217"/>
      <c r="Z5" s="3218"/>
      <c r="AA5" s="3203"/>
      <c r="AB5" s="3203"/>
      <c r="AC5" s="3203"/>
    </row>
    <row r="6" spans="1:29" ht="15" thickBot="1">
      <c r="A6" s="406"/>
      <c r="B6" s="407"/>
      <c r="C6" s="3224" t="str">
        <f>'土地比较法-住宅、综合'!C6:D6</f>
        <v>天津市滨海新区生态城</v>
      </c>
      <c r="D6" s="3225"/>
      <c r="E6" s="3226" t="str">
        <f>C6</f>
        <v>天津市滨海新区生态城</v>
      </c>
      <c r="F6" s="3227"/>
      <c r="G6" s="3228" t="str">
        <f>E6</f>
        <v>天津市滨海新区生态城</v>
      </c>
      <c r="H6" s="3225"/>
      <c r="I6" s="3228" t="str">
        <f>E6</f>
        <v>天津市滨海新区生态城</v>
      </c>
      <c r="J6" s="3225"/>
      <c r="K6" s="2592" t="s">
        <v>2536</v>
      </c>
      <c r="L6" s="1129"/>
      <c r="M6" s="1130"/>
      <c r="N6" s="1130"/>
      <c r="O6" s="1130"/>
      <c r="P6" s="3213"/>
      <c r="Q6" s="3214"/>
      <c r="R6" s="3217"/>
      <c r="S6" s="3218"/>
      <c r="T6" s="3229"/>
      <c r="U6" s="3230"/>
      <c r="V6" s="3231"/>
      <c r="W6" s="3231"/>
      <c r="X6" s="2950"/>
      <c r="Y6" s="3229"/>
      <c r="Z6" s="3230"/>
      <c r="AA6" s="3204"/>
      <c r="AB6" s="3204"/>
      <c r="AC6" s="3204"/>
    </row>
    <row r="7" spans="1:29" s="117" customFormat="1" ht="15" thickBot="1">
      <c r="A7" s="408" t="s">
        <v>2537</v>
      </c>
      <c r="B7" s="409"/>
      <c r="C7" s="410">
        <f>'数据-取费表'!B2</f>
        <v>43725</v>
      </c>
      <c r="D7" s="411">
        <v>100</v>
      </c>
      <c r="E7" s="412">
        <v>43725</v>
      </c>
      <c r="F7" s="413">
        <f>SUMIF(58:58,YEAR(E7)&amp;"-"&amp;MONTH(E7),59:59)</f>
        <v>100</v>
      </c>
      <c r="G7" s="412">
        <v>43725</v>
      </c>
      <c r="H7" s="411">
        <f>SUMIF(58:58,YEAR(G7)&amp;"-"&amp;MONTH(G7),59:59)</f>
        <v>100</v>
      </c>
      <c r="I7" s="412">
        <v>43725</v>
      </c>
      <c r="J7" s="411">
        <f>SUMIF(58:58,YEAR(I7)&amp;"-"&amp;MONTH(I7),59:59)</f>
        <v>100</v>
      </c>
      <c r="K7" s="2593"/>
      <c r="L7" s="1131"/>
      <c r="M7" s="1132"/>
      <c r="N7" s="1132"/>
      <c r="O7" s="1132"/>
      <c r="P7" s="3232" t="s">
        <v>2538</v>
      </c>
      <c r="Q7" s="3233"/>
      <c r="R7" s="770" t="s">
        <v>23</v>
      </c>
      <c r="S7" s="771">
        <f t="shared" ref="S7:S15" si="0">F7</f>
        <v>100</v>
      </c>
      <c r="T7" s="770" t="s">
        <v>23</v>
      </c>
      <c r="U7" s="771">
        <f t="shared" ref="U7:U15" si="1">H7</f>
        <v>100</v>
      </c>
      <c r="V7" s="770" t="s">
        <v>23</v>
      </c>
      <c r="W7" s="771">
        <f t="shared" ref="W7:W15" si="2">J7</f>
        <v>100</v>
      </c>
      <c r="X7" s="772"/>
      <c r="Y7" s="3232" t="s">
        <v>2538</v>
      </c>
      <c r="Z7" s="3234"/>
      <c r="AA7" s="773">
        <f>D7/F7</f>
        <v>1</v>
      </c>
      <c r="AB7" s="773">
        <f>D7/H7</f>
        <v>1</v>
      </c>
      <c r="AC7" s="773">
        <f>D7/J7</f>
        <v>1</v>
      </c>
    </row>
    <row r="8" spans="1:29" s="117" customFormat="1" ht="15" thickBot="1">
      <c r="A8" s="408" t="s">
        <v>2539</v>
      </c>
      <c r="B8" s="409"/>
      <c r="C8" s="414" t="s">
        <v>2540</v>
      </c>
      <c r="D8" s="411">
        <v>100</v>
      </c>
      <c r="E8" s="417" t="s">
        <v>3439</v>
      </c>
      <c r="F8" s="413">
        <f>SUMIF(61:61,E8,62:62)-SUMIF(61:61,C8,62:62)+100</f>
        <v>100</v>
      </c>
      <c r="G8" s="417" t="s">
        <v>3439</v>
      </c>
      <c r="H8" s="411">
        <f>SUMIF(61:61,G8,62:62)-SUMIF(61:61,C8,62:62)+100</f>
        <v>100</v>
      </c>
      <c r="I8" s="417" t="s">
        <v>3439</v>
      </c>
      <c r="J8" s="411">
        <f>SUMIF(61:61,I8,62:62)-SUMIF(61:61,C8,62:62)+100</f>
        <v>100</v>
      </c>
      <c r="K8" s="2593"/>
      <c r="L8" s="1131"/>
      <c r="M8" s="1132"/>
      <c r="N8" s="1132"/>
      <c r="O8" s="1132"/>
      <c r="P8" s="3232" t="s">
        <v>2541</v>
      </c>
      <c r="Q8" s="3234"/>
      <c r="R8" s="770" t="s">
        <v>23</v>
      </c>
      <c r="S8" s="771">
        <f t="shared" si="0"/>
        <v>100</v>
      </c>
      <c r="T8" s="770" t="s">
        <v>23</v>
      </c>
      <c r="U8" s="771">
        <f t="shared" si="1"/>
        <v>100</v>
      </c>
      <c r="V8" s="770" t="s">
        <v>23</v>
      </c>
      <c r="W8" s="771">
        <f t="shared" si="2"/>
        <v>100</v>
      </c>
      <c r="X8" s="772"/>
      <c r="Y8" s="3232" t="s">
        <v>2541</v>
      </c>
      <c r="Z8" s="3234"/>
      <c r="AA8" s="773">
        <f t="shared" ref="AA8:AA19" si="3">D8/F8</f>
        <v>1</v>
      </c>
      <c r="AB8" s="773">
        <f t="shared" ref="AB8:AB19" si="4">D8/H8</f>
        <v>1</v>
      </c>
      <c r="AC8" s="773">
        <f t="shared" ref="AC8:AC19" si="5">D8/J8</f>
        <v>1</v>
      </c>
    </row>
    <row r="9" spans="1:29" s="117" customFormat="1" ht="14.4">
      <c r="A9" s="415" t="s">
        <v>2542</v>
      </c>
      <c r="B9" s="71" t="s">
        <v>2543</v>
      </c>
      <c r="C9" s="2968" t="s">
        <v>3477</v>
      </c>
      <c r="D9" s="135">
        <v>100</v>
      </c>
      <c r="E9" s="417" t="s">
        <v>3418</v>
      </c>
      <c r="F9" s="418">
        <f>SUMIF(63:63,E9,64:64)-SUMIF(63:63,C9,64:64)+100</f>
        <v>100</v>
      </c>
      <c r="G9" s="417" t="s">
        <v>3418</v>
      </c>
      <c r="H9" s="135">
        <f>SUMIF(63:63,G9,64:64)-SUMIF(63:63,C9,64:64)+100</f>
        <v>100</v>
      </c>
      <c r="I9" s="417" t="s">
        <v>3418</v>
      </c>
      <c r="J9" s="135">
        <f>SUMIF(63:63,I9,64:64)-SUMIF(63:63,C9,64:64)+100</f>
        <v>100</v>
      </c>
      <c r="K9" s="2593"/>
      <c r="L9" s="1131"/>
      <c r="M9" s="1132"/>
      <c r="N9" s="1132"/>
      <c r="O9" s="1132"/>
      <c r="P9" s="3235" t="s">
        <v>2544</v>
      </c>
      <c r="Q9" s="2947" t="str">
        <f t="shared" ref="Q9:Q15" si="6">B9</f>
        <v>用途</v>
      </c>
      <c r="R9" s="770" t="s">
        <v>17</v>
      </c>
      <c r="S9" s="771">
        <f t="shared" si="0"/>
        <v>100</v>
      </c>
      <c r="T9" s="770" t="s">
        <v>17</v>
      </c>
      <c r="U9" s="771">
        <f t="shared" si="1"/>
        <v>100</v>
      </c>
      <c r="V9" s="770" t="s">
        <v>17</v>
      </c>
      <c r="W9" s="771">
        <f t="shared" si="2"/>
        <v>100</v>
      </c>
      <c r="X9" s="772"/>
      <c r="Y9" s="3024" t="s">
        <v>2545</v>
      </c>
      <c r="Z9" s="2948" t="str">
        <f t="shared" ref="Z9:Z15" si="7">Q9</f>
        <v>用途</v>
      </c>
      <c r="AA9" s="773">
        <f t="shared" si="3"/>
        <v>1</v>
      </c>
      <c r="AB9" s="773">
        <f t="shared" si="4"/>
        <v>1</v>
      </c>
      <c r="AC9" s="773">
        <f t="shared" si="5"/>
        <v>1</v>
      </c>
    </row>
    <row r="10" spans="1:29" s="427" customFormat="1" ht="28.8">
      <c r="A10" s="421"/>
      <c r="B10" s="2949" t="s">
        <v>2546</v>
      </c>
      <c r="C10" s="423" t="s">
        <v>3478</v>
      </c>
      <c r="D10" s="136">
        <v>100</v>
      </c>
      <c r="E10" s="424" t="s">
        <v>3478</v>
      </c>
      <c r="F10" s="425">
        <f>SUMIF(65:65,E10,66:66)-SUMIF(65:65,C10,66:66)+100</f>
        <v>100</v>
      </c>
      <c r="G10" s="424" t="s">
        <v>3478</v>
      </c>
      <c r="H10" s="136">
        <f>SUMIF(65:65,G10,66:66)-SUMIF(65:65,C10,66:66)+100</f>
        <v>100</v>
      </c>
      <c r="I10" s="424" t="s">
        <v>3478</v>
      </c>
      <c r="J10" s="136">
        <f>SUMIF(65:65,I10,66:66)-SUMIF(65:65,C10,66:66)+100</f>
        <v>100</v>
      </c>
      <c r="K10" s="426">
        <f>'比较法-高层'!K10</f>
        <v>1</v>
      </c>
      <c r="L10" s="1134"/>
      <c r="M10" s="1135"/>
      <c r="N10" s="1135"/>
      <c r="O10" s="1135"/>
      <c r="P10" s="3235"/>
      <c r="Q10" s="2947" t="str">
        <f t="shared" si="6"/>
        <v>土地使用年限（年）</v>
      </c>
      <c r="R10" s="770" t="s">
        <v>17</v>
      </c>
      <c r="S10" s="771">
        <f t="shared" si="0"/>
        <v>100</v>
      </c>
      <c r="T10" s="770" t="s">
        <v>17</v>
      </c>
      <c r="U10" s="771">
        <f t="shared" si="1"/>
        <v>100</v>
      </c>
      <c r="V10" s="770" t="s">
        <v>17</v>
      </c>
      <c r="W10" s="771">
        <f t="shared" si="2"/>
        <v>100</v>
      </c>
      <c r="X10" s="772"/>
      <c r="Y10" s="3024"/>
      <c r="Z10" s="2948" t="str">
        <f t="shared" si="7"/>
        <v>土地使用年限（年）</v>
      </c>
      <c r="AA10" s="773">
        <f t="shared" si="3"/>
        <v>1</v>
      </c>
      <c r="AB10" s="773">
        <f t="shared" si="4"/>
        <v>1</v>
      </c>
      <c r="AC10" s="773">
        <f t="shared" si="5"/>
        <v>1</v>
      </c>
    </row>
    <row r="11" spans="1:29" ht="15.6" thickBot="1">
      <c r="A11" s="428"/>
      <c r="B11" s="2949" t="s">
        <v>2547</v>
      </c>
      <c r="C11" s="429"/>
      <c r="D11" s="136">
        <v>100</v>
      </c>
      <c r="E11" s="430"/>
      <c r="F11" s="425">
        <f>LOOKUP(E11,68:68,69:69)-LOOKUP(C11,68:68,69:69)+100</f>
        <v>100</v>
      </c>
      <c r="G11" s="429"/>
      <c r="H11" s="136">
        <f>LOOKUP(G11,68:68,69:69)-LOOKUP(C11,68:68,69:69)+100</f>
        <v>100</v>
      </c>
      <c r="I11" s="429"/>
      <c r="J11" s="136">
        <f>LOOKUP(I11,68:68,69:69)-LOOKUP(C11,68:68,69:69)+100</f>
        <v>100</v>
      </c>
      <c r="K11" s="426">
        <f>'比较法-高层'!K11</f>
        <v>3</v>
      </c>
      <c r="L11" s="1137"/>
      <c r="M11" s="1130"/>
      <c r="N11" s="1130"/>
      <c r="O11" s="1130"/>
      <c r="P11" s="3235"/>
      <c r="Q11" s="2947" t="str">
        <f t="shared" si="6"/>
        <v>容积率</v>
      </c>
      <c r="R11" s="770" t="s">
        <v>21</v>
      </c>
      <c r="S11" s="771">
        <f t="shared" si="0"/>
        <v>100</v>
      </c>
      <c r="T11" s="770" t="s">
        <v>21</v>
      </c>
      <c r="U11" s="771">
        <f t="shared" si="1"/>
        <v>100</v>
      </c>
      <c r="V11" s="770" t="s">
        <v>21</v>
      </c>
      <c r="W11" s="771">
        <f t="shared" si="2"/>
        <v>100</v>
      </c>
      <c r="X11" s="772"/>
      <c r="Y11" s="3024"/>
      <c r="Z11" s="2948" t="str">
        <f t="shared" si="7"/>
        <v>容积率</v>
      </c>
      <c r="AA11" s="773">
        <f t="shared" si="3"/>
        <v>1</v>
      </c>
      <c r="AB11" s="773">
        <f t="shared" si="4"/>
        <v>1</v>
      </c>
      <c r="AC11" s="773">
        <f t="shared" si="5"/>
        <v>1</v>
      </c>
    </row>
    <row r="12" spans="1:29" s="117" customFormat="1" ht="15.6" hidden="1" thickBot="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1"/>
      <c r="M12" s="1132"/>
      <c r="N12" s="1132"/>
      <c r="O12" s="1132"/>
      <c r="P12" s="3235"/>
      <c r="Q12" s="2947">
        <f t="shared" si="6"/>
        <v>111</v>
      </c>
      <c r="R12" s="770" t="s">
        <v>21</v>
      </c>
      <c r="S12" s="771">
        <f t="shared" si="0"/>
        <v>100</v>
      </c>
      <c r="T12" s="770" t="s">
        <v>21</v>
      </c>
      <c r="U12" s="771">
        <f t="shared" si="1"/>
        <v>100</v>
      </c>
      <c r="V12" s="770" t="s">
        <v>21</v>
      </c>
      <c r="W12" s="771">
        <f t="shared" si="2"/>
        <v>100</v>
      </c>
      <c r="X12" s="772"/>
      <c r="Y12" s="3024"/>
      <c r="Z12" s="2948">
        <f t="shared" si="7"/>
        <v>111</v>
      </c>
      <c r="AA12" s="773">
        <f>D12/F12</f>
        <v>1</v>
      </c>
      <c r="AB12" s="773">
        <f>D12/H12</f>
        <v>1</v>
      </c>
      <c r="AC12" s="773">
        <f>D12/J12</f>
        <v>1</v>
      </c>
    </row>
    <row r="13" spans="1:29" ht="15.6" hidden="1" thickBot="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9"/>
      <c r="M13" s="1130"/>
      <c r="N13" s="1130"/>
      <c r="O13" s="1130"/>
      <c r="P13" s="3235"/>
      <c r="Q13" s="2947">
        <f t="shared" si="6"/>
        <v>111</v>
      </c>
      <c r="R13" s="770" t="s">
        <v>21</v>
      </c>
      <c r="S13" s="771">
        <f t="shared" si="0"/>
        <v>100</v>
      </c>
      <c r="T13" s="770" t="s">
        <v>21</v>
      </c>
      <c r="U13" s="771">
        <f t="shared" si="1"/>
        <v>100</v>
      </c>
      <c r="V13" s="770" t="s">
        <v>21</v>
      </c>
      <c r="W13" s="771">
        <f t="shared" si="2"/>
        <v>100</v>
      </c>
      <c r="X13" s="772"/>
      <c r="Y13" s="3024"/>
      <c r="Z13" s="2948">
        <f t="shared" si="7"/>
        <v>111</v>
      </c>
      <c r="AA13" s="773">
        <f t="shared" si="3"/>
        <v>1</v>
      </c>
      <c r="AB13" s="773">
        <f t="shared" si="4"/>
        <v>1</v>
      </c>
      <c r="AC13" s="773">
        <f t="shared" si="5"/>
        <v>1</v>
      </c>
    </row>
    <row r="14" spans="1:29" ht="15.6"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9"/>
      <c r="M14" s="1130"/>
      <c r="N14" s="1130"/>
      <c r="O14" s="1130"/>
      <c r="P14" s="3235"/>
      <c r="Q14" s="2947">
        <f t="shared" si="6"/>
        <v>111</v>
      </c>
      <c r="R14" s="770" t="s">
        <v>21</v>
      </c>
      <c r="S14" s="771">
        <f t="shared" si="0"/>
        <v>100</v>
      </c>
      <c r="T14" s="770" t="s">
        <v>21</v>
      </c>
      <c r="U14" s="771">
        <f t="shared" si="1"/>
        <v>100</v>
      </c>
      <c r="V14" s="770" t="s">
        <v>21</v>
      </c>
      <c r="W14" s="771">
        <f t="shared" si="2"/>
        <v>100</v>
      </c>
      <c r="X14" s="772"/>
      <c r="Y14" s="3024"/>
      <c r="Z14" s="2948">
        <f t="shared" si="7"/>
        <v>111</v>
      </c>
      <c r="AA14" s="773">
        <f t="shared" si="3"/>
        <v>1</v>
      </c>
      <c r="AB14" s="773">
        <f t="shared" si="4"/>
        <v>1</v>
      </c>
      <c r="AC14" s="773">
        <f t="shared" si="5"/>
        <v>1</v>
      </c>
    </row>
    <row r="15" spans="1:29" ht="15">
      <c r="A15" s="440" t="s">
        <v>2548</v>
      </c>
      <c r="B15" s="69" t="s">
        <v>2080</v>
      </c>
      <c r="C15" s="2597" t="str">
        <f>估价对象房地状况!C3</f>
        <v>较差</v>
      </c>
      <c r="D15" s="441">
        <v>100</v>
      </c>
      <c r="E15" s="444"/>
      <c r="F15" s="441">
        <f>SUMIF(76:76,E16,77:77)-SUMIF(76:76,C16,77:77)+100</f>
        <v>100</v>
      </c>
      <c r="G15" s="442"/>
      <c r="H15" s="441">
        <f>SUMIF(76:76,G16,77:77)-SUMIF(76:76,C16,77:77)+100</f>
        <v>102</v>
      </c>
      <c r="I15" s="442"/>
      <c r="J15" s="441">
        <f>SUMIF(76:76,I16,77:77)-SUMIF(76:76,C16,77:77)+100</f>
        <v>102</v>
      </c>
      <c r="K15" s="445">
        <f>'比较法-高层'!K15</f>
        <v>2</v>
      </c>
      <c r="L15" s="1139"/>
      <c r="M15" s="1130"/>
      <c r="N15" s="1130"/>
      <c r="O15" s="1130"/>
      <c r="P15" s="3236" t="s">
        <v>2549</v>
      </c>
      <c r="Q15" s="2952" t="str">
        <f t="shared" si="6"/>
        <v>居住社区成熟度</v>
      </c>
      <c r="R15" s="774" t="s">
        <v>21</v>
      </c>
      <c r="S15" s="775">
        <f t="shared" si="0"/>
        <v>100</v>
      </c>
      <c r="T15" s="774" t="s">
        <v>21</v>
      </c>
      <c r="U15" s="775">
        <f t="shared" si="1"/>
        <v>102</v>
      </c>
      <c r="V15" s="774" t="s">
        <v>21</v>
      </c>
      <c r="W15" s="775">
        <f t="shared" si="2"/>
        <v>102</v>
      </c>
      <c r="X15" s="2950"/>
      <c r="Y15" s="3238" t="s">
        <v>2549</v>
      </c>
      <c r="Z15" s="2951" t="str">
        <f t="shared" si="7"/>
        <v>居住社区成熟度</v>
      </c>
      <c r="AA15" s="2953">
        <f t="shared" si="3"/>
        <v>1</v>
      </c>
      <c r="AB15" s="2953">
        <f t="shared" si="4"/>
        <v>0.98039215686274506</v>
      </c>
      <c r="AC15" s="2953">
        <f t="shared" si="5"/>
        <v>0.98039215686274506</v>
      </c>
    </row>
    <row r="16" spans="1:29" ht="15">
      <c r="A16" s="428"/>
      <c r="B16" s="446"/>
      <c r="C16" s="447" t="s">
        <v>3430</v>
      </c>
      <c r="D16" s="448"/>
      <c r="E16" s="447" t="s">
        <v>3430</v>
      </c>
      <c r="F16" s="448"/>
      <c r="G16" s="2599" t="s">
        <v>3436</v>
      </c>
      <c r="H16" s="450"/>
      <c r="I16" s="2599" t="s">
        <v>3436</v>
      </c>
      <c r="J16" s="448"/>
      <c r="K16" s="2600"/>
      <c r="L16" s="1139"/>
      <c r="M16" s="1130"/>
      <c r="N16" s="1130"/>
      <c r="O16" s="1130"/>
      <c r="P16" s="3237"/>
      <c r="Q16" s="2952"/>
      <c r="R16" s="774"/>
      <c r="S16" s="775"/>
      <c r="T16" s="774"/>
      <c r="U16" s="775"/>
      <c r="V16" s="774"/>
      <c r="W16" s="775"/>
      <c r="X16" s="2950"/>
      <c r="Y16" s="3239"/>
      <c r="Z16" s="2951"/>
      <c r="AA16" s="2953">
        <v>1</v>
      </c>
      <c r="AB16" s="2953">
        <v>1</v>
      </c>
      <c r="AC16" s="2953">
        <v>1</v>
      </c>
    </row>
    <row r="17" spans="1:29" ht="15">
      <c r="A17" s="428"/>
      <c r="B17" s="451" t="s">
        <v>2089</v>
      </c>
      <c r="C17" s="2601" t="str">
        <f>估价对象房地状况!C6</f>
        <v>差</v>
      </c>
      <c r="D17" s="450">
        <v>100</v>
      </c>
      <c r="E17" s="454"/>
      <c r="F17" s="450">
        <f>SUMIF(78:78,E18,79:79)-SUMIF(78:78,C18,79:79)+100</f>
        <v>100</v>
      </c>
      <c r="G17" s="452"/>
      <c r="H17" s="455">
        <f>SUMIF(78:78,G18,79:79)-SUMIF(78:78,C18,79:79)+100</f>
        <v>101</v>
      </c>
      <c r="I17" s="452"/>
      <c r="J17" s="455">
        <f>SUMIF(78:78,I18,79:79)-SUMIF(78:78,C18,79:79)+100</f>
        <v>101</v>
      </c>
      <c r="K17" s="445">
        <f>'比较法-高层'!K17</f>
        <v>1</v>
      </c>
      <c r="L17" s="1139"/>
      <c r="M17" s="1130"/>
      <c r="N17" s="1130"/>
      <c r="O17" s="1130"/>
      <c r="P17" s="3237"/>
      <c r="Q17" s="2952" t="str">
        <f>B17</f>
        <v>交通便捷度</v>
      </c>
      <c r="R17" s="774" t="s">
        <v>21</v>
      </c>
      <c r="S17" s="775">
        <f>F17</f>
        <v>100</v>
      </c>
      <c r="T17" s="774" t="s">
        <v>21</v>
      </c>
      <c r="U17" s="775">
        <f>H17</f>
        <v>101</v>
      </c>
      <c r="V17" s="774" t="s">
        <v>21</v>
      </c>
      <c r="W17" s="775">
        <f>J17</f>
        <v>101</v>
      </c>
      <c r="X17" s="2950"/>
      <c r="Y17" s="3239"/>
      <c r="Z17" s="2951" t="str">
        <f>Q17</f>
        <v>交通便捷度</v>
      </c>
      <c r="AA17" s="2953">
        <f t="shared" si="3"/>
        <v>1</v>
      </c>
      <c r="AB17" s="2953">
        <f t="shared" si="4"/>
        <v>0.99009900990099009</v>
      </c>
      <c r="AC17" s="2953">
        <f t="shared" si="5"/>
        <v>0.99009900990099009</v>
      </c>
    </row>
    <row r="18" spans="1:29" ht="15">
      <c r="A18" s="428"/>
      <c r="B18" s="456"/>
      <c r="C18" s="2602" t="s">
        <v>3432</v>
      </c>
      <c r="D18" s="450"/>
      <c r="E18" s="2602" t="s">
        <v>3432</v>
      </c>
      <c r="F18" s="450"/>
      <c r="G18" s="2604" t="s">
        <v>3430</v>
      </c>
      <c r="H18" s="448"/>
      <c r="I18" s="2604" t="s">
        <v>3430</v>
      </c>
      <c r="J18" s="448"/>
      <c r="K18" s="2600"/>
      <c r="L18" s="1139"/>
      <c r="M18" s="1130"/>
      <c r="N18" s="1130"/>
      <c r="O18" s="1130"/>
      <c r="P18" s="3237"/>
      <c r="Q18" s="2952"/>
      <c r="R18" s="774"/>
      <c r="S18" s="775"/>
      <c r="T18" s="774"/>
      <c r="U18" s="775"/>
      <c r="V18" s="774"/>
      <c r="W18" s="775"/>
      <c r="X18" s="2950"/>
      <c r="Y18" s="3239"/>
      <c r="Z18" s="2951"/>
      <c r="AA18" s="2953">
        <v>1</v>
      </c>
      <c r="AB18" s="2953">
        <v>1</v>
      </c>
      <c r="AC18" s="2953">
        <v>1</v>
      </c>
    </row>
    <row r="19" spans="1:29" ht="15">
      <c r="A19" s="428"/>
      <c r="B19" s="451" t="s">
        <v>2087</v>
      </c>
      <c r="C19" s="2601" t="str">
        <f>估价对象房地状况!C7</f>
        <v>差</v>
      </c>
      <c r="D19" s="455">
        <v>100</v>
      </c>
      <c r="E19" s="459"/>
      <c r="F19" s="455">
        <f>SUMIF(80:80,E20,81:81)-SUMIF(80:80,C20,81:81)+100</f>
        <v>100</v>
      </c>
      <c r="G19" s="457"/>
      <c r="H19" s="450">
        <f>SUMIF(80:80,G20,81:81)-SUMIF(80:80,C20,81:81)+100</f>
        <v>101</v>
      </c>
      <c r="I19" s="457"/>
      <c r="J19" s="450">
        <f>SUMIF(80:80,I20,81:81)-SUMIF(80:80,C20,81:81)+100</f>
        <v>101</v>
      </c>
      <c r="K19" s="445">
        <f>'比较法-高层'!K19</f>
        <v>1</v>
      </c>
      <c r="L19" s="1139"/>
      <c r="M19" s="1130"/>
      <c r="N19" s="1130"/>
      <c r="O19" s="1130"/>
      <c r="P19" s="3237"/>
      <c r="Q19" s="2952" t="str">
        <f>B19</f>
        <v>公共配套设施</v>
      </c>
      <c r="R19" s="774" t="s">
        <v>21</v>
      </c>
      <c r="S19" s="775">
        <f>F19</f>
        <v>100</v>
      </c>
      <c r="T19" s="774" t="s">
        <v>21</v>
      </c>
      <c r="U19" s="775">
        <f>H19</f>
        <v>101</v>
      </c>
      <c r="V19" s="774" t="s">
        <v>21</v>
      </c>
      <c r="W19" s="775">
        <f>J19</f>
        <v>101</v>
      </c>
      <c r="X19" s="2950"/>
      <c r="Y19" s="3239"/>
      <c r="Z19" s="2951" t="str">
        <f>Q19</f>
        <v>公共配套设施</v>
      </c>
      <c r="AA19" s="2953">
        <f t="shared" si="3"/>
        <v>1</v>
      </c>
      <c r="AB19" s="2953">
        <f t="shared" si="4"/>
        <v>0.99009900990099009</v>
      </c>
      <c r="AC19" s="2953">
        <f t="shared" si="5"/>
        <v>0.99009900990099009</v>
      </c>
    </row>
    <row r="20" spans="1:29" ht="15">
      <c r="A20" s="428"/>
      <c r="B20" s="456"/>
      <c r="C20" s="447" t="s">
        <v>3432</v>
      </c>
      <c r="D20" s="448"/>
      <c r="E20" s="447" t="s">
        <v>3432</v>
      </c>
      <c r="F20" s="448"/>
      <c r="G20" s="2604" t="s">
        <v>3430</v>
      </c>
      <c r="H20" s="448"/>
      <c r="I20" s="2604" t="s">
        <v>3430</v>
      </c>
      <c r="J20" s="448"/>
      <c r="K20" s="2600"/>
      <c r="L20" s="1139"/>
      <c r="M20" s="1130"/>
      <c r="N20" s="1130"/>
      <c r="O20" s="1130"/>
      <c r="P20" s="3237"/>
      <c r="Q20" s="2952"/>
      <c r="R20" s="774"/>
      <c r="S20" s="775"/>
      <c r="T20" s="774"/>
      <c r="U20" s="775"/>
      <c r="V20" s="774"/>
      <c r="W20" s="775"/>
      <c r="X20" s="2950"/>
      <c r="Y20" s="3239"/>
      <c r="Z20" s="2951"/>
      <c r="AA20" s="2953">
        <v>1</v>
      </c>
      <c r="AB20" s="2953">
        <v>1</v>
      </c>
      <c r="AC20" s="2953">
        <v>1</v>
      </c>
    </row>
    <row r="21" spans="1:29" ht="15">
      <c r="A21" s="428"/>
      <c r="B21" s="1383" t="s">
        <v>2090</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'比较法-高层'!K21</f>
        <v>1</v>
      </c>
      <c r="L21" s="1139"/>
      <c r="M21" s="1130"/>
      <c r="N21" s="1130"/>
      <c r="O21" s="1130"/>
      <c r="P21" s="3237"/>
      <c r="Q21" s="2952" t="str">
        <f>B21</f>
        <v>基础设施水平</v>
      </c>
      <c r="R21" s="774" t="s">
        <v>17</v>
      </c>
      <c r="S21" s="775">
        <f>F21</f>
        <v>100</v>
      </c>
      <c r="T21" s="774" t="s">
        <v>17</v>
      </c>
      <c r="U21" s="775">
        <f>H21</f>
        <v>100</v>
      </c>
      <c r="V21" s="774" t="s">
        <v>17</v>
      </c>
      <c r="W21" s="775">
        <f>J21</f>
        <v>100</v>
      </c>
      <c r="X21" s="2950"/>
      <c r="Y21" s="3239"/>
      <c r="Z21" s="2951" t="str">
        <f>Q21</f>
        <v>基础设施水平</v>
      </c>
      <c r="AA21" s="2953">
        <f>D21/F21</f>
        <v>1</v>
      </c>
      <c r="AB21" s="2953">
        <f>D21/H21</f>
        <v>1</v>
      </c>
      <c r="AC21" s="2953">
        <f>D21/J21</f>
        <v>1</v>
      </c>
    </row>
    <row r="22" spans="1:29" ht="15">
      <c r="A22" s="428"/>
      <c r="B22" s="1383"/>
      <c r="C22" s="2602" t="s">
        <v>3434</v>
      </c>
      <c r="D22" s="448"/>
      <c r="E22" s="2602" t="s">
        <v>3434</v>
      </c>
      <c r="F22" s="448"/>
      <c r="G22" s="2602" t="s">
        <v>3434</v>
      </c>
      <c r="H22" s="448"/>
      <c r="I22" s="2602" t="s">
        <v>3434</v>
      </c>
      <c r="J22" s="448"/>
      <c r="K22" s="2606"/>
      <c r="L22" s="1139"/>
      <c r="M22" s="1130"/>
      <c r="N22" s="1130"/>
      <c r="O22" s="1130"/>
      <c r="P22" s="3237"/>
      <c r="Q22" s="2952"/>
      <c r="R22" s="774"/>
      <c r="S22" s="775"/>
      <c r="T22" s="774"/>
      <c r="U22" s="775"/>
      <c r="V22" s="774"/>
      <c r="W22" s="775"/>
      <c r="X22" s="2950"/>
      <c r="Y22" s="3239"/>
      <c r="Z22" s="2951"/>
      <c r="AA22" s="2953">
        <v>1</v>
      </c>
      <c r="AB22" s="2953">
        <v>1</v>
      </c>
      <c r="AC22" s="2953">
        <v>1</v>
      </c>
    </row>
    <row r="23" spans="1:29" ht="15">
      <c r="A23" s="428"/>
      <c r="B23" s="451" t="s">
        <v>2094</v>
      </c>
      <c r="C23" s="2601"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f>'比较法-高层'!K23</f>
        <v>1</v>
      </c>
      <c r="L23" s="1139"/>
      <c r="M23" s="1130"/>
      <c r="N23" s="1130"/>
      <c r="O23" s="1130"/>
      <c r="P23" s="3237"/>
      <c r="Q23" s="2952" t="str">
        <f>B23</f>
        <v>自然及人文环境</v>
      </c>
      <c r="R23" s="774" t="s">
        <v>21</v>
      </c>
      <c r="S23" s="775">
        <f>F23</f>
        <v>100</v>
      </c>
      <c r="T23" s="774" t="s">
        <v>21</v>
      </c>
      <c r="U23" s="775">
        <f>H23</f>
        <v>100</v>
      </c>
      <c r="V23" s="774" t="s">
        <v>21</v>
      </c>
      <c r="W23" s="775">
        <f>J23</f>
        <v>100</v>
      </c>
      <c r="X23" s="2950"/>
      <c r="Y23" s="3239"/>
      <c r="Z23" s="2951" t="str">
        <f>Q23</f>
        <v>自然及人文环境</v>
      </c>
      <c r="AA23" s="2953">
        <f>D23/F23</f>
        <v>1</v>
      </c>
      <c r="AB23" s="2953">
        <f>D23/H23</f>
        <v>1</v>
      </c>
      <c r="AC23" s="2953">
        <f>D23/J23</f>
        <v>1</v>
      </c>
    </row>
    <row r="24" spans="1:29" ht="15.6" thickBot="1">
      <c r="A24" s="428"/>
      <c r="B24" s="456"/>
      <c r="C24" s="447" t="s">
        <v>3436</v>
      </c>
      <c r="D24" s="448"/>
      <c r="E24" s="447" t="s">
        <v>3436</v>
      </c>
      <c r="F24" s="448"/>
      <c r="G24" s="2599" t="s">
        <v>3436</v>
      </c>
      <c r="H24" s="448"/>
      <c r="I24" s="2599" t="s">
        <v>3436</v>
      </c>
      <c r="J24" s="448"/>
      <c r="K24" s="2600"/>
      <c r="L24" s="1139"/>
      <c r="M24" s="1130"/>
      <c r="N24" s="1130"/>
      <c r="O24" s="1130"/>
      <c r="P24" s="3237"/>
      <c r="Q24" s="2952"/>
      <c r="R24" s="774"/>
      <c r="S24" s="775"/>
      <c r="T24" s="774"/>
      <c r="U24" s="775"/>
      <c r="V24" s="774"/>
      <c r="W24" s="775"/>
      <c r="X24" s="2950"/>
      <c r="Y24" s="3239"/>
      <c r="Z24" s="2951"/>
      <c r="AA24" s="2953">
        <v>1</v>
      </c>
      <c r="AB24" s="2953">
        <v>1</v>
      </c>
      <c r="AC24" s="2953">
        <v>1</v>
      </c>
    </row>
    <row r="25" spans="1:29" ht="15.6" hidden="1" thickBot="1">
      <c r="A25" s="428"/>
      <c r="B25" s="2949" t="s">
        <v>2550</v>
      </c>
      <c r="C25" s="460"/>
      <c r="D25" s="435">
        <v>100</v>
      </c>
      <c r="E25" s="2607"/>
      <c r="F25" s="435">
        <f>SUMIF(86:86,E25,87:87)-SUMIF(86:86,C25,87:87)+100</f>
        <v>100</v>
      </c>
      <c r="G25" s="2608"/>
      <c r="H25" s="435">
        <f>SUMIF(86:86,G25,87:87)-SUMIF(86:86,C25,87:87)+100</f>
        <v>100</v>
      </c>
      <c r="I25" s="2608"/>
      <c r="J25" s="435">
        <f>SUMIF(86:86,I25,87:87)-SUMIF(86:86,C25,87:87)+100</f>
        <v>100</v>
      </c>
      <c r="K25" s="426"/>
      <c r="L25" s="1139"/>
      <c r="M25" s="1130"/>
      <c r="N25" s="1130"/>
      <c r="O25" s="1130"/>
      <c r="P25" s="3237"/>
      <c r="Q25" s="2952" t="str">
        <f t="shared" ref="Q25:Q46" si="8">B25</f>
        <v>楼层-1</v>
      </c>
      <c r="R25" s="774" t="s">
        <v>21</v>
      </c>
      <c r="S25" s="775">
        <f t="shared" ref="S25:S46" si="9">F25</f>
        <v>100</v>
      </c>
      <c r="T25" s="774" t="s">
        <v>21</v>
      </c>
      <c r="U25" s="775">
        <f t="shared" ref="U25:U46" si="10">H25</f>
        <v>100</v>
      </c>
      <c r="V25" s="774" t="s">
        <v>21</v>
      </c>
      <c r="W25" s="775">
        <f t="shared" ref="W25:W46" si="11">J25</f>
        <v>100</v>
      </c>
      <c r="X25" s="2950"/>
      <c r="Y25" s="3239"/>
      <c r="Z25" s="2951" t="str">
        <f>Q25</f>
        <v>楼层-1</v>
      </c>
      <c r="AA25" s="2953">
        <f t="shared" ref="AA25:AA46" si="12">D25/F25</f>
        <v>1</v>
      </c>
      <c r="AB25" s="2953">
        <f t="shared" ref="AB25:AB46" si="13">D25/H25</f>
        <v>1</v>
      </c>
      <c r="AC25" s="2953">
        <f t="shared" ref="AC25:AC46" si="14">D25/J25</f>
        <v>1</v>
      </c>
    </row>
    <row r="26" spans="1:29" ht="15.6" hidden="1" thickBot="1">
      <c r="A26" s="428"/>
      <c r="B26" s="2949" t="s">
        <v>2551</v>
      </c>
      <c r="C26" s="460"/>
      <c r="D26" s="435">
        <v>100</v>
      </c>
      <c r="E26" s="2607"/>
      <c r="F26" s="435">
        <f>SUMIF(88:88,E26,89:89)-SUMIF(88:88,C26,89:89)+100</f>
        <v>100</v>
      </c>
      <c r="G26" s="2608"/>
      <c r="H26" s="435">
        <f>SUMIF(88:88,G26,89:89)-SUMIF(88:88,C26,89:89)+100</f>
        <v>100</v>
      </c>
      <c r="I26" s="2608"/>
      <c r="J26" s="435">
        <f>SUMIF(88:88,I26,89:89)-SUMIF(88:88,C26,89:89)+100</f>
        <v>100</v>
      </c>
      <c r="K26" s="426"/>
      <c r="L26" s="1139"/>
      <c r="M26" s="1130"/>
      <c r="N26" s="1130"/>
      <c r="O26" s="1130"/>
      <c r="P26" s="3237"/>
      <c r="Q26" s="2952" t="str">
        <f t="shared" si="8"/>
        <v>朝向</v>
      </c>
      <c r="R26" s="774" t="s">
        <v>21</v>
      </c>
      <c r="S26" s="775">
        <f t="shared" si="9"/>
        <v>100</v>
      </c>
      <c r="T26" s="774" t="s">
        <v>21</v>
      </c>
      <c r="U26" s="775">
        <f t="shared" si="10"/>
        <v>100</v>
      </c>
      <c r="V26" s="774" t="s">
        <v>21</v>
      </c>
      <c r="W26" s="775">
        <f t="shared" si="11"/>
        <v>100</v>
      </c>
      <c r="X26" s="2950"/>
      <c r="Y26" s="3239"/>
      <c r="Z26" s="2951" t="str">
        <f>Q26</f>
        <v>朝向</v>
      </c>
      <c r="AA26" s="2953">
        <f t="shared" si="12"/>
        <v>1</v>
      </c>
      <c r="AB26" s="2953">
        <f t="shared" si="13"/>
        <v>1</v>
      </c>
      <c r="AC26" s="2953">
        <f t="shared" si="14"/>
        <v>1</v>
      </c>
    </row>
    <row r="27" spans="1:29" s="117" customFormat="1" ht="15.6" hidden="1" thickBot="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1"/>
      <c r="M27" s="1132"/>
      <c r="N27" s="1132"/>
      <c r="O27" s="1132"/>
      <c r="P27" s="3237"/>
      <c r="Q27" s="2947">
        <f t="shared" si="8"/>
        <v>111</v>
      </c>
      <c r="R27" s="770" t="s">
        <v>21</v>
      </c>
      <c r="S27" s="771">
        <f t="shared" si="9"/>
        <v>100</v>
      </c>
      <c r="T27" s="770" t="s">
        <v>21</v>
      </c>
      <c r="U27" s="771">
        <f t="shared" si="10"/>
        <v>100</v>
      </c>
      <c r="V27" s="770" t="s">
        <v>21</v>
      </c>
      <c r="W27" s="771">
        <f t="shared" si="11"/>
        <v>100</v>
      </c>
      <c r="X27" s="772"/>
      <c r="Y27" s="3239"/>
      <c r="Z27" s="2948">
        <f>Q27</f>
        <v>111</v>
      </c>
      <c r="AA27" s="2953">
        <f t="shared" si="12"/>
        <v>1</v>
      </c>
      <c r="AB27" s="2953">
        <f t="shared" si="13"/>
        <v>1</v>
      </c>
      <c r="AC27" s="2953">
        <f t="shared" si="14"/>
        <v>1</v>
      </c>
    </row>
    <row r="28" spans="1:29" ht="15.6" hidden="1" thickBot="1">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39"/>
      <c r="M28" s="1130"/>
      <c r="N28" s="1130"/>
      <c r="O28" s="1130"/>
      <c r="P28" s="3237"/>
      <c r="Q28" s="2952">
        <f t="shared" si="8"/>
        <v>111</v>
      </c>
      <c r="R28" s="774" t="s">
        <v>21</v>
      </c>
      <c r="S28" s="775">
        <f t="shared" si="9"/>
        <v>100</v>
      </c>
      <c r="T28" s="774" t="s">
        <v>21</v>
      </c>
      <c r="U28" s="775">
        <f t="shared" si="10"/>
        <v>100</v>
      </c>
      <c r="V28" s="774" t="s">
        <v>21</v>
      </c>
      <c r="W28" s="775">
        <f t="shared" si="11"/>
        <v>100</v>
      </c>
      <c r="X28" s="2950"/>
      <c r="Y28" s="3239"/>
      <c r="Z28" s="2951">
        <f t="shared" ref="Z28:Z46" si="15">Q28</f>
        <v>111</v>
      </c>
      <c r="AA28" s="2953">
        <f t="shared" si="12"/>
        <v>1</v>
      </c>
      <c r="AB28" s="2953">
        <f t="shared" si="13"/>
        <v>1</v>
      </c>
      <c r="AC28" s="2953">
        <f t="shared" si="14"/>
        <v>1</v>
      </c>
    </row>
    <row r="29" spans="1:29" ht="15.6" hidden="1" thickBot="1">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39"/>
      <c r="M29" s="1130"/>
      <c r="N29" s="1130"/>
      <c r="O29" s="1130"/>
      <c r="P29" s="3237"/>
      <c r="Q29" s="2952">
        <f t="shared" si="8"/>
        <v>111</v>
      </c>
      <c r="R29" s="774" t="s">
        <v>21</v>
      </c>
      <c r="S29" s="775">
        <f t="shared" si="9"/>
        <v>100</v>
      </c>
      <c r="T29" s="774" t="s">
        <v>21</v>
      </c>
      <c r="U29" s="775">
        <f t="shared" si="10"/>
        <v>100</v>
      </c>
      <c r="V29" s="774" t="s">
        <v>21</v>
      </c>
      <c r="W29" s="775">
        <f t="shared" si="11"/>
        <v>100</v>
      </c>
      <c r="X29" s="2950"/>
      <c r="Y29" s="3239"/>
      <c r="Z29" s="2951">
        <f t="shared" si="15"/>
        <v>111</v>
      </c>
      <c r="AA29" s="2953">
        <f t="shared" si="12"/>
        <v>1</v>
      </c>
      <c r="AB29" s="2953">
        <f t="shared" si="13"/>
        <v>1</v>
      </c>
      <c r="AC29" s="2953">
        <f t="shared" si="14"/>
        <v>1</v>
      </c>
    </row>
    <row r="30" spans="1:29" ht="15.6" hidden="1" thickBot="1">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39"/>
      <c r="M30" s="1130"/>
      <c r="N30" s="1130"/>
      <c r="O30" s="1130"/>
      <c r="P30" s="3237"/>
      <c r="Q30" s="2952">
        <f t="shared" si="8"/>
        <v>111</v>
      </c>
      <c r="R30" s="774" t="s">
        <v>21</v>
      </c>
      <c r="S30" s="775">
        <f t="shared" si="9"/>
        <v>100</v>
      </c>
      <c r="T30" s="774" t="s">
        <v>21</v>
      </c>
      <c r="U30" s="775">
        <f t="shared" si="10"/>
        <v>100</v>
      </c>
      <c r="V30" s="774" t="s">
        <v>21</v>
      </c>
      <c r="W30" s="775">
        <f t="shared" si="11"/>
        <v>100</v>
      </c>
      <c r="X30" s="2950"/>
      <c r="Y30" s="3239"/>
      <c r="Z30" s="2951">
        <f t="shared" si="15"/>
        <v>111</v>
      </c>
      <c r="AA30" s="2953">
        <f t="shared" si="12"/>
        <v>1</v>
      </c>
      <c r="AB30" s="2953">
        <f t="shared" si="13"/>
        <v>1</v>
      </c>
      <c r="AC30" s="2953">
        <f t="shared" si="14"/>
        <v>1</v>
      </c>
    </row>
    <row r="31" spans="1:29" ht="15.6" hidden="1"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39"/>
      <c r="M31" s="1130"/>
      <c r="N31" s="1130"/>
      <c r="O31" s="1130"/>
      <c r="P31" s="3237"/>
      <c r="Q31" s="2952">
        <f t="shared" si="8"/>
        <v>111</v>
      </c>
      <c r="R31" s="774" t="s">
        <v>21</v>
      </c>
      <c r="S31" s="775">
        <f t="shared" si="9"/>
        <v>100</v>
      </c>
      <c r="T31" s="774" t="s">
        <v>21</v>
      </c>
      <c r="U31" s="775">
        <f t="shared" si="10"/>
        <v>100</v>
      </c>
      <c r="V31" s="774" t="s">
        <v>21</v>
      </c>
      <c r="W31" s="775">
        <f t="shared" si="11"/>
        <v>100</v>
      </c>
      <c r="X31" s="2950"/>
      <c r="Y31" s="3239"/>
      <c r="Z31" s="2951">
        <f t="shared" si="15"/>
        <v>111</v>
      </c>
      <c r="AA31" s="2953">
        <f t="shared" si="12"/>
        <v>1</v>
      </c>
      <c r="AB31" s="2953">
        <f t="shared" si="13"/>
        <v>1</v>
      </c>
      <c r="AC31" s="2953">
        <f t="shared" si="14"/>
        <v>1</v>
      </c>
    </row>
    <row r="32" spans="1:29" ht="15">
      <c r="A32" s="440" t="s">
        <v>2552</v>
      </c>
      <c r="B32" s="71" t="s">
        <v>2553</v>
      </c>
      <c r="C32" s="2611" t="s">
        <v>3535</v>
      </c>
      <c r="D32" s="467">
        <v>100</v>
      </c>
      <c r="E32" s="2611" t="s">
        <v>3537</v>
      </c>
      <c r="F32" s="461">
        <f>SUMIF(100:100,E32,101:101)-SUMIF(100:100,C32,101:101)+100</f>
        <v>92</v>
      </c>
      <c r="G32" s="2611" t="s">
        <v>3539</v>
      </c>
      <c r="H32" s="467">
        <f>SUMIF(100:100,G32,101:101)-SUMIF(100:100,C32,101:101)+100</f>
        <v>84</v>
      </c>
      <c r="I32" s="2611" t="s">
        <v>3539</v>
      </c>
      <c r="J32" s="435">
        <f>SUMIF(100:100,I32,101:101)-SUMIF(100:100,C32,101:101)+100</f>
        <v>84</v>
      </c>
      <c r="K32" s="426">
        <f>'比较法-高层'!K32</f>
        <v>8</v>
      </c>
      <c r="L32" s="1139"/>
      <c r="M32" s="1130"/>
      <c r="N32" s="1130"/>
      <c r="O32" s="1130"/>
      <c r="P32" s="3240" t="s">
        <v>2554</v>
      </c>
      <c r="Q32" s="2952" t="str">
        <f t="shared" si="8"/>
        <v>建筑类型</v>
      </c>
      <c r="R32" s="774" t="s">
        <v>21</v>
      </c>
      <c r="S32" s="775">
        <f t="shared" si="9"/>
        <v>92</v>
      </c>
      <c r="T32" s="774" t="s">
        <v>21</v>
      </c>
      <c r="U32" s="775">
        <f t="shared" si="10"/>
        <v>84</v>
      </c>
      <c r="V32" s="774" t="s">
        <v>21</v>
      </c>
      <c r="W32" s="775">
        <f t="shared" si="11"/>
        <v>84</v>
      </c>
      <c r="X32" s="2950"/>
      <c r="Y32" s="3243" t="s">
        <v>2554</v>
      </c>
      <c r="Z32" s="2951" t="str">
        <f t="shared" si="15"/>
        <v>建筑类型</v>
      </c>
      <c r="AA32" s="2953">
        <f t="shared" si="12"/>
        <v>1.0869565217391304</v>
      </c>
      <c r="AB32" s="2953">
        <f t="shared" si="13"/>
        <v>1.1904761904761905</v>
      </c>
      <c r="AC32" s="2953">
        <f t="shared" si="14"/>
        <v>1.1904761904761905</v>
      </c>
    </row>
    <row r="33" spans="1:29" s="471" customFormat="1" ht="15">
      <c r="A33" s="468"/>
      <c r="B33" s="2949" t="s">
        <v>2555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5"/>
      <c r="L33" s="1137"/>
      <c r="M33" s="1140"/>
      <c r="N33" s="1140"/>
      <c r="O33" s="1140"/>
      <c r="P33" s="3241"/>
      <c r="Q33" s="776" t="str">
        <f t="shared" si="8"/>
        <v>项目建筑规模</v>
      </c>
      <c r="R33" s="777" t="s">
        <v>21</v>
      </c>
      <c r="S33" s="778">
        <f t="shared" si="9"/>
        <v>100</v>
      </c>
      <c r="T33" s="777" t="s">
        <v>21</v>
      </c>
      <c r="U33" s="778">
        <f t="shared" si="10"/>
        <v>100</v>
      </c>
      <c r="V33" s="777" t="s">
        <v>21</v>
      </c>
      <c r="W33" s="778">
        <f t="shared" si="11"/>
        <v>100</v>
      </c>
      <c r="X33" s="779"/>
      <c r="Y33" s="3243"/>
      <c r="Z33" s="780" t="str">
        <f t="shared" si="15"/>
        <v>项目建筑规模</v>
      </c>
      <c r="AA33" s="2953">
        <f t="shared" si="12"/>
        <v>1</v>
      </c>
      <c r="AB33" s="2953">
        <f t="shared" si="13"/>
        <v>1</v>
      </c>
      <c r="AC33" s="2953">
        <f t="shared" si="14"/>
        <v>1</v>
      </c>
    </row>
    <row r="34" spans="1:29" ht="15">
      <c r="A34" s="472"/>
      <c r="B34" s="2949" t="s">
        <v>2556</v>
      </c>
      <c r="C34" s="2613" t="s">
        <v>3469</v>
      </c>
      <c r="D34" s="435">
        <v>100</v>
      </c>
      <c r="E34" s="2613" t="s">
        <v>3469</v>
      </c>
      <c r="F34" s="461">
        <f>SUMIF(105:105,E34,106:106)-SUMIF(105:105,C34,106:106)+100</f>
        <v>100</v>
      </c>
      <c r="G34" s="2613" t="s">
        <v>3469</v>
      </c>
      <c r="H34" s="435">
        <f>SUMIF(105:105,G34,106:106)-SUMIF(105:105,C34,106:106)+100</f>
        <v>100</v>
      </c>
      <c r="I34" s="2613" t="s">
        <v>3469</v>
      </c>
      <c r="J34" s="435">
        <f>SUMIF(105:105,I34,106:106)-SUMIF(105:105,C34,106:106)+100</f>
        <v>100</v>
      </c>
      <c r="K34" s="426">
        <f>'比较法-高层'!K34</f>
        <v>1</v>
      </c>
      <c r="L34" s="1139"/>
      <c r="M34" s="1130"/>
      <c r="N34" s="1130"/>
      <c r="O34" s="1130"/>
      <c r="P34" s="3241"/>
      <c r="Q34" s="2952" t="str">
        <f t="shared" si="8"/>
        <v>建筑结构</v>
      </c>
      <c r="R34" s="774" t="s">
        <v>21</v>
      </c>
      <c r="S34" s="775">
        <f t="shared" si="9"/>
        <v>100</v>
      </c>
      <c r="T34" s="774" t="s">
        <v>21</v>
      </c>
      <c r="U34" s="775">
        <f t="shared" si="10"/>
        <v>100</v>
      </c>
      <c r="V34" s="774" t="s">
        <v>21</v>
      </c>
      <c r="W34" s="775">
        <f t="shared" si="11"/>
        <v>100</v>
      </c>
      <c r="X34" s="2950"/>
      <c r="Y34" s="3243"/>
      <c r="Z34" s="2951" t="str">
        <f t="shared" si="15"/>
        <v>建筑结构</v>
      </c>
      <c r="AA34" s="2953">
        <f t="shared" si="12"/>
        <v>1</v>
      </c>
      <c r="AB34" s="2953">
        <f t="shared" si="13"/>
        <v>1</v>
      </c>
      <c r="AC34" s="2953">
        <f t="shared" si="14"/>
        <v>1</v>
      </c>
    </row>
    <row r="35" spans="1:29" ht="15">
      <c r="A35" s="472"/>
      <c r="B35" s="2949" t="s">
        <v>2557</v>
      </c>
      <c r="C35" s="2607" t="s">
        <v>3443</v>
      </c>
      <c r="D35" s="435">
        <v>100</v>
      </c>
      <c r="E35" s="2607" t="s">
        <v>3443</v>
      </c>
      <c r="F35" s="461">
        <f>SUMIF(107:107,E35,108:108)-SUMIF(107:107,C35,108:108)+100</f>
        <v>100</v>
      </c>
      <c r="G35" s="2607" t="s">
        <v>3443</v>
      </c>
      <c r="H35" s="435">
        <f>SUMIF(107:107,G35,108:108)-SUMIF(107:107,C35,108:108)+100</f>
        <v>100</v>
      </c>
      <c r="I35" s="2607" t="s">
        <v>3443</v>
      </c>
      <c r="J35" s="435">
        <f>SUMIF(107:107,I35,108:108)-SUMIF(107:107,C35,108:108)+100</f>
        <v>100</v>
      </c>
      <c r="K35" s="426">
        <f>'比较法-高层'!K35</f>
        <v>1</v>
      </c>
      <c r="L35" s="1139"/>
      <c r="M35" s="1130"/>
      <c r="N35" s="1130"/>
      <c r="O35" s="1130"/>
      <c r="P35" s="3241"/>
      <c r="Q35" s="2952" t="str">
        <f t="shared" si="8"/>
        <v>建筑品质</v>
      </c>
      <c r="R35" s="774" t="s">
        <v>21</v>
      </c>
      <c r="S35" s="775">
        <f t="shared" si="9"/>
        <v>100</v>
      </c>
      <c r="T35" s="774" t="s">
        <v>21</v>
      </c>
      <c r="U35" s="775">
        <f t="shared" si="10"/>
        <v>100</v>
      </c>
      <c r="V35" s="774" t="s">
        <v>21</v>
      </c>
      <c r="W35" s="775">
        <f t="shared" si="11"/>
        <v>100</v>
      </c>
      <c r="X35" s="2950"/>
      <c r="Y35" s="3243"/>
      <c r="Z35" s="2951" t="str">
        <f t="shared" si="15"/>
        <v>建筑品质</v>
      </c>
      <c r="AA35" s="2953">
        <f t="shared" si="12"/>
        <v>1</v>
      </c>
      <c r="AB35" s="2953">
        <f t="shared" si="13"/>
        <v>1</v>
      </c>
      <c r="AC35" s="2953">
        <f t="shared" si="14"/>
        <v>1</v>
      </c>
    </row>
    <row r="36" spans="1:29" ht="15">
      <c r="A36" s="472"/>
      <c r="B36" s="2949" t="s">
        <v>2558</v>
      </c>
      <c r="C36" s="2607" t="s">
        <v>3479</v>
      </c>
      <c r="D36" s="435">
        <v>100</v>
      </c>
      <c r="E36" s="2607" t="s">
        <v>3479</v>
      </c>
      <c r="F36" s="461">
        <f>SUMIF(109:109,E36,110:110)-SUMIF(109:109,C36,110:110)+100</f>
        <v>100</v>
      </c>
      <c r="G36" s="2607" t="s">
        <v>3479</v>
      </c>
      <c r="H36" s="435">
        <f>SUMIF(109:109,G36,110:110)-SUMIF(109:109,C36,110:110)+100</f>
        <v>100</v>
      </c>
      <c r="I36" s="2607" t="s">
        <v>3479</v>
      </c>
      <c r="J36" s="435">
        <f>SUMIF(109:109,I36,110:110)-SUMIF(109:109,C36,110:110)+100</f>
        <v>100</v>
      </c>
      <c r="K36" s="426">
        <f>'比较法-高层'!K36</f>
        <v>3</v>
      </c>
      <c r="L36" s="1139"/>
      <c r="M36" s="1130"/>
      <c r="N36" s="1130"/>
      <c r="O36" s="1130"/>
      <c r="P36" s="3241"/>
      <c r="Q36" s="2952" t="str">
        <f t="shared" si="8"/>
        <v>公共部分装修</v>
      </c>
      <c r="R36" s="774" t="s">
        <v>21</v>
      </c>
      <c r="S36" s="775">
        <f t="shared" si="9"/>
        <v>100</v>
      </c>
      <c r="T36" s="774" t="s">
        <v>21</v>
      </c>
      <c r="U36" s="775">
        <f t="shared" si="10"/>
        <v>100</v>
      </c>
      <c r="V36" s="774" t="s">
        <v>21</v>
      </c>
      <c r="W36" s="775">
        <f t="shared" si="11"/>
        <v>100</v>
      </c>
      <c r="X36" s="2950"/>
      <c r="Y36" s="3243"/>
      <c r="Z36" s="2951" t="str">
        <f t="shared" si="15"/>
        <v>公共部分装修</v>
      </c>
      <c r="AA36" s="2953">
        <f t="shared" si="12"/>
        <v>1</v>
      </c>
      <c r="AB36" s="2953">
        <f t="shared" si="13"/>
        <v>1</v>
      </c>
      <c r="AC36" s="2953">
        <f t="shared" si="14"/>
        <v>1</v>
      </c>
    </row>
    <row r="37" spans="1:29" s="117" customFormat="1" ht="15">
      <c r="A37" s="473"/>
      <c r="B37" s="2949"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f>'比较法-高层'!K37</f>
        <v>1</v>
      </c>
      <c r="L37" s="1131"/>
      <c r="M37" s="1132"/>
      <c r="N37" s="1132"/>
      <c r="O37" s="1132"/>
      <c r="P37" s="3241"/>
      <c r="Q37" s="2947" t="str">
        <f t="shared" si="8"/>
        <v>成新度</v>
      </c>
      <c r="R37" s="770" t="s">
        <v>21</v>
      </c>
      <c r="S37" s="771">
        <f t="shared" si="9"/>
        <v>100</v>
      </c>
      <c r="T37" s="770" t="s">
        <v>21</v>
      </c>
      <c r="U37" s="771">
        <f t="shared" si="10"/>
        <v>100</v>
      </c>
      <c r="V37" s="770" t="s">
        <v>21</v>
      </c>
      <c r="W37" s="771">
        <f t="shared" si="11"/>
        <v>100</v>
      </c>
      <c r="X37" s="772"/>
      <c r="Y37" s="3243"/>
      <c r="Z37" s="2948" t="str">
        <f t="shared" si="15"/>
        <v>成新度</v>
      </c>
      <c r="AA37" s="773">
        <f t="shared" si="12"/>
        <v>1</v>
      </c>
      <c r="AB37" s="773">
        <f t="shared" si="13"/>
        <v>1</v>
      </c>
      <c r="AC37" s="773">
        <f t="shared" si="14"/>
        <v>1</v>
      </c>
    </row>
    <row r="38" spans="1:29" ht="15">
      <c r="A38" s="472"/>
      <c r="B38" s="2949" t="s">
        <v>2560</v>
      </c>
      <c r="C38" s="2607" t="s">
        <v>3443</v>
      </c>
      <c r="D38" s="435">
        <v>100</v>
      </c>
      <c r="E38" s="2607" t="s">
        <v>3443</v>
      </c>
      <c r="F38" s="461">
        <f>SUMIF(114:114,E38,115:115)-SUMIF(114:114,C38,115:115)+100</f>
        <v>100</v>
      </c>
      <c r="G38" s="2607" t="s">
        <v>3443</v>
      </c>
      <c r="H38" s="435">
        <f>SUMIF(114:114,G38,115:115)-SUMIF(114:114,C38,115:115)+100</f>
        <v>100</v>
      </c>
      <c r="I38" s="2607" t="s">
        <v>3443</v>
      </c>
      <c r="J38" s="435">
        <f>SUMIF(114:114,I38,115:115)-SUMIF(114:114,C38,115:115)+100</f>
        <v>100</v>
      </c>
      <c r="K38" s="426">
        <f>'比较法-高层'!K38</f>
        <v>1</v>
      </c>
      <c r="L38" s="1139"/>
      <c r="M38" s="1130"/>
      <c r="N38" s="1130"/>
      <c r="O38" s="1130"/>
      <c r="P38" s="3241" t="s">
        <v>2554</v>
      </c>
      <c r="Q38" s="2952" t="str">
        <f t="shared" si="8"/>
        <v>物业管理</v>
      </c>
      <c r="R38" s="774" t="s">
        <v>21</v>
      </c>
      <c r="S38" s="775">
        <f t="shared" si="9"/>
        <v>100</v>
      </c>
      <c r="T38" s="774" t="s">
        <v>21</v>
      </c>
      <c r="U38" s="775">
        <f t="shared" si="10"/>
        <v>100</v>
      </c>
      <c r="V38" s="774" t="s">
        <v>21</v>
      </c>
      <c r="W38" s="775">
        <f t="shared" si="11"/>
        <v>100</v>
      </c>
      <c r="X38" s="2950"/>
      <c r="Y38" s="3243" t="s">
        <v>2554</v>
      </c>
      <c r="Z38" s="2951" t="str">
        <f t="shared" si="15"/>
        <v>物业管理</v>
      </c>
      <c r="AA38" s="2953">
        <f t="shared" si="12"/>
        <v>1</v>
      </c>
      <c r="AB38" s="2953">
        <f t="shared" si="13"/>
        <v>1</v>
      </c>
      <c r="AC38" s="2953">
        <f t="shared" si="14"/>
        <v>1</v>
      </c>
    </row>
    <row r="39" spans="1:29" ht="15">
      <c r="A39" s="472"/>
      <c r="B39" s="2949" t="s">
        <v>2561</v>
      </c>
      <c r="C39" s="2607" t="s">
        <v>3434</v>
      </c>
      <c r="D39" s="435">
        <v>100</v>
      </c>
      <c r="E39" s="2607" t="s">
        <v>3434</v>
      </c>
      <c r="F39" s="461">
        <f>SUMIF(116:116,E39,117:117)-SUMIF(116:116,C39,117:117)+100</f>
        <v>100</v>
      </c>
      <c r="G39" s="2607" t="s">
        <v>3434</v>
      </c>
      <c r="H39" s="435">
        <f>SUMIF(116:116,G39,117:117)-SUMIF(116:116,C39,117:117)+100</f>
        <v>100</v>
      </c>
      <c r="I39" s="2607" t="s">
        <v>3434</v>
      </c>
      <c r="J39" s="435">
        <f>SUMIF(116:116,I39,117:117)-SUMIF(116:116,C39,117:117)+100</f>
        <v>100</v>
      </c>
      <c r="K39" s="426">
        <f>'比较法-高层'!K39</f>
        <v>1</v>
      </c>
      <c r="L39" s="1139"/>
      <c r="M39" s="1130"/>
      <c r="N39" s="1130"/>
      <c r="O39" s="1130"/>
      <c r="P39" s="3241"/>
      <c r="Q39" s="2952" t="str">
        <f t="shared" si="8"/>
        <v>市政基础设施</v>
      </c>
      <c r="R39" s="774" t="s">
        <v>21</v>
      </c>
      <c r="S39" s="775">
        <f t="shared" si="9"/>
        <v>100</v>
      </c>
      <c r="T39" s="774" t="s">
        <v>21</v>
      </c>
      <c r="U39" s="775">
        <f t="shared" si="10"/>
        <v>100</v>
      </c>
      <c r="V39" s="774" t="s">
        <v>21</v>
      </c>
      <c r="W39" s="775">
        <f t="shared" si="11"/>
        <v>100</v>
      </c>
      <c r="X39" s="2950"/>
      <c r="Y39" s="3243"/>
      <c r="Z39" s="2951" t="str">
        <f t="shared" si="15"/>
        <v>市政基础设施</v>
      </c>
      <c r="AA39" s="2953">
        <f t="shared" si="12"/>
        <v>1</v>
      </c>
      <c r="AB39" s="2953">
        <f t="shared" si="13"/>
        <v>1</v>
      </c>
      <c r="AC39" s="2953">
        <f t="shared" si="14"/>
        <v>1</v>
      </c>
    </row>
    <row r="40" spans="1:29" ht="15">
      <c r="A40" s="472"/>
      <c r="B40" s="2949" t="s">
        <v>2562</v>
      </c>
      <c r="C40" s="2607" t="s">
        <v>3487</v>
      </c>
      <c r="D40" s="435">
        <v>100</v>
      </c>
      <c r="E40" s="2607" t="s">
        <v>3487</v>
      </c>
      <c r="F40" s="461">
        <f>SUMIF(118:118,E40,119:119)-SUMIF(118:118,C40,119:119)+100</f>
        <v>100</v>
      </c>
      <c r="G40" s="2607" t="s">
        <v>3487</v>
      </c>
      <c r="H40" s="435">
        <f>SUMIF(118:118,G40,119:119)-SUMIF(118:118,C40,119:119)+100</f>
        <v>100</v>
      </c>
      <c r="I40" s="2607" t="s">
        <v>3487</v>
      </c>
      <c r="J40" s="435">
        <f>SUMIF(118:118,I40,119:119)-SUMIF(118:118,C40,119:119)+100</f>
        <v>100</v>
      </c>
      <c r="K40" s="426">
        <f>'比较法-高层'!K40</f>
        <v>5</v>
      </c>
      <c r="L40" s="1139"/>
      <c r="M40" s="1130"/>
      <c r="N40" s="1130"/>
      <c r="O40" s="1130"/>
      <c r="P40" s="3241"/>
      <c r="Q40" s="2952" t="str">
        <f t="shared" si="8"/>
        <v>房型</v>
      </c>
      <c r="R40" s="774" t="s">
        <v>21</v>
      </c>
      <c r="S40" s="775">
        <f t="shared" si="9"/>
        <v>100</v>
      </c>
      <c r="T40" s="774" t="s">
        <v>21</v>
      </c>
      <c r="U40" s="775">
        <f t="shared" si="10"/>
        <v>100</v>
      </c>
      <c r="V40" s="774" t="s">
        <v>21</v>
      </c>
      <c r="W40" s="775">
        <f t="shared" si="11"/>
        <v>100</v>
      </c>
      <c r="X40" s="2950"/>
      <c r="Y40" s="3243"/>
      <c r="Z40" s="2951" t="str">
        <f t="shared" si="15"/>
        <v>房型</v>
      </c>
      <c r="AA40" s="2953">
        <f t="shared" si="12"/>
        <v>1</v>
      </c>
      <c r="AB40" s="2953">
        <f t="shared" si="13"/>
        <v>1</v>
      </c>
      <c r="AC40" s="2953">
        <f t="shared" si="14"/>
        <v>1</v>
      </c>
    </row>
    <row r="41" spans="1:29" s="471" customFormat="1" ht="28.8" hidden="1">
      <c r="A41" s="468"/>
      <c r="B41" s="2949"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5"/>
      <c r="L41" s="1137"/>
      <c r="M41" s="1140"/>
      <c r="N41" s="1140"/>
      <c r="O41" s="1140"/>
      <c r="P41" s="3241"/>
      <c r="Q41" s="776" t="str">
        <f t="shared" si="8"/>
        <v>单套/主力户型建筑面积</v>
      </c>
      <c r="R41" s="777" t="s">
        <v>21</v>
      </c>
      <c r="S41" s="778">
        <f t="shared" si="9"/>
        <v>100</v>
      </c>
      <c r="T41" s="777" t="s">
        <v>21</v>
      </c>
      <c r="U41" s="778">
        <f t="shared" si="10"/>
        <v>100</v>
      </c>
      <c r="V41" s="777" t="s">
        <v>21</v>
      </c>
      <c r="W41" s="778">
        <f t="shared" si="11"/>
        <v>100</v>
      </c>
      <c r="X41" s="779"/>
      <c r="Y41" s="3243"/>
      <c r="Z41" s="780" t="str">
        <f t="shared" si="15"/>
        <v>单套/主力户型建筑面积</v>
      </c>
      <c r="AA41" s="2953">
        <f t="shared" si="12"/>
        <v>1</v>
      </c>
      <c r="AB41" s="2953">
        <f t="shared" si="13"/>
        <v>1</v>
      </c>
      <c r="AC41" s="2953">
        <f t="shared" si="14"/>
        <v>1</v>
      </c>
    </row>
    <row r="42" spans="1:29" ht="15">
      <c r="A42" s="472"/>
      <c r="B42" s="2949" t="s">
        <v>2564</v>
      </c>
      <c r="C42" s="2607" t="s">
        <v>3485</v>
      </c>
      <c r="D42" s="435">
        <v>100</v>
      </c>
      <c r="E42" s="2607" t="s">
        <v>3485</v>
      </c>
      <c r="F42" s="461">
        <f>SUMIF(122:122,E42,123:123)-SUMIF(122:122,C42,123:123)+100</f>
        <v>100</v>
      </c>
      <c r="G42" s="2607" t="s">
        <v>3479</v>
      </c>
      <c r="H42" s="435">
        <f>SUMIF(122:122,G42,123:123)-SUMIF(122:122,C42,123:123)+100</f>
        <v>109</v>
      </c>
      <c r="I42" s="2607" t="s">
        <v>3485</v>
      </c>
      <c r="J42" s="435">
        <f>SUMIF(122:122,I42,123:123)-SUMIF(122:122,C42,123:123)+100</f>
        <v>100</v>
      </c>
      <c r="K42" s="426">
        <f>'比较法-高层'!K42</f>
        <v>3</v>
      </c>
      <c r="L42" s="1139"/>
      <c r="M42" s="1130"/>
      <c r="N42" s="1130"/>
      <c r="O42" s="1130"/>
      <c r="P42" s="3241"/>
      <c r="Q42" s="2952" t="str">
        <f t="shared" si="8"/>
        <v>内部装修</v>
      </c>
      <c r="R42" s="774" t="s">
        <v>21</v>
      </c>
      <c r="S42" s="775">
        <f t="shared" si="9"/>
        <v>100</v>
      </c>
      <c r="T42" s="774" t="s">
        <v>21</v>
      </c>
      <c r="U42" s="775">
        <f t="shared" si="10"/>
        <v>109</v>
      </c>
      <c r="V42" s="774" t="s">
        <v>21</v>
      </c>
      <c r="W42" s="775">
        <f t="shared" si="11"/>
        <v>100</v>
      </c>
      <c r="X42" s="2950"/>
      <c r="Y42" s="3243"/>
      <c r="Z42" s="2951" t="str">
        <f t="shared" si="15"/>
        <v>内部装修</v>
      </c>
      <c r="AA42" s="2953">
        <f t="shared" si="12"/>
        <v>1</v>
      </c>
      <c r="AB42" s="2953">
        <f t="shared" si="13"/>
        <v>0.91743119266055051</v>
      </c>
      <c r="AC42" s="2953">
        <f t="shared" si="14"/>
        <v>1</v>
      </c>
    </row>
    <row r="43" spans="1:29" ht="29.4" thickBot="1">
      <c r="A43" s="472"/>
      <c r="B43" s="2949" t="s">
        <v>2565</v>
      </c>
      <c r="C43" s="2607" t="s">
        <v>3443</v>
      </c>
      <c r="D43" s="435">
        <v>100</v>
      </c>
      <c r="E43" s="2607" t="s">
        <v>3443</v>
      </c>
      <c r="F43" s="461">
        <f>SUMIF(124:124,E43,125:125)-SUMIF(124:124,C43,125:125)+100</f>
        <v>100</v>
      </c>
      <c r="G43" s="2607" t="s">
        <v>3443</v>
      </c>
      <c r="H43" s="435">
        <f>SUMIF(124:124,G43,125:125)-SUMIF(124:124,C43,125:125)+100</f>
        <v>100</v>
      </c>
      <c r="I43" s="2607" t="s">
        <v>3443</v>
      </c>
      <c r="J43" s="435">
        <f>SUMIF(124:124,I43,125:125)-SUMIF(124:124,C43,125:125)+100</f>
        <v>100</v>
      </c>
      <c r="K43" s="426">
        <f>'比较法-高层'!K43</f>
        <v>1</v>
      </c>
      <c r="L43" s="1139"/>
      <c r="M43" s="1130"/>
      <c r="N43" s="1130"/>
      <c r="O43" s="1130"/>
      <c r="P43" s="3241"/>
      <c r="Q43" s="2952" t="str">
        <f t="shared" si="8"/>
        <v>内部装修维护情况</v>
      </c>
      <c r="R43" s="774" t="s">
        <v>21</v>
      </c>
      <c r="S43" s="775">
        <f t="shared" si="9"/>
        <v>100</v>
      </c>
      <c r="T43" s="774" t="s">
        <v>21</v>
      </c>
      <c r="U43" s="775">
        <f t="shared" si="10"/>
        <v>100</v>
      </c>
      <c r="V43" s="774" t="s">
        <v>21</v>
      </c>
      <c r="W43" s="775">
        <f t="shared" si="11"/>
        <v>100</v>
      </c>
      <c r="X43" s="2950"/>
      <c r="Y43" s="3243"/>
      <c r="Z43" s="2951" t="str">
        <f t="shared" si="15"/>
        <v>内部装修维护情况</v>
      </c>
      <c r="AA43" s="2953">
        <f t="shared" si="12"/>
        <v>1</v>
      </c>
      <c r="AB43" s="2953">
        <f t="shared" si="13"/>
        <v>1</v>
      </c>
      <c r="AC43" s="2953">
        <f t="shared" si="14"/>
        <v>1</v>
      </c>
    </row>
    <row r="44" spans="1:29" s="117" customFormat="1" ht="15.6"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1"/>
      <c r="M44" s="1132"/>
      <c r="N44" s="1132"/>
      <c r="O44" s="1132"/>
      <c r="P44" s="3241"/>
      <c r="Q44" s="2947">
        <f t="shared" si="8"/>
        <v>111</v>
      </c>
      <c r="R44" s="770" t="s">
        <v>21</v>
      </c>
      <c r="S44" s="771">
        <f t="shared" si="9"/>
        <v>100</v>
      </c>
      <c r="T44" s="770" t="s">
        <v>21</v>
      </c>
      <c r="U44" s="771">
        <f t="shared" si="10"/>
        <v>100</v>
      </c>
      <c r="V44" s="770" t="s">
        <v>21</v>
      </c>
      <c r="W44" s="771">
        <f t="shared" si="11"/>
        <v>100</v>
      </c>
      <c r="X44" s="772"/>
      <c r="Y44" s="3243"/>
      <c r="Z44" s="2948">
        <f t="shared" si="15"/>
        <v>111</v>
      </c>
      <c r="AA44" s="773">
        <f t="shared" si="12"/>
        <v>1</v>
      </c>
      <c r="AB44" s="773">
        <f t="shared" si="13"/>
        <v>1</v>
      </c>
      <c r="AC44" s="773">
        <f t="shared" si="14"/>
        <v>1</v>
      </c>
    </row>
    <row r="45" spans="1:29" ht="15.6"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9"/>
      <c r="M45" s="1130"/>
      <c r="N45" s="1130"/>
      <c r="O45" s="1130"/>
      <c r="P45" s="3241"/>
      <c r="Q45" s="2952">
        <f t="shared" si="8"/>
        <v>111</v>
      </c>
      <c r="R45" s="774" t="s">
        <v>21</v>
      </c>
      <c r="S45" s="775">
        <f t="shared" si="9"/>
        <v>100</v>
      </c>
      <c r="T45" s="774" t="s">
        <v>21</v>
      </c>
      <c r="U45" s="775">
        <f t="shared" si="10"/>
        <v>100</v>
      </c>
      <c r="V45" s="774" t="s">
        <v>21</v>
      </c>
      <c r="W45" s="775">
        <f t="shared" si="11"/>
        <v>100</v>
      </c>
      <c r="X45" s="2950"/>
      <c r="Y45" s="3243"/>
      <c r="Z45" s="2951">
        <f t="shared" si="15"/>
        <v>111</v>
      </c>
      <c r="AA45" s="2953">
        <f t="shared" si="12"/>
        <v>1</v>
      </c>
      <c r="AB45" s="2953">
        <f t="shared" si="13"/>
        <v>1</v>
      </c>
      <c r="AC45" s="2953">
        <f t="shared" si="14"/>
        <v>1</v>
      </c>
    </row>
    <row r="46" spans="1:29" ht="15.6"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9"/>
      <c r="M46" s="1130"/>
      <c r="N46" s="1130"/>
      <c r="O46" s="1130"/>
      <c r="P46" s="3242"/>
      <c r="Q46" s="2952">
        <f t="shared" si="8"/>
        <v>111</v>
      </c>
      <c r="R46" s="774" t="s">
        <v>20</v>
      </c>
      <c r="S46" s="775">
        <f t="shared" si="9"/>
        <v>100</v>
      </c>
      <c r="T46" s="774" t="s">
        <v>20</v>
      </c>
      <c r="U46" s="775">
        <f t="shared" si="10"/>
        <v>100</v>
      </c>
      <c r="V46" s="774" t="s">
        <v>20</v>
      </c>
      <c r="W46" s="775">
        <f t="shared" si="11"/>
        <v>100</v>
      </c>
      <c r="X46" s="2950"/>
      <c r="Y46" s="3244"/>
      <c r="Z46" s="2951">
        <f t="shared" si="15"/>
        <v>111</v>
      </c>
      <c r="AA46" s="2953">
        <f t="shared" si="12"/>
        <v>1</v>
      </c>
      <c r="AB46" s="2953">
        <f t="shared" si="13"/>
        <v>1</v>
      </c>
      <c r="AC46" s="2953">
        <f t="shared" si="14"/>
        <v>1</v>
      </c>
    </row>
    <row r="47" spans="1:29" ht="14.4">
      <c r="A47" s="479" t="s">
        <v>2566</v>
      </c>
      <c r="B47" s="480"/>
      <c r="C47" s="1406" t="s">
        <v>19</v>
      </c>
      <c r="D47" s="1407"/>
      <c r="E47" s="1408">
        <v>16000</v>
      </c>
      <c r="F47" s="1409"/>
      <c r="G47" s="1410">
        <v>17800</v>
      </c>
      <c r="H47" s="1411"/>
      <c r="I47" s="1408">
        <v>18000</v>
      </c>
      <c r="J47" s="1411"/>
      <c r="K47" s="2614"/>
      <c r="L47" s="1142"/>
      <c r="M47" s="1143"/>
      <c r="N47" s="1130"/>
      <c r="O47" s="1143"/>
      <c r="P47" s="3245" t="str">
        <f>A47</f>
        <v>成交单价（元/平方米）</v>
      </c>
      <c r="Q47" s="3245"/>
      <c r="R47" s="3246">
        <f>E47</f>
        <v>16000</v>
      </c>
      <c r="S47" s="3246"/>
      <c r="T47" s="3246">
        <f>G47</f>
        <v>17800</v>
      </c>
      <c r="U47" s="3246"/>
      <c r="V47" s="3246">
        <f>I47</f>
        <v>18000</v>
      </c>
      <c r="W47" s="3246"/>
      <c r="X47" s="759"/>
      <c r="Y47" s="781"/>
      <c r="Z47" s="759"/>
      <c r="AA47" s="759"/>
      <c r="AB47" s="759"/>
      <c r="AC47" s="759"/>
    </row>
    <row r="48" spans="1:29" ht="15" thickBot="1">
      <c r="A48" s="486" t="s">
        <v>2567</v>
      </c>
      <c r="B48" s="487"/>
      <c r="C48" s="1412">
        <f>R49</f>
        <v>18890</v>
      </c>
      <c r="D48" s="1413"/>
      <c r="E48" s="1414">
        <f>R48</f>
        <v>17391</v>
      </c>
      <c r="F48" s="1414"/>
      <c r="G48" s="1412">
        <f>T48</f>
        <v>18684</v>
      </c>
      <c r="H48" s="1413"/>
      <c r="I48" s="1414">
        <f>V48</f>
        <v>20594</v>
      </c>
      <c r="J48" s="1413"/>
      <c r="K48" s="2615"/>
      <c r="L48" s="1142"/>
      <c r="M48" s="1143"/>
      <c r="N48" s="1143"/>
      <c r="O48" s="1143"/>
      <c r="P48" s="3245" t="str">
        <f>A48</f>
        <v>比较价值（元/平方米）</v>
      </c>
      <c r="Q48" s="3245"/>
      <c r="R48" s="3246">
        <f>IF(F1="售价",ROUND(PRODUCT(R47,AA7:AA46),0),ROUND(PRODUCT(R47,AA7:AA46),1))</f>
        <v>17391</v>
      </c>
      <c r="S48" s="3246"/>
      <c r="T48" s="3246">
        <f>IF(F1="售价",ROUND(PRODUCT(T47,AB7:AB46),0),ROUND(PRODUCT(T47,AB7:AB46),1))</f>
        <v>18684</v>
      </c>
      <c r="U48" s="3246"/>
      <c r="V48" s="3246">
        <f>IF(F1="售价",ROUND(PRODUCT(V47,AC7:AC46),0),ROUND(PRODUCT(V47,AC7:AC46),1))</f>
        <v>20594</v>
      </c>
      <c r="W48" s="3246"/>
      <c r="X48" s="759"/>
      <c r="Y48" s="759"/>
      <c r="Z48" s="759"/>
      <c r="AA48" s="759"/>
      <c r="AB48" s="759"/>
      <c r="AC48" s="759"/>
    </row>
    <row r="49" spans="1:29" ht="15" thickBot="1">
      <c r="A49" s="492" t="s">
        <v>2568</v>
      </c>
      <c r="B49" s="493"/>
      <c r="C49" s="1415">
        <f>R49</f>
        <v>18890</v>
      </c>
      <c r="D49" s="1416"/>
      <c r="E49" s="1416"/>
      <c r="F49" s="1416"/>
      <c r="G49" s="1416"/>
      <c r="H49" s="1416"/>
      <c r="I49" s="1416"/>
      <c r="J49" s="1416"/>
      <c r="K49" s="2616"/>
      <c r="L49" s="1142"/>
      <c r="M49" s="1143"/>
      <c r="N49" s="1143"/>
      <c r="O49" s="1143"/>
      <c r="P49" s="3247" t="str">
        <f>A49</f>
        <v>估价对象XX用房的比较价值（楼面单价，元/平方米）</v>
      </c>
      <c r="Q49" s="3248"/>
      <c r="R49" s="3249">
        <f>IF(F1="售价",ROUND(AVERAGE(R48:V48),0),ROUND(AVERAGE(R48:V48),1))</f>
        <v>18890</v>
      </c>
      <c r="S49" s="3249"/>
      <c r="T49" s="3249"/>
      <c r="U49" s="3249"/>
      <c r="V49" s="3249"/>
      <c r="W49" s="324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8.693749999999989E-2</v>
      </c>
      <c r="F52" s="500" t="str">
        <f>IF(OR(E52&gt;=0.3,E52&lt;=-0.3),"超过30%","")</f>
        <v/>
      </c>
      <c r="G52" s="499">
        <f>IF(G47&lt;G48,G48/G47-1,G47/G48-1)</f>
        <v>4.9662921348314626E-2</v>
      </c>
      <c r="H52" s="500" t="str">
        <f>IF(OR(G52&gt;=0.3,G52&lt;=-0.3),"超过30%","")</f>
        <v/>
      </c>
      <c r="I52" s="499">
        <f>IF(I47&lt;I48,I48/I47-1,I47/I48-1)</f>
        <v>0.14411111111111108</v>
      </c>
      <c r="J52" s="500" t="str">
        <f>IF(OR(I52&gt;=0.3,I52&lt;=-0.3),"超过30%","")</f>
        <v/>
      </c>
      <c r="K52" s="1104"/>
      <c r="L52" s="1105"/>
      <c r="M52" s="1143"/>
      <c r="N52" s="1143"/>
      <c r="O52" s="1143"/>
    </row>
    <row r="53" spans="1:29" ht="13.5" customHeight="1">
      <c r="A53" s="1143"/>
      <c r="B53" s="1143"/>
      <c r="C53" s="497" t="s">
        <v>2570</v>
      </c>
      <c r="D53" s="501"/>
      <c r="E53" s="499">
        <f>IF(E48&lt;G48,G48/E48-1,E48/G48-1)</f>
        <v>7.4348801104019424E-2</v>
      </c>
      <c r="F53" s="500" t="str">
        <f>IF(OR(E53&gt;=0.2,E53&lt;=-0.2),"超过20%","")</f>
        <v/>
      </c>
      <c r="G53" s="499">
        <f>IF(G48&lt;I48,I48/G48-1,G48/I48-1)</f>
        <v>0.10222650396060806</v>
      </c>
      <c r="H53" s="500" t="str">
        <f>IF(OR(G53&gt;=0.2,G53&lt;=-0.2),"超过20%","")</f>
        <v/>
      </c>
      <c r="I53" s="499">
        <f>IF(I48&lt;E48,E48/I48-1,I48/E48-1)</f>
        <v>0.18417572307515373</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0.11250000000000004</v>
      </c>
      <c r="F54" s="500" t="str">
        <f>IF(OR(E54&gt;=0.3,E54&lt;=-0.3),"超过30%","")</f>
        <v/>
      </c>
      <c r="G54" s="499">
        <f>IF(G47&lt;I47,I47/G47-1,G47/I47-1)</f>
        <v>1.1235955056179803E-2</v>
      </c>
      <c r="H54" s="500" t="str">
        <f>IF(OR(G54&gt;=0.3,G54&lt;=-0.3),"超过30%","")</f>
        <v/>
      </c>
      <c r="I54" s="499">
        <f>IF(I47&lt;E47,E47/I47-1,I47/E47-1)</f>
        <v>0.125</v>
      </c>
      <c r="J54" s="500" t="str">
        <f>IF(OR(I54&gt;=0.3,I54&lt;=-0.3),"超过30%","")</f>
        <v/>
      </c>
      <c r="K54" s="1147"/>
      <c r="L54" s="1148"/>
      <c r="M54" s="1144"/>
      <c r="N54" s="1144"/>
      <c r="O54" s="1144"/>
      <c r="P54" s="2618"/>
    </row>
    <row r="55" spans="1:29" s="502"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9"/>
      <c r="Q57" s="504"/>
    </row>
    <row r="58" spans="1:29" s="508" customFormat="1" ht="14.4">
      <c r="A58" s="505" t="s">
        <v>2573</v>
      </c>
      <c r="B58" s="506"/>
      <c r="C58" s="1574" t="str">
        <f>YEAR(C7)&amp;"-"&amp;MONTH(C7)</f>
        <v>2019-9</v>
      </c>
      <c r="D58" s="1573">
        <f>EDATE(C58,-1)</f>
        <v>43678</v>
      </c>
      <c r="E58" s="1573">
        <f>EDATE(D58,-1)</f>
        <v>43647</v>
      </c>
      <c r="F58" s="1573">
        <f t="shared" ref="F58:O58" si="16">EDATE(E58,-1)</f>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 t="shared" si="16"/>
        <v>43344</v>
      </c>
      <c r="P58" s="1568"/>
    </row>
    <row r="59" spans="1:29" s="117" customFormat="1">
      <c r="A59" s="509"/>
      <c r="B59" s="2620"/>
      <c r="C59" s="1571">
        <v>100</v>
      </c>
      <c r="D59" s="511"/>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4.4">
      <c r="A61" s="521" t="s">
        <v>2575</v>
      </c>
      <c r="B61" s="510"/>
      <c r="C61" s="522" t="s">
        <v>2576</v>
      </c>
      <c r="D61" s="523"/>
      <c r="E61" s="523"/>
      <c r="F61" s="523"/>
      <c r="G61" s="523"/>
      <c r="H61" s="523"/>
      <c r="I61" s="523"/>
      <c r="J61" s="523"/>
      <c r="K61" s="523"/>
      <c r="L61" s="524"/>
      <c r="M61" s="525"/>
      <c r="N61" s="1150"/>
      <c r="O61" s="1150"/>
      <c r="P61" s="2622"/>
      <c r="Q61" s="504"/>
    </row>
    <row r="62" spans="1:29" s="117" customFormat="1" ht="14.4" thickBot="1">
      <c r="A62" s="521"/>
      <c r="B62" s="510"/>
      <c r="C62" s="511">
        <v>100</v>
      </c>
      <c r="D62" s="512"/>
      <c r="E62" s="512"/>
      <c r="F62" s="512"/>
      <c r="G62" s="512"/>
      <c r="H62" s="512"/>
      <c r="I62" s="512"/>
      <c r="J62" s="512"/>
      <c r="K62" s="512"/>
      <c r="L62" s="512"/>
      <c r="M62" s="514"/>
      <c r="N62" s="1150"/>
      <c r="O62" s="1150"/>
      <c r="P62" s="2621"/>
      <c r="Q62" s="504"/>
    </row>
    <row r="63" spans="1:29" ht="14.4">
      <c r="A63" s="527" t="s">
        <v>2577</v>
      </c>
      <c r="B63" s="528" t="s">
        <v>2543</v>
      </c>
      <c r="C63" s="529" t="str">
        <f>C9</f>
        <v>住宅</v>
      </c>
      <c r="D63" s="530"/>
      <c r="E63" s="530"/>
      <c r="F63" s="530"/>
      <c r="G63" s="530"/>
      <c r="H63" s="530"/>
      <c r="I63" s="530"/>
      <c r="J63" s="530"/>
      <c r="K63" s="531"/>
      <c r="L63" s="532"/>
      <c r="M63" s="533"/>
      <c r="N63" s="1151"/>
      <c r="O63" s="1151"/>
      <c r="P63" s="2623"/>
      <c r="Q63" s="504"/>
    </row>
    <row r="64" spans="1:29" ht="14.4" thickBot="1">
      <c r="A64" s="534"/>
      <c r="B64" s="535"/>
      <c r="C64" s="536">
        <v>100</v>
      </c>
      <c r="D64" s="536"/>
      <c r="E64" s="536"/>
      <c r="F64" s="536"/>
      <c r="G64" s="536"/>
      <c r="H64" s="536"/>
      <c r="I64" s="536"/>
      <c r="J64" s="536"/>
      <c r="K64" s="536"/>
      <c r="L64" s="536"/>
      <c r="M64" s="537"/>
      <c r="N64" s="1152"/>
      <c r="O64" s="1152"/>
      <c r="P64" s="2623"/>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3"/>
      <c r="Q65" s="504"/>
    </row>
    <row r="66" spans="1:17" ht="14.4"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2"/>
      <c r="O66" s="1152"/>
      <c r="P66" s="2623"/>
      <c r="Q66" s="504"/>
    </row>
    <row r="67" spans="1:17" ht="15" thickTop="1">
      <c r="A67" s="534"/>
      <c r="B67" s="546" t="s">
        <v>2547</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K68&amp;"（含）"&amp;"-"&amp;L68</f>
        <v>（含）-</v>
      </c>
      <c r="L67" s="547" t="str">
        <f t="shared" si="18"/>
        <v>（含）-</v>
      </c>
      <c r="M67" s="448" t="str">
        <f>M68&amp;"（含）"&amp;"-"&amp;P68</f>
        <v>（含）-</v>
      </c>
      <c r="N67" s="1152"/>
      <c r="O67" s="1152"/>
      <c r="P67" s="2623"/>
      <c r="Q67" s="504"/>
    </row>
    <row r="68" spans="1:17">
      <c r="A68" s="534"/>
      <c r="B68" s="548"/>
      <c r="C68" s="549">
        <v>0</v>
      </c>
      <c r="D68" s="549">
        <v>1</v>
      </c>
      <c r="E68" s="549">
        <v>2</v>
      </c>
      <c r="F68" s="549">
        <v>3</v>
      </c>
      <c r="G68" s="549">
        <v>4</v>
      </c>
      <c r="H68" s="549">
        <v>5</v>
      </c>
      <c r="I68" s="549"/>
      <c r="J68" s="549"/>
      <c r="K68" s="550"/>
      <c r="L68" s="551"/>
      <c r="M68" s="552"/>
      <c r="N68" s="1151"/>
      <c r="O68" s="1151"/>
      <c r="P68" s="2623"/>
      <c r="Q68" s="504"/>
    </row>
    <row r="69" spans="1:17" ht="14.4" thickBot="1">
      <c r="A69" s="534"/>
      <c r="B69" s="535"/>
      <c r="C69" s="544">
        <v>100</v>
      </c>
      <c r="D69" s="544">
        <f t="shared" ref="D69:M69" si="19">C69-$K11</f>
        <v>97</v>
      </c>
      <c r="E69" s="544">
        <f t="shared" si="19"/>
        <v>94</v>
      </c>
      <c r="F69" s="544">
        <f t="shared" si="19"/>
        <v>91</v>
      </c>
      <c r="G69" s="544">
        <f t="shared" si="19"/>
        <v>88</v>
      </c>
      <c r="H69" s="544">
        <f t="shared" si="19"/>
        <v>85</v>
      </c>
      <c r="I69" s="544">
        <f t="shared" si="19"/>
        <v>82</v>
      </c>
      <c r="J69" s="544">
        <f t="shared" si="19"/>
        <v>79</v>
      </c>
      <c r="K69" s="544">
        <f t="shared" si="19"/>
        <v>76</v>
      </c>
      <c r="L69" s="544">
        <f t="shared" si="19"/>
        <v>73</v>
      </c>
      <c r="M69" s="545">
        <f t="shared" si="19"/>
        <v>70</v>
      </c>
      <c r="N69" s="1152"/>
      <c r="O69" s="1152"/>
      <c r="P69" s="2623"/>
      <c r="Q69" s="504"/>
    </row>
    <row r="70" spans="1:17" s="471" customFormat="1" ht="14.4" thickTop="1">
      <c r="A70" s="553"/>
      <c r="B70" s="538">
        <f>B12</f>
        <v>111</v>
      </c>
      <c r="C70" s="554"/>
      <c r="D70" s="554"/>
      <c r="E70" s="554"/>
      <c r="F70" s="554"/>
      <c r="G70" s="554"/>
      <c r="H70" s="555"/>
      <c r="I70" s="555"/>
      <c r="J70" s="555"/>
      <c r="K70" s="555"/>
      <c r="L70" s="556"/>
      <c r="M70" s="557"/>
      <c r="N70" s="1153"/>
      <c r="O70" s="1153"/>
      <c r="P70" s="2624"/>
      <c r="Q70" s="559"/>
    </row>
    <row r="71" spans="1:17" s="471" customFormat="1" ht="14.4" thickBot="1">
      <c r="A71" s="553"/>
      <c r="B71" s="543"/>
      <c r="C71" s="560"/>
      <c r="D71" s="536"/>
      <c r="E71" s="536"/>
      <c r="F71" s="536"/>
      <c r="G71" s="536"/>
      <c r="H71" s="536"/>
      <c r="I71" s="536"/>
      <c r="J71" s="536"/>
      <c r="K71" s="536"/>
      <c r="L71" s="536"/>
      <c r="M71" s="537"/>
      <c r="N71" s="1152"/>
      <c r="O71" s="1152"/>
      <c r="P71" s="2624"/>
      <c r="Q71" s="559"/>
    </row>
    <row r="72" spans="1:17" s="471" customFormat="1" ht="14.4" thickTop="1">
      <c r="A72" s="553"/>
      <c r="B72" s="538">
        <f>B13</f>
        <v>111</v>
      </c>
      <c r="C72" s="554"/>
      <c r="D72" s="554"/>
      <c r="E72" s="554"/>
      <c r="F72" s="554"/>
      <c r="G72" s="554"/>
      <c r="H72" s="555"/>
      <c r="I72" s="555"/>
      <c r="J72" s="555"/>
      <c r="K72" s="555"/>
      <c r="L72" s="556"/>
      <c r="M72" s="557"/>
      <c r="N72" s="1153"/>
      <c r="O72" s="1153"/>
      <c r="P72" s="2625"/>
      <c r="Q72" s="561"/>
    </row>
    <row r="73" spans="1:17" s="471" customFormat="1" ht="14.4" thickBot="1">
      <c r="A73" s="553"/>
      <c r="B73" s="543"/>
      <c r="C73" s="560"/>
      <c r="D73" s="560"/>
      <c r="E73" s="560"/>
      <c r="F73" s="560"/>
      <c r="G73" s="560"/>
      <c r="H73" s="562"/>
      <c r="I73" s="562"/>
      <c r="J73" s="562"/>
      <c r="K73" s="562"/>
      <c r="L73" s="562"/>
      <c r="M73" s="563"/>
      <c r="N73" s="1153"/>
      <c r="O73" s="1153"/>
      <c r="P73" s="2624"/>
      <c r="Q73" s="559"/>
    </row>
    <row r="74" spans="1:17" s="471" customFormat="1" ht="14.4" thickTop="1">
      <c r="A74" s="553"/>
      <c r="B74" s="546">
        <f>B14</f>
        <v>111</v>
      </c>
      <c r="C74" s="554"/>
      <c r="D74" s="554"/>
      <c r="E74" s="554"/>
      <c r="F74" s="554"/>
      <c r="G74" s="523"/>
      <c r="H74" s="564"/>
      <c r="I74" s="564"/>
      <c r="J74" s="564"/>
      <c r="K74" s="564"/>
      <c r="L74" s="565"/>
      <c r="M74" s="566"/>
      <c r="N74" s="1153"/>
      <c r="O74" s="1153"/>
      <c r="P74" s="2626"/>
      <c r="Q74" s="559"/>
    </row>
    <row r="75" spans="1:17" s="471" customFormat="1" ht="14.4" thickBot="1">
      <c r="A75" s="568"/>
      <c r="B75" s="569"/>
      <c r="C75" s="570"/>
      <c r="D75" s="570"/>
      <c r="E75" s="570"/>
      <c r="F75" s="570"/>
      <c r="G75" s="570"/>
      <c r="H75" s="571"/>
      <c r="I75" s="571"/>
      <c r="J75" s="571"/>
      <c r="K75" s="571"/>
      <c r="L75" s="571"/>
      <c r="M75" s="572"/>
      <c r="N75" s="1153"/>
      <c r="O75" s="1153"/>
      <c r="P75" s="2624"/>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7"/>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3"/>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23"/>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3"/>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3"/>
      <c r="Q81" s="504"/>
    </row>
    <row r="82" spans="1:17" ht="15" thickTop="1">
      <c r="A82" s="534"/>
      <c r="B82" s="546" t="s">
        <v>2090</v>
      </c>
      <c r="C82" s="539" t="s">
        <v>2593</v>
      </c>
      <c r="D82" s="539" t="s">
        <v>2594</v>
      </c>
      <c r="E82" s="539" t="s">
        <v>2595</v>
      </c>
      <c r="F82" s="539" t="s">
        <v>2596</v>
      </c>
      <c r="G82" s="539" t="s">
        <v>2597</v>
      </c>
      <c r="H82" s="539"/>
      <c r="I82" s="539"/>
      <c r="J82" s="539"/>
      <c r="K82" s="539"/>
      <c r="L82" s="539"/>
      <c r="M82" s="1381"/>
      <c r="N82" s="1152"/>
      <c r="O82" s="1152"/>
      <c r="P82" s="2623"/>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2"/>
      <c r="O83" s="1152"/>
      <c r="P83" s="2623"/>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3"/>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3"/>
      <c r="Q85" s="504"/>
    </row>
    <row r="86" spans="1:17" s="117" customFormat="1" ht="15" thickTop="1">
      <c r="A86" s="579"/>
      <c r="B86" s="538" t="s">
        <v>2599</v>
      </c>
      <c r="C86" s="554"/>
      <c r="D86" s="554"/>
      <c r="E86" s="554"/>
      <c r="F86" s="554"/>
      <c r="G86" s="554"/>
      <c r="H86" s="554"/>
      <c r="I86" s="554"/>
      <c r="J86" s="554"/>
      <c r="K86" s="554"/>
      <c r="L86" s="580"/>
      <c r="M86" s="581"/>
      <c r="N86" s="1150"/>
      <c r="O86" s="1150"/>
      <c r="P86" s="2623"/>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3"/>
      <c r="Q87" s="504"/>
    </row>
    <row r="88" spans="1:17" s="117" customFormat="1" ht="15" thickTop="1">
      <c r="A88" s="579"/>
      <c r="B88" s="538" t="s">
        <v>2600</v>
      </c>
      <c r="C88" s="554"/>
      <c r="D88" s="554"/>
      <c r="E88" s="554"/>
      <c r="F88" s="2628"/>
      <c r="G88" s="554"/>
      <c r="H88" s="554"/>
      <c r="I88" s="554"/>
      <c r="J88" s="554"/>
      <c r="K88" s="554"/>
      <c r="L88" s="554"/>
      <c r="M88" s="581"/>
      <c r="N88" s="1150"/>
      <c r="O88" s="1150"/>
      <c r="P88" s="2623"/>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2"/>
      <c r="O89" s="1152"/>
      <c r="P89" s="2623"/>
      <c r="Q89" s="504"/>
    </row>
    <row r="90" spans="1:17" s="471" customFormat="1" ht="14.4" thickTop="1">
      <c r="A90" s="553"/>
      <c r="B90" s="538">
        <f>B27</f>
        <v>111</v>
      </c>
      <c r="C90" s="554"/>
      <c r="D90" s="554"/>
      <c r="E90" s="554"/>
      <c r="F90" s="554"/>
      <c r="G90" s="554"/>
      <c r="H90" s="555"/>
      <c r="I90" s="555"/>
      <c r="J90" s="555"/>
      <c r="K90" s="555"/>
      <c r="L90" s="556"/>
      <c r="M90" s="557"/>
      <c r="N90" s="1153"/>
      <c r="O90" s="1153"/>
      <c r="P90" s="2624"/>
      <c r="Q90" s="559"/>
    </row>
    <row r="91" spans="1:17" s="471" customFormat="1" ht="14.4" thickBot="1">
      <c r="A91" s="553"/>
      <c r="B91" s="543"/>
      <c r="C91" s="560"/>
      <c r="D91" s="560"/>
      <c r="E91" s="560"/>
      <c r="F91" s="560"/>
      <c r="G91" s="560"/>
      <c r="H91" s="562"/>
      <c r="I91" s="562"/>
      <c r="J91" s="562"/>
      <c r="K91" s="562"/>
      <c r="L91" s="562"/>
      <c r="M91" s="563"/>
      <c r="N91" s="1153"/>
      <c r="O91" s="1153"/>
      <c r="P91" s="2624"/>
      <c r="Q91" s="559"/>
    </row>
    <row r="92" spans="1:17" ht="14.4" thickTop="1">
      <c r="A92" s="534"/>
      <c r="B92" s="538">
        <f>B28</f>
        <v>111</v>
      </c>
      <c r="C92" s="554"/>
      <c r="D92" s="554"/>
      <c r="E92" s="554"/>
      <c r="F92" s="554"/>
      <c r="G92" s="583"/>
      <c r="H92" s="583"/>
      <c r="I92" s="583"/>
      <c r="J92" s="583"/>
      <c r="K92" s="584"/>
      <c r="L92" s="585"/>
      <c r="M92" s="586"/>
      <c r="N92" s="1151"/>
      <c r="O92" s="1151"/>
      <c r="P92" s="2623"/>
      <c r="Q92" s="504"/>
    </row>
    <row r="93" spans="1:17" ht="14.4" thickBot="1">
      <c r="A93" s="534"/>
      <c r="B93" s="543"/>
      <c r="C93" s="560"/>
      <c r="D93" s="536"/>
      <c r="E93" s="536"/>
      <c r="F93" s="536"/>
      <c r="G93" s="536"/>
      <c r="H93" s="536"/>
      <c r="I93" s="536"/>
      <c r="J93" s="536"/>
      <c r="K93" s="536"/>
      <c r="L93" s="536"/>
      <c r="M93" s="537"/>
      <c r="N93" s="1152"/>
      <c r="O93" s="1152"/>
      <c r="P93" s="2623"/>
      <c r="Q93" s="504"/>
    </row>
    <row r="94" spans="1:17" ht="14.4" thickTop="1">
      <c r="A94" s="534"/>
      <c r="B94" s="538">
        <f>B29</f>
        <v>111</v>
      </c>
      <c r="C94" s="554"/>
      <c r="D94" s="554"/>
      <c r="E94" s="554"/>
      <c r="F94" s="554"/>
      <c r="G94" s="583"/>
      <c r="H94" s="583"/>
      <c r="I94" s="583"/>
      <c r="J94" s="583"/>
      <c r="K94" s="584"/>
      <c r="L94" s="585"/>
      <c r="M94" s="586"/>
      <c r="N94" s="1151"/>
      <c r="O94" s="1151"/>
      <c r="P94" s="2623"/>
      <c r="Q94" s="504"/>
    </row>
    <row r="95" spans="1:17" ht="14.4" thickBot="1">
      <c r="A95" s="534"/>
      <c r="B95" s="543"/>
      <c r="C95" s="560"/>
      <c r="D95" s="560"/>
      <c r="E95" s="560"/>
      <c r="F95" s="560"/>
      <c r="G95" s="536"/>
      <c r="H95" s="536"/>
      <c r="I95" s="536"/>
      <c r="J95" s="536"/>
      <c r="K95" s="536"/>
      <c r="L95" s="536"/>
      <c r="M95" s="537"/>
      <c r="N95" s="1152"/>
      <c r="O95" s="1152"/>
      <c r="P95" s="2623"/>
      <c r="Q95" s="504"/>
    </row>
    <row r="96" spans="1:17" ht="14.4" thickTop="1">
      <c r="A96" s="534"/>
      <c r="B96" s="538">
        <f>B30</f>
        <v>111</v>
      </c>
      <c r="C96" s="554"/>
      <c r="D96" s="554"/>
      <c r="E96" s="554"/>
      <c r="F96" s="554"/>
      <c r="G96" s="583"/>
      <c r="H96" s="583"/>
      <c r="I96" s="583"/>
      <c r="J96" s="583"/>
      <c r="K96" s="584"/>
      <c r="L96" s="585"/>
      <c r="M96" s="586"/>
      <c r="N96" s="1151"/>
      <c r="O96" s="1151"/>
      <c r="P96" s="2623"/>
      <c r="Q96" s="504"/>
    </row>
    <row r="97" spans="1:17" ht="14.4" thickBot="1">
      <c r="A97" s="534"/>
      <c r="B97" s="543"/>
      <c r="C97" s="570"/>
      <c r="D97" s="570"/>
      <c r="E97" s="570"/>
      <c r="F97" s="570"/>
      <c r="G97" s="536"/>
      <c r="H97" s="536"/>
      <c r="I97" s="536"/>
      <c r="J97" s="536"/>
      <c r="K97" s="536"/>
      <c r="L97" s="536"/>
      <c r="M97" s="537"/>
      <c r="N97" s="1152"/>
      <c r="O97" s="1152"/>
      <c r="P97" s="2623"/>
      <c r="Q97" s="504"/>
    </row>
    <row r="98" spans="1:17" ht="14.4" thickTop="1">
      <c r="A98" s="534"/>
      <c r="B98" s="546">
        <f>B31</f>
        <v>111</v>
      </c>
      <c r="C98" s="587"/>
      <c r="D98" s="587"/>
      <c r="E98" s="587"/>
      <c r="F98" s="587"/>
      <c r="G98" s="587"/>
      <c r="H98" s="587"/>
      <c r="I98" s="587"/>
      <c r="J98" s="587"/>
      <c r="K98" s="588"/>
      <c r="L98" s="589"/>
      <c r="M98" s="590"/>
      <c r="N98" s="1151"/>
      <c r="O98" s="1151"/>
      <c r="P98" s="2623"/>
      <c r="Q98" s="504"/>
    </row>
    <row r="99" spans="1:17" ht="14.4" thickBot="1">
      <c r="A99" s="2629"/>
      <c r="B99" s="569"/>
      <c r="C99" s="591"/>
      <c r="D99" s="591"/>
      <c r="E99" s="591"/>
      <c r="F99" s="591"/>
      <c r="G99" s="591"/>
      <c r="H99" s="591"/>
      <c r="I99" s="591"/>
      <c r="J99" s="591"/>
      <c r="K99" s="591"/>
      <c r="L99" s="591"/>
      <c r="M99" s="592"/>
      <c r="N99" s="1152"/>
      <c r="O99" s="1152"/>
      <c r="P99" s="2623"/>
      <c r="Q99" s="504"/>
    </row>
    <row r="100" spans="1:17" ht="14.4">
      <c r="A100" s="527" t="s">
        <v>2552</v>
      </c>
      <c r="B100" s="528" t="s">
        <v>2601</v>
      </c>
      <c r="C100" s="2959" t="s">
        <v>3534</v>
      </c>
      <c r="D100" s="2959" t="s">
        <v>3536</v>
      </c>
      <c r="E100" s="2959" t="s">
        <v>3538</v>
      </c>
      <c r="F100" s="2959" t="s">
        <v>3540</v>
      </c>
      <c r="G100" s="2959" t="s">
        <v>3475</v>
      </c>
      <c r="H100" s="2959" t="s">
        <v>3474</v>
      </c>
      <c r="I100" s="2959" t="s">
        <v>3472</v>
      </c>
      <c r="J100" s="2959"/>
      <c r="K100" s="531"/>
      <c r="L100" s="532"/>
      <c r="M100" s="533"/>
      <c r="N100" s="1151"/>
      <c r="O100" s="1151"/>
      <c r="P100" s="2623"/>
      <c r="Q100" s="504"/>
    </row>
    <row r="101" spans="1:17" ht="14.4" thickBot="1">
      <c r="A101" s="534"/>
      <c r="B101" s="543"/>
      <c r="C101" s="544">
        <v>100</v>
      </c>
      <c r="D101" s="544">
        <f t="shared" ref="D101:M101" si="22">C101-$K32</f>
        <v>92</v>
      </c>
      <c r="E101" s="544">
        <f t="shared" si="22"/>
        <v>84</v>
      </c>
      <c r="F101" s="544">
        <f t="shared" si="22"/>
        <v>76</v>
      </c>
      <c r="G101" s="544">
        <f t="shared" si="22"/>
        <v>68</v>
      </c>
      <c r="H101" s="544">
        <f t="shared" si="22"/>
        <v>60</v>
      </c>
      <c r="I101" s="544">
        <f t="shared" si="22"/>
        <v>52</v>
      </c>
      <c r="J101" s="544">
        <f t="shared" si="22"/>
        <v>44</v>
      </c>
      <c r="K101" s="544">
        <f t="shared" si="22"/>
        <v>36</v>
      </c>
      <c r="L101" s="544">
        <f t="shared" si="22"/>
        <v>28</v>
      </c>
      <c r="M101" s="544">
        <f t="shared" si="22"/>
        <v>20</v>
      </c>
      <c r="N101" s="1152"/>
      <c r="O101" s="1152"/>
      <c r="P101" s="2623"/>
      <c r="Q101" s="504"/>
    </row>
    <row r="102" spans="1:17" ht="28.2" thickTop="1">
      <c r="A102" s="534"/>
      <c r="B102" s="538" t="s">
        <v>2602</v>
      </c>
      <c r="C102" s="578" t="str">
        <f>C103&amp;"(含)"&amp;"-"&amp;D103</f>
        <v>0(含)-80000</v>
      </c>
      <c r="D102" s="578" t="str">
        <f t="shared" ref="D102:L102" si="23">D103&amp;"(含)"&amp;"-"&amp;E103</f>
        <v>80000(含)-160000</v>
      </c>
      <c r="E102" s="578" t="str">
        <f t="shared" si="23"/>
        <v>160000(含)-240000</v>
      </c>
      <c r="F102" s="578" t="str">
        <f t="shared" si="23"/>
        <v>240000(含)-320000</v>
      </c>
      <c r="G102" s="578" t="str">
        <f t="shared" si="23"/>
        <v>320000(含)-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0"/>
      <c r="O102" s="1150"/>
      <c r="P102" s="2623"/>
      <c r="Q102" s="504"/>
    </row>
    <row r="103" spans="1:17" s="471" customFormat="1">
      <c r="A103" s="593"/>
      <c r="B103" s="594"/>
      <c r="C103" s="595">
        <v>0</v>
      </c>
      <c r="D103" s="595">
        <f>C103+80000</f>
        <v>80000</v>
      </c>
      <c r="E103" s="595">
        <f>D103+80000</f>
        <v>160000</v>
      </c>
      <c r="F103" s="595">
        <f>E103+80000</f>
        <v>240000</v>
      </c>
      <c r="G103" s="595">
        <f>F103+80000</f>
        <v>320000</v>
      </c>
      <c r="H103" s="595"/>
      <c r="I103" s="595"/>
      <c r="J103" s="596"/>
      <c r="K103" s="596"/>
      <c r="L103" s="597"/>
      <c r="M103" s="598"/>
      <c r="N103" s="1153"/>
      <c r="O103" s="1153"/>
      <c r="P103" s="2624"/>
      <c r="Q103" s="559"/>
    </row>
    <row r="104" spans="1:17" s="471" customFormat="1" ht="14.4" thickBot="1">
      <c r="A104" s="553"/>
      <c r="B104" s="543"/>
      <c r="C104" s="560">
        <v>100</v>
      </c>
      <c r="D104" s="536">
        <f>C104+1</f>
        <v>101</v>
      </c>
      <c r="E104" s="536">
        <f>D104+1</f>
        <v>102</v>
      </c>
      <c r="F104" s="536">
        <f>E104+1</f>
        <v>103</v>
      </c>
      <c r="G104" s="536">
        <f>F104+1</f>
        <v>104</v>
      </c>
      <c r="H104" s="536"/>
      <c r="I104" s="536"/>
      <c r="J104" s="536"/>
      <c r="K104" s="536"/>
      <c r="L104" s="536"/>
      <c r="M104" s="536"/>
      <c r="N104" s="1152"/>
      <c r="O104" s="1152"/>
      <c r="P104" s="2624"/>
      <c r="Q104" s="559"/>
    </row>
    <row r="105" spans="1:17" ht="15" thickTop="1">
      <c r="A105" s="599"/>
      <c r="B105" s="538" t="s">
        <v>2603</v>
      </c>
      <c r="C105" s="2966" t="s">
        <v>3495</v>
      </c>
      <c r="D105" s="554"/>
      <c r="E105" s="583"/>
      <c r="F105" s="583"/>
      <c r="G105" s="583"/>
      <c r="H105" s="583"/>
      <c r="I105" s="583"/>
      <c r="J105" s="583"/>
      <c r="K105" s="584"/>
      <c r="L105" s="585"/>
      <c r="M105" s="586"/>
      <c r="N105" s="1151"/>
      <c r="O105" s="1151"/>
      <c r="P105" s="2623"/>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4">
        <f t="shared" si="24"/>
        <v>90</v>
      </c>
      <c r="N106" s="1152"/>
      <c r="O106" s="1152"/>
      <c r="P106" s="2623"/>
      <c r="Q106" s="504"/>
    </row>
    <row r="107" spans="1:17" ht="15" thickTop="1">
      <c r="A107" s="599"/>
      <c r="B107" s="538" t="s">
        <v>2604</v>
      </c>
      <c r="C107" s="554" t="s">
        <v>3441</v>
      </c>
      <c r="D107" s="554" t="s">
        <v>3443</v>
      </c>
      <c r="E107" s="583" t="s">
        <v>3436</v>
      </c>
      <c r="F107" s="583" t="s">
        <v>3430</v>
      </c>
      <c r="G107" s="583" t="s">
        <v>3432</v>
      </c>
      <c r="H107" s="583"/>
      <c r="I107" s="583"/>
      <c r="J107" s="583"/>
      <c r="K107" s="584"/>
      <c r="L107" s="585"/>
      <c r="M107" s="586"/>
      <c r="N107" s="1151"/>
      <c r="O107" s="1151"/>
      <c r="P107" s="2623"/>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4">
        <f t="shared" si="25"/>
        <v>90</v>
      </c>
      <c r="N108" s="1152"/>
      <c r="O108" s="1152"/>
      <c r="P108" s="2623"/>
      <c r="Q108" s="504"/>
    </row>
    <row r="109" spans="1:17" ht="15" thickTop="1">
      <c r="A109" s="599"/>
      <c r="B109" s="538" t="s">
        <v>2605</v>
      </c>
      <c r="C109" s="554" t="s">
        <v>3479</v>
      </c>
      <c r="D109" s="554" t="s">
        <v>3481</v>
      </c>
      <c r="E109" s="554" t="s">
        <v>3483</v>
      </c>
      <c r="F109" s="583" t="s">
        <v>3485</v>
      </c>
      <c r="G109" s="583"/>
      <c r="H109" s="583"/>
      <c r="I109" s="583"/>
      <c r="J109" s="583"/>
      <c r="K109" s="584"/>
      <c r="L109" s="585"/>
      <c r="M109" s="586"/>
      <c r="N109" s="1151"/>
      <c r="O109" s="1151"/>
      <c r="P109" s="2623"/>
      <c r="Q109" s="504"/>
    </row>
    <row r="110" spans="1:17" ht="14.4" thickBot="1">
      <c r="A110" s="534"/>
      <c r="B110" s="543"/>
      <c r="C110" s="544">
        <v>100</v>
      </c>
      <c r="D110" s="544">
        <f t="shared" ref="D110:M110" si="26">C110-$K36</f>
        <v>97</v>
      </c>
      <c r="E110" s="544">
        <f t="shared" si="26"/>
        <v>94</v>
      </c>
      <c r="F110" s="544">
        <f t="shared" si="26"/>
        <v>91</v>
      </c>
      <c r="G110" s="544">
        <f t="shared" si="26"/>
        <v>88</v>
      </c>
      <c r="H110" s="544">
        <f t="shared" si="26"/>
        <v>85</v>
      </c>
      <c r="I110" s="544">
        <f t="shared" si="26"/>
        <v>82</v>
      </c>
      <c r="J110" s="544">
        <f t="shared" si="26"/>
        <v>79</v>
      </c>
      <c r="K110" s="544">
        <f t="shared" si="26"/>
        <v>76</v>
      </c>
      <c r="L110" s="544">
        <f t="shared" si="26"/>
        <v>73</v>
      </c>
      <c r="M110" s="544">
        <f t="shared" si="26"/>
        <v>70</v>
      </c>
      <c r="N110" s="1152"/>
      <c r="O110" s="1152"/>
      <c r="P110" s="262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4"/>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4"/>
      <c r="Q113" s="559"/>
    </row>
    <row r="114" spans="1:17" ht="15" thickTop="1">
      <c r="A114" s="599"/>
      <c r="B114" s="538" t="s">
        <v>2606</v>
      </c>
      <c r="C114" s="554" t="s">
        <v>3441</v>
      </c>
      <c r="D114" s="554" t="s">
        <v>3443</v>
      </c>
      <c r="E114" s="583" t="s">
        <v>3436</v>
      </c>
      <c r="F114" s="583" t="s">
        <v>3430</v>
      </c>
      <c r="G114" s="583" t="s">
        <v>3432</v>
      </c>
      <c r="H114" s="583"/>
      <c r="I114" s="583"/>
      <c r="J114" s="583"/>
      <c r="K114" s="584"/>
      <c r="L114" s="585"/>
      <c r="M114" s="586"/>
      <c r="N114" s="1151"/>
      <c r="O114" s="1151"/>
      <c r="P114" s="2623"/>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2"/>
      <c r="O115" s="1152"/>
      <c r="P115" s="2623"/>
      <c r="Q115" s="504"/>
    </row>
    <row r="116" spans="1:17" ht="15" thickTop="1">
      <c r="A116" s="599"/>
      <c r="B116" s="538" t="s">
        <v>2607</v>
      </c>
      <c r="C116" s="2966" t="s">
        <v>3490</v>
      </c>
      <c r="D116" s="2966" t="s">
        <v>3491</v>
      </c>
      <c r="E116" s="2966" t="s">
        <v>3492</v>
      </c>
      <c r="F116" s="2966" t="s">
        <v>3493</v>
      </c>
      <c r="G116" s="2966" t="s">
        <v>3494</v>
      </c>
      <c r="H116" s="583"/>
      <c r="I116" s="583"/>
      <c r="J116" s="583"/>
      <c r="K116" s="584"/>
      <c r="L116" s="585"/>
      <c r="M116" s="586"/>
      <c r="N116" s="1151"/>
      <c r="O116" s="1151"/>
      <c r="P116" s="2623"/>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3"/>
      <c r="Q117" s="504"/>
    </row>
    <row r="118" spans="1:17" ht="15" thickTop="1">
      <c r="A118" s="599"/>
      <c r="B118" s="538" t="s">
        <v>2608</v>
      </c>
      <c r="C118" s="2967" t="s">
        <v>3489</v>
      </c>
      <c r="D118" s="2967" t="s">
        <v>3488</v>
      </c>
      <c r="E118" s="583"/>
      <c r="F118" s="583"/>
      <c r="G118" s="583"/>
      <c r="H118" s="583"/>
      <c r="I118" s="583"/>
      <c r="J118" s="583"/>
      <c r="K118" s="584"/>
      <c r="L118" s="585"/>
      <c r="M118" s="586"/>
      <c r="N118" s="1151"/>
      <c r="O118" s="1151"/>
      <c r="P118" s="2623"/>
      <c r="Q118" s="504"/>
    </row>
    <row r="119" spans="1:17" ht="14.4" thickBot="1">
      <c r="A119" s="534"/>
      <c r="B119" s="543"/>
      <c r="C119" s="544">
        <v>100</v>
      </c>
      <c r="D119" s="544">
        <f t="shared" ref="D119:M119" si="28">C119-$K40</f>
        <v>95</v>
      </c>
      <c r="E119" s="544">
        <f t="shared" si="28"/>
        <v>90</v>
      </c>
      <c r="F119" s="544">
        <f t="shared" si="28"/>
        <v>85</v>
      </c>
      <c r="G119" s="544">
        <f t="shared" si="28"/>
        <v>80</v>
      </c>
      <c r="H119" s="544">
        <f t="shared" si="28"/>
        <v>75</v>
      </c>
      <c r="I119" s="544">
        <f t="shared" si="28"/>
        <v>70</v>
      </c>
      <c r="J119" s="544">
        <f t="shared" si="28"/>
        <v>65</v>
      </c>
      <c r="K119" s="544">
        <f t="shared" si="28"/>
        <v>60</v>
      </c>
      <c r="L119" s="544">
        <f t="shared" si="28"/>
        <v>55</v>
      </c>
      <c r="M119" s="544">
        <f t="shared" si="28"/>
        <v>50</v>
      </c>
      <c r="N119" s="1152"/>
      <c r="O119" s="1152"/>
      <c r="P119" s="2623"/>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4"/>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4"/>
      <c r="Q121" s="559"/>
    </row>
    <row r="122" spans="1:17" ht="15" thickTop="1">
      <c r="A122" s="599"/>
      <c r="B122" s="538" t="s">
        <v>2609</v>
      </c>
      <c r="C122" s="2966" t="s">
        <v>3480</v>
      </c>
      <c r="D122" s="2966" t="s">
        <v>3482</v>
      </c>
      <c r="E122" s="2966" t="s">
        <v>3484</v>
      </c>
      <c r="F122" s="2967" t="s">
        <v>3486</v>
      </c>
      <c r="G122" s="583"/>
      <c r="H122" s="583"/>
      <c r="I122" s="583"/>
      <c r="J122" s="583"/>
      <c r="K122" s="584"/>
      <c r="L122" s="585"/>
      <c r="M122" s="586"/>
      <c r="N122" s="1151"/>
      <c r="O122" s="1151"/>
      <c r="P122" s="2623"/>
      <c r="Q122" s="504"/>
    </row>
    <row r="123" spans="1:17" ht="14.4" thickBot="1">
      <c r="A123" s="534"/>
      <c r="B123" s="543"/>
      <c r="C123" s="544">
        <v>100</v>
      </c>
      <c r="D123" s="544">
        <f t="shared" ref="D123:M123" si="29">C123-$K42</f>
        <v>97</v>
      </c>
      <c r="E123" s="544">
        <f t="shared" si="29"/>
        <v>94</v>
      </c>
      <c r="F123" s="544">
        <f t="shared" si="29"/>
        <v>91</v>
      </c>
      <c r="G123" s="544">
        <f t="shared" si="29"/>
        <v>88</v>
      </c>
      <c r="H123" s="544">
        <f t="shared" si="29"/>
        <v>85</v>
      </c>
      <c r="I123" s="544">
        <f t="shared" si="29"/>
        <v>82</v>
      </c>
      <c r="J123" s="544">
        <f t="shared" si="29"/>
        <v>79</v>
      </c>
      <c r="K123" s="544">
        <f t="shared" si="29"/>
        <v>76</v>
      </c>
      <c r="L123" s="544">
        <f t="shared" si="29"/>
        <v>73</v>
      </c>
      <c r="M123" s="544">
        <f t="shared" si="29"/>
        <v>70</v>
      </c>
      <c r="N123" s="1152"/>
      <c r="O123" s="1152"/>
      <c r="P123" s="2623"/>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4"/>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4"/>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4"/>
      <c r="Q127" s="559"/>
    </row>
    <row r="128" spans="1:17" ht="14.4" thickTop="1">
      <c r="A128" s="599"/>
      <c r="B128" s="538">
        <f>B45</f>
        <v>111</v>
      </c>
      <c r="C128" s="554"/>
      <c r="D128" s="554"/>
      <c r="E128" s="554"/>
      <c r="F128" s="554"/>
      <c r="G128" s="583"/>
      <c r="H128" s="583"/>
      <c r="I128" s="583"/>
      <c r="J128" s="583"/>
      <c r="K128" s="584"/>
      <c r="L128" s="585"/>
      <c r="M128" s="586"/>
      <c r="N128" s="1151"/>
      <c r="O128" s="1151"/>
      <c r="P128" s="2623"/>
      <c r="Q128" s="504"/>
    </row>
    <row r="129" spans="1:17" ht="14.4" thickBot="1">
      <c r="A129" s="534"/>
      <c r="B129" s="543"/>
      <c r="C129" s="560"/>
      <c r="D129" s="560"/>
      <c r="E129" s="560"/>
      <c r="F129" s="560"/>
      <c r="G129" s="536"/>
      <c r="H129" s="536"/>
      <c r="I129" s="536"/>
      <c r="J129" s="536"/>
      <c r="K129" s="536"/>
      <c r="L129" s="536"/>
      <c r="M129" s="537"/>
      <c r="N129" s="1152"/>
      <c r="O129" s="1152"/>
      <c r="P129" s="2623"/>
      <c r="Q129" s="504"/>
    </row>
    <row r="130" spans="1:17" ht="14.4" thickTop="1">
      <c r="A130" s="599"/>
      <c r="B130" s="546">
        <f>B46</f>
        <v>111</v>
      </c>
      <c r="C130" s="554"/>
      <c r="D130" s="554"/>
      <c r="E130" s="554"/>
      <c r="F130" s="554"/>
      <c r="G130" s="587"/>
      <c r="H130" s="587"/>
      <c r="I130" s="587"/>
      <c r="J130" s="587"/>
      <c r="K130" s="523"/>
      <c r="L130" s="524"/>
      <c r="M130" s="590"/>
      <c r="N130" s="1151"/>
      <c r="O130" s="1151"/>
      <c r="P130" s="2623"/>
      <c r="Q130" s="504"/>
    </row>
    <row r="131" spans="1:17" ht="14.4" thickBot="1">
      <c r="A131" s="2629"/>
      <c r="B131" s="569"/>
      <c r="C131" s="570"/>
      <c r="D131" s="570"/>
      <c r="E131" s="570"/>
      <c r="F131" s="570"/>
      <c r="G131" s="591"/>
      <c r="H131" s="591"/>
      <c r="I131" s="591"/>
      <c r="J131" s="591"/>
      <c r="K131" s="591"/>
      <c r="L131" s="591"/>
      <c r="M131" s="592"/>
      <c r="N131" s="1152"/>
      <c r="O131" s="1152"/>
      <c r="P131" s="2623"/>
      <c r="Q131" s="504"/>
    </row>
    <row r="136" spans="1:17" ht="15" thickBot="1">
      <c r="B136" s="2630" t="s">
        <v>2611</v>
      </c>
    </row>
    <row r="137" spans="1:17" ht="15">
      <c r="B137" s="2631" t="s">
        <v>2612</v>
      </c>
      <c r="C137" s="2632"/>
      <c r="D137" s="2632"/>
      <c r="E137" s="2632"/>
      <c r="F137" s="2632"/>
      <c r="G137" s="2633"/>
      <c r="H137" s="2634"/>
      <c r="I137" s="2635" t="s">
        <v>2613</v>
      </c>
      <c r="J137" s="2632"/>
      <c r="K137" s="2636"/>
    </row>
    <row r="138" spans="1:17" ht="15">
      <c r="B138" s="2637"/>
      <c r="C138" s="146" t="s">
        <v>2614</v>
      </c>
      <c r="D138" s="146" t="s">
        <v>2615</v>
      </c>
      <c r="E138" s="2638" t="s">
        <v>2616</v>
      </c>
      <c r="F138" s="2639" t="s">
        <v>2617</v>
      </c>
      <c r="G138" s="146" t="s">
        <v>2615</v>
      </c>
      <c r="H138" s="147" t="s">
        <v>2616</v>
      </c>
      <c r="I138" s="2640"/>
      <c r="J138" s="146" t="s">
        <v>2618</v>
      </c>
      <c r="K138" s="147" t="s">
        <v>2619</v>
      </c>
    </row>
    <row r="139" spans="1:17" ht="15">
      <c r="B139" s="1083">
        <v>6</v>
      </c>
      <c r="C139" s="1084">
        <v>96</v>
      </c>
      <c r="D139" s="2641" t="s">
        <v>2620</v>
      </c>
      <c r="E139" s="1085">
        <v>100</v>
      </c>
      <c r="F139" s="1086">
        <v>102.5</v>
      </c>
      <c r="G139" s="2641" t="s">
        <v>2620</v>
      </c>
      <c r="H139" s="1087">
        <v>105</v>
      </c>
      <c r="I139" s="2642" t="s">
        <v>2621</v>
      </c>
      <c r="J139" s="1084">
        <v>20</v>
      </c>
      <c r="K139" s="1088">
        <f>C145/(J139-2)</f>
        <v>4.0555555555555553E-3</v>
      </c>
    </row>
    <row r="140" spans="1:17" ht="15">
      <c r="B140" s="1089">
        <v>5</v>
      </c>
      <c r="C140" s="1090">
        <v>100</v>
      </c>
      <c r="D140" s="1090"/>
      <c r="E140" s="1091"/>
      <c r="F140" s="1092">
        <v>102</v>
      </c>
      <c r="G140" s="1090"/>
      <c r="H140" s="1093"/>
      <c r="I140" s="2643" t="s">
        <v>2622</v>
      </c>
      <c r="J140" s="315">
        <f>ROUNDUP((J139-1)/2,0)</f>
        <v>10</v>
      </c>
      <c r="K140" s="1094">
        <v>100</v>
      </c>
    </row>
    <row r="141" spans="1:17" ht="15">
      <c r="B141" s="1089">
        <v>4</v>
      </c>
      <c r="C141" s="1090">
        <v>102</v>
      </c>
      <c r="D141" s="1090"/>
      <c r="E141" s="1091"/>
      <c r="F141" s="1092">
        <v>101.5</v>
      </c>
      <c r="G141" s="1090"/>
      <c r="H141" s="1093"/>
      <c r="I141" s="2643" t="s">
        <v>2623</v>
      </c>
      <c r="J141" s="315">
        <v>1</v>
      </c>
      <c r="K141" s="1095">
        <f>ROUND(100+(J141-J140)*K139*100,1)</f>
        <v>96.4</v>
      </c>
    </row>
    <row r="142" spans="1:17" ht="15">
      <c r="B142" s="1089">
        <v>3</v>
      </c>
      <c r="C142" s="1090">
        <v>103</v>
      </c>
      <c r="D142" s="1090"/>
      <c r="E142" s="1091"/>
      <c r="F142" s="1092">
        <v>101</v>
      </c>
      <c r="G142" s="1090"/>
      <c r="H142" s="1093"/>
      <c r="I142" s="2643" t="s">
        <v>2624</v>
      </c>
      <c r="J142" s="315">
        <f>J139</f>
        <v>20</v>
      </c>
      <c r="K142" s="1096">
        <v>95</v>
      </c>
    </row>
    <row r="143" spans="1:17" ht="15">
      <c r="B143" s="1089">
        <v>2</v>
      </c>
      <c r="C143" s="1090">
        <v>100</v>
      </c>
      <c r="D143" s="1090"/>
      <c r="E143" s="1091"/>
      <c r="F143" s="1092">
        <v>100.5</v>
      </c>
      <c r="G143" s="1090"/>
      <c r="H143" s="1093"/>
      <c r="I143" s="2643" t="s">
        <v>2625</v>
      </c>
      <c r="J143" s="1090">
        <v>15</v>
      </c>
      <c r="K143" s="1095">
        <f>ROUND(100+(J143-J140)*K139*100,1)</f>
        <v>102</v>
      </c>
    </row>
    <row r="144" spans="1:17" ht="15">
      <c r="B144" s="1089">
        <v>1</v>
      </c>
      <c r="C144" s="1090">
        <v>98</v>
      </c>
      <c r="D144" s="2644" t="s">
        <v>2626</v>
      </c>
      <c r="E144" s="1091">
        <v>102</v>
      </c>
      <c r="F144" s="1097">
        <v>100</v>
      </c>
      <c r="G144" s="2644" t="s">
        <v>2626</v>
      </c>
      <c r="H144" s="1093">
        <v>105</v>
      </c>
      <c r="I144" s="2643" t="s">
        <v>2625</v>
      </c>
      <c r="J144" s="1090">
        <v>18</v>
      </c>
      <c r="K144" s="1095">
        <f>ROUND(100+(J144-J140)*K139*100,1)</f>
        <v>103.2</v>
      </c>
    </row>
    <row r="145" spans="2:11" ht="16.2" thickBot="1">
      <c r="B145" s="2645" t="s">
        <v>2627</v>
      </c>
      <c r="C145" s="1098">
        <f>ROUND(MAX(C139:C144)/MIN(C139:C144)-1,3)</f>
        <v>7.2999999999999995E-2</v>
      </c>
      <c r="D145" s="1099"/>
      <c r="E145" s="1099"/>
      <c r="F145" s="2646" t="s">
        <v>2628</v>
      </c>
      <c r="G145" s="2647"/>
      <c r="H145" s="2648"/>
      <c r="I145" s="2649" t="s">
        <v>2625</v>
      </c>
      <c r="J145" s="1100">
        <v>8</v>
      </c>
      <c r="K145" s="1101">
        <f>ROUND(100+(J145-J140)*K139*100,1)</f>
        <v>99.2</v>
      </c>
    </row>
    <row r="147" spans="2:11" ht="14.4">
      <c r="B147" s="2630" t="s">
        <v>2629</v>
      </c>
    </row>
    <row r="148" spans="2:11" ht="14.4">
      <c r="B148" s="2630" t="s">
        <v>2630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15" sqref="I15:I24"/>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7.332031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2518</v>
      </c>
      <c r="C1" s="1632" t="s">
        <v>2519</v>
      </c>
      <c r="D1" s="1619" t="s">
        <v>3426</v>
      </c>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0</v>
      </c>
      <c r="C2" s="2581" t="s">
        <v>70</v>
      </c>
      <c r="D2" s="1364"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f>IF(C2="——",C49,ROUND(B2*10000/D3,0))</f>
        <v>13627</v>
      </c>
      <c r="C3" s="400" t="s">
        <v>2523</v>
      </c>
      <c r="D3" s="399">
        <f>IF(D1="",'数据-汇总表'!E3,SUMIF('数据-汇总表'!$C19:$C33,D1,'数据-汇总表'!$E19:$E33))</f>
        <v>0</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4.4">
      <c r="A4" s="401" t="s">
        <v>2524</v>
      </c>
      <c r="B4" s="402"/>
      <c r="C4" s="3205" t="s">
        <v>2525</v>
      </c>
      <c r="D4" s="3206"/>
      <c r="E4" s="3207" t="s">
        <v>2526</v>
      </c>
      <c r="F4" s="3208"/>
      <c r="G4" s="3205" t="s">
        <v>2527</v>
      </c>
      <c r="H4" s="3206"/>
      <c r="I4" s="3205" t="s">
        <v>2528</v>
      </c>
      <c r="J4" s="3206"/>
      <c r="K4" s="2591" t="s">
        <v>2529</v>
      </c>
      <c r="L4" s="1129"/>
      <c r="M4" s="1130"/>
      <c r="N4" s="1130"/>
      <c r="O4" s="1130"/>
      <c r="P4" s="3209" t="s">
        <v>2530</v>
      </c>
      <c r="Q4" s="3210"/>
      <c r="R4" s="3215" t="s">
        <v>2526</v>
      </c>
      <c r="S4" s="3216"/>
      <c r="T4" s="3215" t="s">
        <v>2527</v>
      </c>
      <c r="U4" s="3216"/>
      <c r="V4" s="3231" t="s">
        <v>2528</v>
      </c>
      <c r="W4" s="3231"/>
      <c r="X4" s="1811"/>
      <c r="Y4" s="3215" t="s">
        <v>2530</v>
      </c>
      <c r="Z4" s="3216"/>
      <c r="AA4" s="3202" t="s">
        <v>2526</v>
      </c>
      <c r="AB4" s="3202" t="s">
        <v>2527</v>
      </c>
      <c r="AC4" s="3202" t="s">
        <v>2528</v>
      </c>
    </row>
    <row r="5" spans="1:29">
      <c r="A5" s="404"/>
      <c r="B5" s="405"/>
      <c r="C5" s="3219" t="str">
        <f>'土地比较法-住宅、综合'!C5:D5</f>
        <v>滨海新区中心渔港经济区鲤鱼门路以东、海湾一道以南4-1、4-2#地块</v>
      </c>
      <c r="D5" s="3220"/>
      <c r="E5" s="3221" t="s">
        <v>3476</v>
      </c>
      <c r="F5" s="3222"/>
      <c r="G5" s="3223" t="s">
        <v>3502</v>
      </c>
      <c r="H5" s="3220"/>
      <c r="I5" s="3223" t="s">
        <v>3542</v>
      </c>
      <c r="J5" s="3220"/>
      <c r="K5" s="2592"/>
      <c r="L5" s="1129"/>
      <c r="M5" s="1130"/>
      <c r="N5" s="1130"/>
      <c r="O5" s="1130"/>
      <c r="P5" s="3211"/>
      <c r="Q5" s="3212"/>
      <c r="R5" s="3217"/>
      <c r="S5" s="3218"/>
      <c r="T5" s="3217"/>
      <c r="U5" s="3218"/>
      <c r="V5" s="3231"/>
      <c r="W5" s="3231"/>
      <c r="X5" s="1811"/>
      <c r="Y5" s="3217"/>
      <c r="Z5" s="3218"/>
      <c r="AA5" s="3203"/>
      <c r="AB5" s="3203"/>
      <c r="AC5" s="3203"/>
    </row>
    <row r="6" spans="1:29" ht="15" customHeight="1" thickBot="1">
      <c r="A6" s="406"/>
      <c r="B6" s="407"/>
      <c r="C6" s="3224" t="str">
        <f>'土地比较法-住宅、综合'!C6:D6</f>
        <v>天津市滨海新区生态城</v>
      </c>
      <c r="D6" s="3225"/>
      <c r="E6" s="3226" t="str">
        <f>C6</f>
        <v>天津市滨海新区生态城</v>
      </c>
      <c r="F6" s="3227"/>
      <c r="G6" s="3228" t="str">
        <f>E6</f>
        <v>天津市滨海新区生态城</v>
      </c>
      <c r="H6" s="3225"/>
      <c r="I6" s="3228" t="str">
        <f>G6</f>
        <v>天津市滨海新区生态城</v>
      </c>
      <c r="J6" s="3225"/>
      <c r="K6" s="2592" t="s">
        <v>2536</v>
      </c>
      <c r="L6" s="1129"/>
      <c r="M6" s="1130"/>
      <c r="N6" s="1130"/>
      <c r="O6" s="1130"/>
      <c r="P6" s="3213"/>
      <c r="Q6" s="3214"/>
      <c r="R6" s="3217"/>
      <c r="S6" s="3218"/>
      <c r="T6" s="3229"/>
      <c r="U6" s="3230"/>
      <c r="V6" s="3231"/>
      <c r="W6" s="3231"/>
      <c r="X6" s="1811"/>
      <c r="Y6" s="3229"/>
      <c r="Z6" s="3230"/>
      <c r="AA6" s="3204"/>
      <c r="AB6" s="3204"/>
      <c r="AC6" s="3204"/>
    </row>
    <row r="7" spans="1:29" s="117" customFormat="1" ht="15" thickBot="1">
      <c r="A7" s="408" t="s">
        <v>2537</v>
      </c>
      <c r="B7" s="409"/>
      <c r="C7" s="410">
        <f>'数据-取费表'!B2</f>
        <v>43725</v>
      </c>
      <c r="D7" s="411">
        <v>100</v>
      </c>
      <c r="E7" s="412">
        <v>43725</v>
      </c>
      <c r="F7" s="413">
        <f>SUMIF(58:58,YEAR(E7)&amp;"-"&amp;MONTH(E7),59:59)</f>
        <v>100</v>
      </c>
      <c r="G7" s="412">
        <v>43725</v>
      </c>
      <c r="H7" s="411">
        <f>SUMIF(58:58,YEAR(G7)&amp;"-"&amp;MONTH(G7),59:59)</f>
        <v>100</v>
      </c>
      <c r="I7" s="412">
        <v>43725</v>
      </c>
      <c r="J7" s="411">
        <f>SUMIF(58:58,YEAR(I7)&amp;"-"&amp;MONTH(I7),59:59)</f>
        <v>100</v>
      </c>
      <c r="K7" s="2593"/>
      <c r="L7" s="1131"/>
      <c r="M7" s="1132"/>
      <c r="N7" s="1132"/>
      <c r="O7" s="1132"/>
      <c r="P7" s="3232" t="s">
        <v>2538</v>
      </c>
      <c r="Q7" s="3233"/>
      <c r="R7" s="770" t="s">
        <v>23</v>
      </c>
      <c r="S7" s="771">
        <f t="shared" ref="S7:S15" si="0">F7</f>
        <v>100</v>
      </c>
      <c r="T7" s="770" t="s">
        <v>23</v>
      </c>
      <c r="U7" s="771">
        <f t="shared" ref="U7:U15" si="1">H7</f>
        <v>100</v>
      </c>
      <c r="V7" s="770" t="s">
        <v>23</v>
      </c>
      <c r="W7" s="771">
        <f t="shared" ref="W7:W15" si="2">J7</f>
        <v>100</v>
      </c>
      <c r="X7" s="772"/>
      <c r="Y7" s="3232" t="s">
        <v>2538</v>
      </c>
      <c r="Z7" s="3234"/>
      <c r="AA7" s="773">
        <f>D7/F7</f>
        <v>1</v>
      </c>
      <c r="AB7" s="773">
        <f>D7/H7</f>
        <v>1</v>
      </c>
      <c r="AC7" s="773">
        <f>D7/J7</f>
        <v>1</v>
      </c>
    </row>
    <row r="8" spans="1:29" s="117" customFormat="1" ht="15" thickBot="1">
      <c r="A8" s="408" t="s">
        <v>2539</v>
      </c>
      <c r="B8" s="409"/>
      <c r="C8" s="414" t="s">
        <v>2540</v>
      </c>
      <c r="D8" s="411">
        <v>100</v>
      </c>
      <c r="E8" s="417" t="s">
        <v>3439</v>
      </c>
      <c r="F8" s="413">
        <f>SUMIF(61:61,E8,62:62)-SUMIF(61:61,C8,62:62)+100</f>
        <v>100</v>
      </c>
      <c r="G8" s="417" t="s">
        <v>3439</v>
      </c>
      <c r="H8" s="411">
        <f>SUMIF(61:61,G8,62:62)-SUMIF(61:61,C8,62:62)+100</f>
        <v>100</v>
      </c>
      <c r="I8" s="417" t="s">
        <v>3439</v>
      </c>
      <c r="J8" s="411">
        <f>SUMIF(61:61,I8,62:62)-SUMIF(61:61,C8,62:62)+100</f>
        <v>100</v>
      </c>
      <c r="K8" s="2593"/>
      <c r="L8" s="1131"/>
      <c r="M8" s="1132"/>
      <c r="N8" s="1132"/>
      <c r="O8" s="1132"/>
      <c r="P8" s="3232" t="s">
        <v>2541</v>
      </c>
      <c r="Q8" s="3234"/>
      <c r="R8" s="770" t="s">
        <v>23</v>
      </c>
      <c r="S8" s="771">
        <f t="shared" si="0"/>
        <v>100</v>
      </c>
      <c r="T8" s="770" t="s">
        <v>23</v>
      </c>
      <c r="U8" s="771">
        <f t="shared" si="1"/>
        <v>100</v>
      </c>
      <c r="V8" s="770" t="s">
        <v>23</v>
      </c>
      <c r="W8" s="771">
        <f t="shared" si="2"/>
        <v>100</v>
      </c>
      <c r="X8" s="772"/>
      <c r="Y8" s="3232" t="s">
        <v>2541</v>
      </c>
      <c r="Z8" s="3234"/>
      <c r="AA8" s="773">
        <f t="shared" ref="AA8:AA19" si="3">D8/F8</f>
        <v>1</v>
      </c>
      <c r="AB8" s="773">
        <f t="shared" ref="AB8:AB19" si="4">D8/H8</f>
        <v>1</v>
      </c>
      <c r="AC8" s="773">
        <f t="shared" ref="AC8:AC19" si="5">D8/J8</f>
        <v>1</v>
      </c>
    </row>
    <row r="9" spans="1:29" s="117" customFormat="1" ht="14.4">
      <c r="A9" s="415" t="s">
        <v>2542</v>
      </c>
      <c r="B9" s="71" t="s">
        <v>2543</v>
      </c>
      <c r="C9" s="2968" t="s">
        <v>3477</v>
      </c>
      <c r="D9" s="135">
        <v>100</v>
      </c>
      <c r="E9" s="417" t="s">
        <v>3418</v>
      </c>
      <c r="F9" s="418">
        <f>SUMIF(63:63,E9,64:64)-SUMIF(63:63,C9,64:64)+100</f>
        <v>100</v>
      </c>
      <c r="G9" s="417" t="s">
        <v>3418</v>
      </c>
      <c r="H9" s="135">
        <f>SUMIF(63:63,G9,64:64)-SUMIF(63:63,C9,64:64)+100</f>
        <v>100</v>
      </c>
      <c r="I9" s="417" t="s">
        <v>3418</v>
      </c>
      <c r="J9" s="135">
        <f>SUMIF(63:63,I9,64:64)-SUMIF(63:63,C9,64:64)+100</f>
        <v>100</v>
      </c>
      <c r="K9" s="2593"/>
      <c r="L9" s="1131"/>
      <c r="M9" s="1132"/>
      <c r="N9" s="1132"/>
      <c r="O9" s="1132"/>
      <c r="P9" s="3235" t="s">
        <v>2544</v>
      </c>
      <c r="Q9" s="1793" t="str">
        <f t="shared" ref="Q9:Q15" si="6">B9</f>
        <v>用途</v>
      </c>
      <c r="R9" s="770" t="s">
        <v>17</v>
      </c>
      <c r="S9" s="771">
        <f t="shared" si="0"/>
        <v>100</v>
      </c>
      <c r="T9" s="770" t="s">
        <v>17</v>
      </c>
      <c r="U9" s="771">
        <f t="shared" si="1"/>
        <v>100</v>
      </c>
      <c r="V9" s="770" t="s">
        <v>17</v>
      </c>
      <c r="W9" s="771">
        <f t="shared" si="2"/>
        <v>100</v>
      </c>
      <c r="X9" s="772"/>
      <c r="Y9" s="3024" t="s">
        <v>2545</v>
      </c>
      <c r="Z9" s="55" t="str">
        <f t="shared" ref="Z9:Z15" si="7">Q9</f>
        <v>用途</v>
      </c>
      <c r="AA9" s="773">
        <f t="shared" si="3"/>
        <v>1</v>
      </c>
      <c r="AB9" s="773">
        <f t="shared" si="4"/>
        <v>1</v>
      </c>
      <c r="AC9" s="773">
        <f t="shared" si="5"/>
        <v>1</v>
      </c>
    </row>
    <row r="10" spans="1:29" s="427" customFormat="1" ht="28.8">
      <c r="A10" s="421"/>
      <c r="B10" s="422" t="s">
        <v>2546</v>
      </c>
      <c r="C10" s="423" t="s">
        <v>3478</v>
      </c>
      <c r="D10" s="136">
        <v>100</v>
      </c>
      <c r="E10" s="424" t="s">
        <v>3478</v>
      </c>
      <c r="F10" s="425">
        <f>SUMIF(65:65,E10,66:66)-SUMIF(65:65,C10,66:66)+100</f>
        <v>100</v>
      </c>
      <c r="G10" s="424" t="s">
        <v>3478</v>
      </c>
      <c r="H10" s="136">
        <f>SUMIF(65:65,G10,66:66)-SUMIF(65:65,C10,66:66)+100</f>
        <v>100</v>
      </c>
      <c r="I10" s="424" t="s">
        <v>3478</v>
      </c>
      <c r="J10" s="136">
        <f>SUMIF(65:65,I10,66:66)-SUMIF(65:65,C10,66:66)+100</f>
        <v>100</v>
      </c>
      <c r="K10" s="426">
        <f>'比较法-高层'!K10</f>
        <v>1</v>
      </c>
      <c r="L10" s="1134"/>
      <c r="M10" s="1135"/>
      <c r="N10" s="1135"/>
      <c r="O10" s="1135"/>
      <c r="P10" s="3235"/>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6" thickBot="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426">
        <f>'比较法-高层'!K11</f>
        <v>3</v>
      </c>
      <c r="L11" s="1137"/>
      <c r="M11" s="1130"/>
      <c r="N11" s="1130"/>
      <c r="O11" s="1130"/>
      <c r="P11" s="3235"/>
      <c r="Q11" s="1793" t="str">
        <f t="shared" si="6"/>
        <v>容积率</v>
      </c>
      <c r="R11" s="770" t="s">
        <v>21</v>
      </c>
      <c r="S11" s="771">
        <f t="shared" si="0"/>
        <v>100</v>
      </c>
      <c r="T11" s="770" t="s">
        <v>21</v>
      </c>
      <c r="U11" s="771">
        <f t="shared" si="1"/>
        <v>100</v>
      </c>
      <c r="V11" s="770" t="s">
        <v>21</v>
      </c>
      <c r="W11" s="771">
        <f t="shared" si="2"/>
        <v>100</v>
      </c>
      <c r="X11" s="772"/>
      <c r="Y11" s="3024"/>
      <c r="Z11" s="55" t="str">
        <f t="shared" si="7"/>
        <v>容积率</v>
      </c>
      <c r="AA11" s="773">
        <f t="shared" si="3"/>
        <v>1</v>
      </c>
      <c r="AB11" s="773">
        <f t="shared" si="4"/>
        <v>1</v>
      </c>
      <c r="AC11" s="773">
        <f t="shared" si="5"/>
        <v>1</v>
      </c>
    </row>
    <row r="12" spans="1:29" s="117" customFormat="1" ht="15" hidden="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1"/>
      <c r="M12" s="1132"/>
      <c r="N12" s="1132"/>
      <c r="O12" s="1132"/>
      <c r="P12" s="3235"/>
      <c r="Q12" s="1793">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hidden="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9"/>
      <c r="M13" s="1130"/>
      <c r="N13" s="1130"/>
      <c r="O13" s="1130"/>
      <c r="P13" s="3235"/>
      <c r="Q13" s="1793">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6"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9"/>
      <c r="M14" s="1130"/>
      <c r="N14" s="1130"/>
      <c r="O14" s="1130"/>
      <c r="P14" s="3235"/>
      <c r="Q14" s="1793">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15">
      <c r="A15" s="440" t="s">
        <v>2548</v>
      </c>
      <c r="B15" s="69" t="s">
        <v>2080</v>
      </c>
      <c r="C15" s="2597" t="str">
        <f>估价对象房地状况!C3</f>
        <v>较差</v>
      </c>
      <c r="D15" s="441">
        <v>100</v>
      </c>
      <c r="E15" s="444"/>
      <c r="F15" s="441">
        <f>SUMIF(76:76,E16,77:77)-SUMIF(76:76,C16,77:77)+100</f>
        <v>100</v>
      </c>
      <c r="G15" s="442"/>
      <c r="H15" s="441">
        <f>SUMIF(76:76,G16,77:77)-SUMIF(76:76,C16,77:77)+100</f>
        <v>102</v>
      </c>
      <c r="I15" s="442"/>
      <c r="J15" s="441">
        <f>SUMIF(76:76,I16,77:77)-SUMIF(76:76,C16,77:77)+100</f>
        <v>104</v>
      </c>
      <c r="K15" s="445">
        <f>'比较法-高层'!K15</f>
        <v>2</v>
      </c>
      <c r="L15" s="1139"/>
      <c r="M15" s="1130"/>
      <c r="N15" s="1130"/>
      <c r="O15" s="1130"/>
      <c r="P15" s="3236" t="s">
        <v>2549</v>
      </c>
      <c r="Q15" s="1808" t="str">
        <f t="shared" si="6"/>
        <v>居住社区成熟度</v>
      </c>
      <c r="R15" s="774" t="s">
        <v>21</v>
      </c>
      <c r="S15" s="775">
        <f t="shared" si="0"/>
        <v>100</v>
      </c>
      <c r="T15" s="774" t="s">
        <v>21</v>
      </c>
      <c r="U15" s="775">
        <f t="shared" si="1"/>
        <v>102</v>
      </c>
      <c r="V15" s="774" t="s">
        <v>21</v>
      </c>
      <c r="W15" s="775">
        <f t="shared" si="2"/>
        <v>104</v>
      </c>
      <c r="X15" s="1811"/>
      <c r="Y15" s="3238" t="s">
        <v>2549</v>
      </c>
      <c r="Z15" s="1812" t="str">
        <f t="shared" si="7"/>
        <v>居住社区成熟度</v>
      </c>
      <c r="AA15" s="1809">
        <f t="shared" si="3"/>
        <v>1</v>
      </c>
      <c r="AB15" s="1809">
        <f t="shared" si="4"/>
        <v>0.98039215686274506</v>
      </c>
      <c r="AC15" s="1809">
        <f t="shared" si="5"/>
        <v>0.96153846153846156</v>
      </c>
    </row>
    <row r="16" spans="1:29" ht="15">
      <c r="A16" s="428"/>
      <c r="B16" s="446"/>
      <c r="C16" s="447" t="s">
        <v>3430</v>
      </c>
      <c r="D16" s="448"/>
      <c r="E16" s="447" t="s">
        <v>3430</v>
      </c>
      <c r="F16" s="448"/>
      <c r="G16" s="2604" t="s">
        <v>3436</v>
      </c>
      <c r="H16" s="450"/>
      <c r="I16" s="2599" t="s">
        <v>3443</v>
      </c>
      <c r="J16" s="448"/>
      <c r="K16" s="2600"/>
      <c r="L16" s="1139"/>
      <c r="M16" s="1130"/>
      <c r="N16" s="1130"/>
      <c r="O16" s="1130"/>
      <c r="P16" s="3237"/>
      <c r="Q16" s="1808"/>
      <c r="R16" s="774"/>
      <c r="S16" s="775"/>
      <c r="T16" s="774"/>
      <c r="U16" s="775"/>
      <c r="V16" s="774"/>
      <c r="W16" s="775"/>
      <c r="X16" s="1811"/>
      <c r="Y16" s="3239"/>
      <c r="Z16" s="1812"/>
      <c r="AA16" s="1809">
        <v>1</v>
      </c>
      <c r="AB16" s="1809">
        <v>1</v>
      </c>
      <c r="AC16" s="1809">
        <v>1</v>
      </c>
    </row>
    <row r="17" spans="1:29" ht="15">
      <c r="A17" s="428"/>
      <c r="B17" s="451" t="s">
        <v>2089</v>
      </c>
      <c r="C17" s="2601" t="str">
        <f>估价对象房地状况!C6</f>
        <v>差</v>
      </c>
      <c r="D17" s="450">
        <v>100</v>
      </c>
      <c r="E17" s="454"/>
      <c r="F17" s="450">
        <f>SUMIF(78:78,E18,79:79)-SUMIF(78:78,C18,79:79)+100</f>
        <v>100</v>
      </c>
      <c r="G17" s="452"/>
      <c r="H17" s="455">
        <f>SUMIF(78:78,G18,79:79)-SUMIF(78:78,C18,79:79)+100</f>
        <v>101</v>
      </c>
      <c r="I17" s="452"/>
      <c r="J17" s="455">
        <f>SUMIF(78:78,I18,79:79)-SUMIF(78:78,C18,79:79)+100</f>
        <v>102</v>
      </c>
      <c r="K17" s="445">
        <f>'比较法-高层'!K17</f>
        <v>1</v>
      </c>
      <c r="L17" s="1139"/>
      <c r="M17" s="1130"/>
      <c r="N17" s="1130"/>
      <c r="O17" s="1130"/>
      <c r="P17" s="3237"/>
      <c r="Q17" s="1808" t="str">
        <f>B17</f>
        <v>交通便捷度</v>
      </c>
      <c r="R17" s="774" t="s">
        <v>21</v>
      </c>
      <c r="S17" s="775">
        <f>F17</f>
        <v>100</v>
      </c>
      <c r="T17" s="774" t="s">
        <v>21</v>
      </c>
      <c r="U17" s="775">
        <f>H17</f>
        <v>101</v>
      </c>
      <c r="V17" s="774" t="s">
        <v>21</v>
      </c>
      <c r="W17" s="775">
        <f>J17</f>
        <v>102</v>
      </c>
      <c r="X17" s="1811"/>
      <c r="Y17" s="3239"/>
      <c r="Z17" s="1812" t="str">
        <f>Q17</f>
        <v>交通便捷度</v>
      </c>
      <c r="AA17" s="1809">
        <f t="shared" si="3"/>
        <v>1</v>
      </c>
      <c r="AB17" s="1809">
        <f t="shared" si="4"/>
        <v>0.99009900990099009</v>
      </c>
      <c r="AC17" s="1809">
        <f t="shared" si="5"/>
        <v>0.98039215686274506</v>
      </c>
    </row>
    <row r="18" spans="1:29" ht="15">
      <c r="A18" s="428"/>
      <c r="B18" s="456"/>
      <c r="C18" s="2602" t="s">
        <v>3432</v>
      </c>
      <c r="D18" s="450"/>
      <c r="E18" s="2602" t="s">
        <v>3432</v>
      </c>
      <c r="F18" s="450"/>
      <c r="G18" s="2604" t="s">
        <v>3430</v>
      </c>
      <c r="H18" s="448"/>
      <c r="I18" s="2604" t="s">
        <v>3436</v>
      </c>
      <c r="J18" s="448"/>
      <c r="K18" s="2600"/>
      <c r="L18" s="1139"/>
      <c r="M18" s="1130"/>
      <c r="N18" s="1130"/>
      <c r="O18" s="1130"/>
      <c r="P18" s="3237"/>
      <c r="Q18" s="1808"/>
      <c r="R18" s="774"/>
      <c r="S18" s="775"/>
      <c r="T18" s="774"/>
      <c r="U18" s="775"/>
      <c r="V18" s="774"/>
      <c r="W18" s="775"/>
      <c r="X18" s="1811"/>
      <c r="Y18" s="3239"/>
      <c r="Z18" s="1812"/>
      <c r="AA18" s="1809">
        <v>1</v>
      </c>
      <c r="AB18" s="1809">
        <v>1</v>
      </c>
      <c r="AC18" s="1809">
        <v>1</v>
      </c>
    </row>
    <row r="19" spans="1:29" ht="15">
      <c r="A19" s="428"/>
      <c r="B19" s="451" t="s">
        <v>2087</v>
      </c>
      <c r="C19" s="2601" t="str">
        <f>估价对象房地状况!C7</f>
        <v>差</v>
      </c>
      <c r="D19" s="455">
        <v>100</v>
      </c>
      <c r="E19" s="459"/>
      <c r="F19" s="455">
        <f>SUMIF(80:80,E20,81:81)-SUMIF(80:80,C20,81:81)+100</f>
        <v>100</v>
      </c>
      <c r="G19" s="457"/>
      <c r="H19" s="450">
        <f>SUMIF(80:80,G20,81:81)-SUMIF(80:80,C20,81:81)+100</f>
        <v>101</v>
      </c>
      <c r="I19" s="457"/>
      <c r="J19" s="450">
        <f>SUMIF(80:80,I20,81:81)-SUMIF(80:80,C20,81:81)+100</f>
        <v>103</v>
      </c>
      <c r="K19" s="445">
        <f>'比较法-高层'!K19</f>
        <v>1</v>
      </c>
      <c r="L19" s="1139"/>
      <c r="M19" s="1130"/>
      <c r="N19" s="1130"/>
      <c r="O19" s="1130"/>
      <c r="P19" s="3237"/>
      <c r="Q19" s="1808" t="str">
        <f>B19</f>
        <v>公共配套设施</v>
      </c>
      <c r="R19" s="774" t="s">
        <v>21</v>
      </c>
      <c r="S19" s="775">
        <f>F19</f>
        <v>100</v>
      </c>
      <c r="T19" s="774" t="s">
        <v>21</v>
      </c>
      <c r="U19" s="775">
        <f>H19</f>
        <v>101</v>
      </c>
      <c r="V19" s="774" t="s">
        <v>21</v>
      </c>
      <c r="W19" s="775">
        <f>J19</f>
        <v>103</v>
      </c>
      <c r="X19" s="1811"/>
      <c r="Y19" s="3239"/>
      <c r="Z19" s="1812" t="str">
        <f>Q19</f>
        <v>公共配套设施</v>
      </c>
      <c r="AA19" s="1809">
        <f t="shared" si="3"/>
        <v>1</v>
      </c>
      <c r="AB19" s="1809">
        <f t="shared" si="4"/>
        <v>0.99009900990099009</v>
      </c>
      <c r="AC19" s="1809">
        <f t="shared" si="5"/>
        <v>0.970873786407767</v>
      </c>
    </row>
    <row r="20" spans="1:29" ht="15">
      <c r="A20" s="428"/>
      <c r="B20" s="456"/>
      <c r="C20" s="447" t="s">
        <v>3432</v>
      </c>
      <c r="D20" s="448"/>
      <c r="E20" s="447" t="s">
        <v>3432</v>
      </c>
      <c r="F20" s="448"/>
      <c r="G20" s="2599" t="s">
        <v>3430</v>
      </c>
      <c r="H20" s="448"/>
      <c r="I20" s="2599" t="s">
        <v>3443</v>
      </c>
      <c r="J20" s="448"/>
      <c r="K20" s="2600"/>
      <c r="L20" s="1139"/>
      <c r="M20" s="1130"/>
      <c r="N20" s="1130"/>
      <c r="O20" s="1130"/>
      <c r="P20" s="3237"/>
      <c r="Q20" s="1808"/>
      <c r="R20" s="774"/>
      <c r="S20" s="775"/>
      <c r="T20" s="774"/>
      <c r="U20" s="775"/>
      <c r="V20" s="774"/>
      <c r="W20" s="775"/>
      <c r="X20" s="1811"/>
      <c r="Y20" s="3239"/>
      <c r="Z20" s="1812"/>
      <c r="AA20" s="1809">
        <v>1</v>
      </c>
      <c r="AB20" s="1809">
        <v>1</v>
      </c>
      <c r="AC20" s="1809">
        <v>1</v>
      </c>
    </row>
    <row r="21" spans="1:29" ht="15">
      <c r="A21" s="428"/>
      <c r="B21" s="1383" t="s">
        <v>2090</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'比较法-高层'!K21</f>
        <v>1</v>
      </c>
      <c r="L21" s="1139"/>
      <c r="M21" s="1130"/>
      <c r="N21" s="1130"/>
      <c r="O21" s="1130"/>
      <c r="P21" s="3237"/>
      <c r="Q21" s="1808" t="str">
        <f>B21</f>
        <v>基础设施水平</v>
      </c>
      <c r="R21" s="774" t="s">
        <v>17</v>
      </c>
      <c r="S21" s="775">
        <f>F21</f>
        <v>100</v>
      </c>
      <c r="T21" s="774" t="s">
        <v>17</v>
      </c>
      <c r="U21" s="775">
        <f>H21</f>
        <v>100</v>
      </c>
      <c r="V21" s="774" t="s">
        <v>17</v>
      </c>
      <c r="W21" s="775">
        <f>J21</f>
        <v>100</v>
      </c>
      <c r="X21" s="1811"/>
      <c r="Y21" s="3239"/>
      <c r="Z21" s="1812" t="str">
        <f>Q21</f>
        <v>基础设施水平</v>
      </c>
      <c r="AA21" s="1809">
        <f>D21/F21</f>
        <v>1</v>
      </c>
      <c r="AB21" s="1809">
        <f>D21/H21</f>
        <v>1</v>
      </c>
      <c r="AC21" s="1809">
        <f>D21/J21</f>
        <v>1</v>
      </c>
    </row>
    <row r="22" spans="1:29" ht="15">
      <c r="A22" s="428"/>
      <c r="B22" s="1383"/>
      <c r="C22" s="2602" t="s">
        <v>3434</v>
      </c>
      <c r="D22" s="448"/>
      <c r="E22" s="2602" t="s">
        <v>3434</v>
      </c>
      <c r="F22" s="448"/>
      <c r="G22" s="2602" t="s">
        <v>3434</v>
      </c>
      <c r="H22" s="448"/>
      <c r="I22" s="2602" t="s">
        <v>3434</v>
      </c>
      <c r="J22" s="448"/>
      <c r="K22" s="2606"/>
      <c r="L22" s="1139"/>
      <c r="M22" s="1130"/>
      <c r="N22" s="1130"/>
      <c r="O22" s="1130"/>
      <c r="P22" s="3237"/>
      <c r="Q22" s="1808"/>
      <c r="R22" s="774"/>
      <c r="S22" s="775"/>
      <c r="T22" s="774"/>
      <c r="U22" s="775"/>
      <c r="V22" s="774"/>
      <c r="W22" s="775"/>
      <c r="X22" s="1811"/>
      <c r="Y22" s="3239"/>
      <c r="Z22" s="1812"/>
      <c r="AA22" s="1809">
        <v>1</v>
      </c>
      <c r="AB22" s="1809">
        <v>1</v>
      </c>
      <c r="AC22" s="1809">
        <v>1</v>
      </c>
    </row>
    <row r="23" spans="1:29" ht="15">
      <c r="A23" s="428"/>
      <c r="B23" s="451" t="s">
        <v>2094</v>
      </c>
      <c r="C23" s="2601" t="str">
        <f>估价对象房地状况!C9</f>
        <v>一般</v>
      </c>
      <c r="D23" s="450">
        <v>100</v>
      </c>
      <c r="E23" s="454"/>
      <c r="F23" s="450">
        <f>SUMIF(84:84,E24,85:85)-SUMIF(84:84,C24,85:85)+100</f>
        <v>100</v>
      </c>
      <c r="G23" s="452"/>
      <c r="H23" s="450">
        <f>SUMIF(84:84,G24,85:85)-SUMIF(84:84,C24,85:85)+100</f>
        <v>100</v>
      </c>
      <c r="I23" s="452"/>
      <c r="J23" s="450">
        <f>SUMIF(84:84,I24,85:85)-SUMIF(84:84,C24,85:85)+100</f>
        <v>101</v>
      </c>
      <c r="K23" s="445">
        <f>'比较法-高层'!K23</f>
        <v>1</v>
      </c>
      <c r="L23" s="1139"/>
      <c r="M23" s="1130"/>
      <c r="N23" s="1130"/>
      <c r="O23" s="1130"/>
      <c r="P23" s="3237"/>
      <c r="Q23" s="1808" t="str">
        <f>B23</f>
        <v>自然及人文环境</v>
      </c>
      <c r="R23" s="774" t="s">
        <v>21</v>
      </c>
      <c r="S23" s="775">
        <f>F23</f>
        <v>100</v>
      </c>
      <c r="T23" s="774" t="s">
        <v>21</v>
      </c>
      <c r="U23" s="775">
        <f>H23</f>
        <v>100</v>
      </c>
      <c r="V23" s="774" t="s">
        <v>21</v>
      </c>
      <c r="W23" s="775">
        <f>J23</f>
        <v>101</v>
      </c>
      <c r="X23" s="1811"/>
      <c r="Y23" s="3239"/>
      <c r="Z23" s="1812" t="str">
        <f>Q23</f>
        <v>自然及人文环境</v>
      </c>
      <c r="AA23" s="1809">
        <f>D23/F23</f>
        <v>1</v>
      </c>
      <c r="AB23" s="1809">
        <f>D23/H23</f>
        <v>1</v>
      </c>
      <c r="AC23" s="1809">
        <f>D23/J23</f>
        <v>0.99009900990099009</v>
      </c>
    </row>
    <row r="24" spans="1:29" ht="15.6" thickBot="1">
      <c r="A24" s="428"/>
      <c r="B24" s="456"/>
      <c r="C24" s="447" t="s">
        <v>3436</v>
      </c>
      <c r="D24" s="448"/>
      <c r="E24" s="447" t="s">
        <v>3436</v>
      </c>
      <c r="F24" s="448"/>
      <c r="G24" s="2599" t="s">
        <v>3436</v>
      </c>
      <c r="H24" s="448"/>
      <c r="I24" s="2599" t="s">
        <v>3443</v>
      </c>
      <c r="J24" s="448"/>
      <c r="K24" s="2600"/>
      <c r="L24" s="1139"/>
      <c r="M24" s="1130"/>
      <c r="N24" s="1130"/>
      <c r="O24" s="1130"/>
      <c r="P24" s="3237"/>
      <c r="Q24" s="1808"/>
      <c r="R24" s="774"/>
      <c r="S24" s="775"/>
      <c r="T24" s="774"/>
      <c r="U24" s="775"/>
      <c r="V24" s="774"/>
      <c r="W24" s="775"/>
      <c r="X24" s="1811"/>
      <c r="Y24" s="3239"/>
      <c r="Z24" s="1812"/>
      <c r="AA24" s="1809">
        <v>1</v>
      </c>
      <c r="AB24" s="1809">
        <v>1</v>
      </c>
      <c r="AC24" s="1809">
        <v>1</v>
      </c>
    </row>
    <row r="25" spans="1:29" ht="15" hidden="1">
      <c r="A25" s="428"/>
      <c r="B25" s="422" t="s">
        <v>2550</v>
      </c>
      <c r="C25" s="460"/>
      <c r="D25" s="435">
        <v>100</v>
      </c>
      <c r="E25" s="2607"/>
      <c r="F25" s="435">
        <f>SUMIF(86:86,E25,87:87)-SUMIF(86:86,C25,87:87)+100</f>
        <v>100</v>
      </c>
      <c r="G25" s="2608"/>
      <c r="H25" s="435">
        <f>SUMIF(86:86,G25,87:87)-SUMIF(86:86,C25,87:87)+100</f>
        <v>100</v>
      </c>
      <c r="I25" s="2608"/>
      <c r="J25" s="435">
        <f>SUMIF(86:86,I25,87:87)-SUMIF(86:86,C25,87:87)+100</f>
        <v>100</v>
      </c>
      <c r="K25" s="426"/>
      <c r="L25" s="1139"/>
      <c r="M25" s="1130"/>
      <c r="N25" s="1130"/>
      <c r="O25" s="1130"/>
      <c r="P25" s="3237"/>
      <c r="Q25" s="1808" t="str">
        <f t="shared" ref="Q25:Q46" si="8">B25</f>
        <v>楼层-1</v>
      </c>
      <c r="R25" s="774" t="s">
        <v>21</v>
      </c>
      <c r="S25" s="775">
        <f t="shared" ref="S25:S46" si="9">F25</f>
        <v>100</v>
      </c>
      <c r="T25" s="774" t="s">
        <v>21</v>
      </c>
      <c r="U25" s="775">
        <f t="shared" ref="U25:U46" si="10">H25</f>
        <v>100</v>
      </c>
      <c r="V25" s="774" t="s">
        <v>21</v>
      </c>
      <c r="W25" s="775">
        <f t="shared" ref="W25:W46" si="11">J25</f>
        <v>100</v>
      </c>
      <c r="X25" s="1811"/>
      <c r="Y25" s="3239"/>
      <c r="Z25" s="1812" t="str">
        <f>Q25</f>
        <v>楼层-1</v>
      </c>
      <c r="AA25" s="1809">
        <f t="shared" ref="AA25:AA46" si="12">D25/F25</f>
        <v>1</v>
      </c>
      <c r="AB25" s="1809">
        <f t="shared" ref="AB25:AB46" si="13">D25/H25</f>
        <v>1</v>
      </c>
      <c r="AC25" s="1809">
        <f t="shared" ref="AC25:AC46" si="14">D25/J25</f>
        <v>1</v>
      </c>
    </row>
    <row r="26" spans="1:29" ht="15" hidden="1">
      <c r="A26" s="428"/>
      <c r="B26" s="422" t="s">
        <v>2551</v>
      </c>
      <c r="C26" s="460"/>
      <c r="D26" s="435">
        <v>100</v>
      </c>
      <c r="E26" s="2607"/>
      <c r="F26" s="435">
        <f>SUMIF(88:88,E26,89:89)-SUMIF(88:88,C26,89:89)+100</f>
        <v>100</v>
      </c>
      <c r="G26" s="2608"/>
      <c r="H26" s="435">
        <f>SUMIF(88:88,G26,89:89)-SUMIF(88:88,C26,89:89)+100</f>
        <v>100</v>
      </c>
      <c r="I26" s="2608"/>
      <c r="J26" s="435">
        <f>SUMIF(88:88,I26,89:89)-SUMIF(88:88,C26,89:89)+100</f>
        <v>100</v>
      </c>
      <c r="K26" s="426"/>
      <c r="L26" s="1139"/>
      <c r="M26" s="1130"/>
      <c r="N26" s="1130"/>
      <c r="O26" s="1130"/>
      <c r="P26" s="3237"/>
      <c r="Q26" s="1808" t="str">
        <f t="shared" si="8"/>
        <v>朝向</v>
      </c>
      <c r="R26" s="774" t="s">
        <v>21</v>
      </c>
      <c r="S26" s="775">
        <f t="shared" si="9"/>
        <v>100</v>
      </c>
      <c r="T26" s="774" t="s">
        <v>21</v>
      </c>
      <c r="U26" s="775">
        <f t="shared" si="10"/>
        <v>100</v>
      </c>
      <c r="V26" s="774" t="s">
        <v>21</v>
      </c>
      <c r="W26" s="775">
        <f t="shared" si="11"/>
        <v>100</v>
      </c>
      <c r="X26" s="1811"/>
      <c r="Y26" s="3239"/>
      <c r="Z26" s="1812" t="str">
        <f>Q26</f>
        <v>朝向</v>
      </c>
      <c r="AA26" s="1809">
        <f t="shared" si="12"/>
        <v>1</v>
      </c>
      <c r="AB26" s="1809">
        <f t="shared" si="13"/>
        <v>1</v>
      </c>
      <c r="AC26" s="1809">
        <f t="shared" si="14"/>
        <v>1</v>
      </c>
    </row>
    <row r="27" spans="1:29" s="117" customFormat="1" ht="15" hidden="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1"/>
      <c r="M27" s="1132"/>
      <c r="N27" s="1132"/>
      <c r="O27" s="1132"/>
      <c r="P27" s="3237"/>
      <c r="Q27" s="1793">
        <f t="shared" si="8"/>
        <v>111</v>
      </c>
      <c r="R27" s="770" t="s">
        <v>21</v>
      </c>
      <c r="S27" s="771">
        <f t="shared" si="9"/>
        <v>100</v>
      </c>
      <c r="T27" s="770" t="s">
        <v>21</v>
      </c>
      <c r="U27" s="771">
        <f t="shared" si="10"/>
        <v>100</v>
      </c>
      <c r="V27" s="770" t="s">
        <v>21</v>
      </c>
      <c r="W27" s="771">
        <f t="shared" si="11"/>
        <v>100</v>
      </c>
      <c r="X27" s="772"/>
      <c r="Y27" s="3239"/>
      <c r="Z27" s="55">
        <f>Q27</f>
        <v>111</v>
      </c>
      <c r="AA27" s="1809">
        <f t="shared" si="12"/>
        <v>1</v>
      </c>
      <c r="AB27" s="1809">
        <f t="shared" si="13"/>
        <v>1</v>
      </c>
      <c r="AC27" s="1809">
        <f t="shared" si="14"/>
        <v>1</v>
      </c>
    </row>
    <row r="28" spans="1:29" ht="15" hidden="1">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39"/>
      <c r="M28" s="1130"/>
      <c r="N28" s="1130"/>
      <c r="O28" s="1130"/>
      <c r="P28" s="3237"/>
      <c r="Q28" s="1808">
        <f t="shared" si="8"/>
        <v>111</v>
      </c>
      <c r="R28" s="774" t="s">
        <v>21</v>
      </c>
      <c r="S28" s="775">
        <f t="shared" si="9"/>
        <v>100</v>
      </c>
      <c r="T28" s="774" t="s">
        <v>21</v>
      </c>
      <c r="U28" s="775">
        <f t="shared" si="10"/>
        <v>100</v>
      </c>
      <c r="V28" s="774" t="s">
        <v>21</v>
      </c>
      <c r="W28" s="775">
        <f t="shared" si="11"/>
        <v>100</v>
      </c>
      <c r="X28" s="1811"/>
      <c r="Y28" s="3239"/>
      <c r="Z28" s="1812">
        <f t="shared" ref="Z28:Z46" si="15">Q28</f>
        <v>111</v>
      </c>
      <c r="AA28" s="1809">
        <f t="shared" si="12"/>
        <v>1</v>
      </c>
      <c r="AB28" s="1809">
        <f t="shared" si="13"/>
        <v>1</v>
      </c>
      <c r="AC28" s="1809">
        <f t="shared" si="14"/>
        <v>1</v>
      </c>
    </row>
    <row r="29" spans="1:29" ht="15" hidden="1">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39"/>
      <c r="M29" s="1130"/>
      <c r="N29" s="1130"/>
      <c r="O29" s="1130"/>
      <c r="P29" s="3237"/>
      <c r="Q29" s="1808">
        <f t="shared" si="8"/>
        <v>111</v>
      </c>
      <c r="R29" s="774" t="s">
        <v>21</v>
      </c>
      <c r="S29" s="775">
        <f t="shared" si="9"/>
        <v>100</v>
      </c>
      <c r="T29" s="774" t="s">
        <v>21</v>
      </c>
      <c r="U29" s="775">
        <f t="shared" si="10"/>
        <v>100</v>
      </c>
      <c r="V29" s="774" t="s">
        <v>21</v>
      </c>
      <c r="W29" s="775">
        <f t="shared" si="11"/>
        <v>100</v>
      </c>
      <c r="X29" s="1811"/>
      <c r="Y29" s="3239"/>
      <c r="Z29" s="1812">
        <f t="shared" si="15"/>
        <v>111</v>
      </c>
      <c r="AA29" s="1809">
        <f t="shared" si="12"/>
        <v>1</v>
      </c>
      <c r="AB29" s="1809">
        <f t="shared" si="13"/>
        <v>1</v>
      </c>
      <c r="AC29" s="1809">
        <f t="shared" si="14"/>
        <v>1</v>
      </c>
    </row>
    <row r="30" spans="1:29" ht="15" hidden="1">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39"/>
      <c r="M30" s="1130"/>
      <c r="N30" s="1130"/>
      <c r="O30" s="1130"/>
      <c r="P30" s="3237"/>
      <c r="Q30" s="1808">
        <f t="shared" si="8"/>
        <v>111</v>
      </c>
      <c r="R30" s="774" t="s">
        <v>21</v>
      </c>
      <c r="S30" s="775">
        <f t="shared" si="9"/>
        <v>100</v>
      </c>
      <c r="T30" s="774" t="s">
        <v>21</v>
      </c>
      <c r="U30" s="775">
        <f t="shared" si="10"/>
        <v>100</v>
      </c>
      <c r="V30" s="774" t="s">
        <v>21</v>
      </c>
      <c r="W30" s="775">
        <f t="shared" si="11"/>
        <v>100</v>
      </c>
      <c r="X30" s="1811"/>
      <c r="Y30" s="3239"/>
      <c r="Z30" s="1812">
        <f t="shared" si="15"/>
        <v>111</v>
      </c>
      <c r="AA30" s="1809">
        <f t="shared" si="12"/>
        <v>1</v>
      </c>
      <c r="AB30" s="1809">
        <f t="shared" si="13"/>
        <v>1</v>
      </c>
      <c r="AC30" s="1809">
        <f t="shared" si="14"/>
        <v>1</v>
      </c>
    </row>
    <row r="31" spans="1:29" ht="15.6" hidden="1"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39"/>
      <c r="M31" s="1130"/>
      <c r="N31" s="1130"/>
      <c r="O31" s="1130"/>
      <c r="P31" s="3237"/>
      <c r="Q31" s="1808">
        <f t="shared" si="8"/>
        <v>111</v>
      </c>
      <c r="R31" s="774" t="s">
        <v>21</v>
      </c>
      <c r="S31" s="775">
        <f t="shared" si="9"/>
        <v>100</v>
      </c>
      <c r="T31" s="774" t="s">
        <v>21</v>
      </c>
      <c r="U31" s="775">
        <f t="shared" si="10"/>
        <v>100</v>
      </c>
      <c r="V31" s="774" t="s">
        <v>21</v>
      </c>
      <c r="W31" s="775">
        <f t="shared" si="11"/>
        <v>100</v>
      </c>
      <c r="X31" s="1811"/>
      <c r="Y31" s="3239"/>
      <c r="Z31" s="1812">
        <f t="shared" si="15"/>
        <v>111</v>
      </c>
      <c r="AA31" s="1809">
        <f t="shared" si="12"/>
        <v>1</v>
      </c>
      <c r="AB31" s="1809">
        <f t="shared" si="13"/>
        <v>1</v>
      </c>
      <c r="AC31" s="1809">
        <f t="shared" si="14"/>
        <v>1</v>
      </c>
    </row>
    <row r="32" spans="1:29" ht="15">
      <c r="A32" s="440" t="s">
        <v>2552</v>
      </c>
      <c r="B32" s="71" t="s">
        <v>2553</v>
      </c>
      <c r="C32" s="2611" t="s">
        <v>3422</v>
      </c>
      <c r="D32" s="467">
        <v>100</v>
      </c>
      <c r="E32" s="2611" t="s">
        <v>3422</v>
      </c>
      <c r="F32" s="461">
        <f>SUMIF(100:100,E32,101:101)-SUMIF(100:100,C32,101:101)+100</f>
        <v>100</v>
      </c>
      <c r="G32" s="2611" t="s">
        <v>3422</v>
      </c>
      <c r="H32" s="467">
        <f>SUMIF(100:100,G32,101:101)-SUMIF(100:100,C32,101:101)+100</f>
        <v>100</v>
      </c>
      <c r="I32" s="2612" t="s">
        <v>3422</v>
      </c>
      <c r="J32" s="435">
        <f>SUMIF(100:100,I32,101:101)-SUMIF(100:100,C32,101:101)+100</f>
        <v>100</v>
      </c>
      <c r="K32" s="426">
        <f>'比较法-高层'!K32</f>
        <v>8</v>
      </c>
      <c r="L32" s="1139"/>
      <c r="M32" s="1130"/>
      <c r="N32" s="1130"/>
      <c r="O32" s="1130"/>
      <c r="P32" s="3240" t="s">
        <v>2554</v>
      </c>
      <c r="Q32" s="1808" t="str">
        <f t="shared" si="8"/>
        <v>建筑类型</v>
      </c>
      <c r="R32" s="774" t="s">
        <v>21</v>
      </c>
      <c r="S32" s="775">
        <f t="shared" si="9"/>
        <v>100</v>
      </c>
      <c r="T32" s="774" t="s">
        <v>21</v>
      </c>
      <c r="U32" s="775">
        <f t="shared" si="10"/>
        <v>100</v>
      </c>
      <c r="V32" s="774" t="s">
        <v>21</v>
      </c>
      <c r="W32" s="775">
        <f t="shared" si="11"/>
        <v>100</v>
      </c>
      <c r="X32" s="1811"/>
      <c r="Y32" s="3243" t="s">
        <v>2554</v>
      </c>
      <c r="Z32" s="1812" t="str">
        <f t="shared" si="15"/>
        <v>建筑类型</v>
      </c>
      <c r="AA32" s="1809">
        <f t="shared" si="12"/>
        <v>1</v>
      </c>
      <c r="AB32" s="1809">
        <f t="shared" si="13"/>
        <v>1</v>
      </c>
      <c r="AC32" s="1809">
        <f t="shared" si="14"/>
        <v>1</v>
      </c>
    </row>
    <row r="33" spans="1:29" s="471" customFormat="1" ht="15">
      <c r="A33" s="468"/>
      <c r="B33" s="422" t="s">
        <v>2555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5"/>
      <c r="L33" s="1137"/>
      <c r="M33" s="1140"/>
      <c r="N33" s="1140"/>
      <c r="O33" s="1140"/>
      <c r="P33" s="3241"/>
      <c r="Q33" s="776" t="str">
        <f t="shared" si="8"/>
        <v>项目建筑规模</v>
      </c>
      <c r="R33" s="777" t="s">
        <v>21</v>
      </c>
      <c r="S33" s="778">
        <f t="shared" si="9"/>
        <v>100</v>
      </c>
      <c r="T33" s="777" t="s">
        <v>21</v>
      </c>
      <c r="U33" s="778">
        <f t="shared" si="10"/>
        <v>100</v>
      </c>
      <c r="V33" s="777" t="s">
        <v>21</v>
      </c>
      <c r="W33" s="778">
        <f t="shared" si="11"/>
        <v>100</v>
      </c>
      <c r="X33" s="779"/>
      <c r="Y33" s="3243"/>
      <c r="Z33" s="780" t="str">
        <f t="shared" si="15"/>
        <v>项目建筑规模</v>
      </c>
      <c r="AA33" s="1809">
        <f t="shared" si="12"/>
        <v>1</v>
      </c>
      <c r="AB33" s="1809">
        <f t="shared" si="13"/>
        <v>1</v>
      </c>
      <c r="AC33" s="1809">
        <f t="shared" si="14"/>
        <v>1</v>
      </c>
    </row>
    <row r="34" spans="1:29" ht="15">
      <c r="A34" s="472"/>
      <c r="B34" s="422" t="s">
        <v>2556</v>
      </c>
      <c r="C34" s="2613" t="s">
        <v>3469</v>
      </c>
      <c r="D34" s="435">
        <v>100</v>
      </c>
      <c r="E34" s="2613" t="s">
        <v>3469</v>
      </c>
      <c r="F34" s="461">
        <f>SUMIF(105:105,E34,106:106)-SUMIF(105:105,C34,106:106)+100</f>
        <v>100</v>
      </c>
      <c r="G34" s="2613" t="s">
        <v>3469</v>
      </c>
      <c r="H34" s="435">
        <f>SUMIF(105:105,G34,106:106)-SUMIF(105:105,C34,106:106)+100</f>
        <v>100</v>
      </c>
      <c r="I34" s="2613" t="s">
        <v>3469</v>
      </c>
      <c r="J34" s="435">
        <f>SUMIF(105:105,I34,106:106)-SUMIF(105:105,C34,106:106)+100</f>
        <v>100</v>
      </c>
      <c r="K34" s="426">
        <f>'比较法-高层'!K34</f>
        <v>1</v>
      </c>
      <c r="L34" s="1139"/>
      <c r="M34" s="1130"/>
      <c r="N34" s="1130"/>
      <c r="O34" s="1130"/>
      <c r="P34" s="3241"/>
      <c r="Q34" s="1808" t="str">
        <f t="shared" si="8"/>
        <v>建筑结构</v>
      </c>
      <c r="R34" s="774" t="s">
        <v>21</v>
      </c>
      <c r="S34" s="775">
        <f t="shared" si="9"/>
        <v>100</v>
      </c>
      <c r="T34" s="774" t="s">
        <v>21</v>
      </c>
      <c r="U34" s="775">
        <f t="shared" si="10"/>
        <v>100</v>
      </c>
      <c r="V34" s="774" t="s">
        <v>21</v>
      </c>
      <c r="W34" s="775">
        <f t="shared" si="11"/>
        <v>100</v>
      </c>
      <c r="X34" s="1811"/>
      <c r="Y34" s="3243"/>
      <c r="Z34" s="1812" t="str">
        <f t="shared" si="15"/>
        <v>建筑结构</v>
      </c>
      <c r="AA34" s="1809">
        <f t="shared" si="12"/>
        <v>1</v>
      </c>
      <c r="AB34" s="1809">
        <f t="shared" si="13"/>
        <v>1</v>
      </c>
      <c r="AC34" s="1809">
        <f t="shared" si="14"/>
        <v>1</v>
      </c>
    </row>
    <row r="35" spans="1:29" ht="15">
      <c r="A35" s="472"/>
      <c r="B35" s="422" t="s">
        <v>2557</v>
      </c>
      <c r="C35" s="2607" t="s">
        <v>3443</v>
      </c>
      <c r="D35" s="435">
        <v>100</v>
      </c>
      <c r="E35" s="2607" t="s">
        <v>3443</v>
      </c>
      <c r="F35" s="461">
        <f>SUMIF(107:107,E35,108:108)-SUMIF(107:107,C35,108:108)+100</f>
        <v>100</v>
      </c>
      <c r="G35" s="2607" t="s">
        <v>3443</v>
      </c>
      <c r="H35" s="435">
        <f>SUMIF(107:107,G35,108:108)-SUMIF(107:107,C35,108:108)+100</f>
        <v>100</v>
      </c>
      <c r="I35" s="2607" t="s">
        <v>3443</v>
      </c>
      <c r="J35" s="435">
        <f>SUMIF(107:107,I35,108:108)-SUMIF(107:107,C35,108:108)+100</f>
        <v>100</v>
      </c>
      <c r="K35" s="426">
        <f>'比较法-高层'!K35</f>
        <v>1</v>
      </c>
      <c r="L35" s="1139"/>
      <c r="M35" s="1130"/>
      <c r="N35" s="1130"/>
      <c r="O35" s="1130"/>
      <c r="P35" s="3241"/>
      <c r="Q35" s="1808" t="str">
        <f t="shared" si="8"/>
        <v>建筑品质</v>
      </c>
      <c r="R35" s="774" t="s">
        <v>21</v>
      </c>
      <c r="S35" s="775">
        <f t="shared" si="9"/>
        <v>100</v>
      </c>
      <c r="T35" s="774" t="s">
        <v>21</v>
      </c>
      <c r="U35" s="775">
        <f t="shared" si="10"/>
        <v>100</v>
      </c>
      <c r="V35" s="774" t="s">
        <v>21</v>
      </c>
      <c r="W35" s="775">
        <f t="shared" si="11"/>
        <v>100</v>
      </c>
      <c r="X35" s="1811"/>
      <c r="Y35" s="3243"/>
      <c r="Z35" s="1812" t="str">
        <f t="shared" si="15"/>
        <v>建筑品质</v>
      </c>
      <c r="AA35" s="1809">
        <f t="shared" si="12"/>
        <v>1</v>
      </c>
      <c r="AB35" s="1809">
        <f t="shared" si="13"/>
        <v>1</v>
      </c>
      <c r="AC35" s="1809">
        <f t="shared" si="14"/>
        <v>1</v>
      </c>
    </row>
    <row r="36" spans="1:29" ht="15">
      <c r="A36" s="472"/>
      <c r="B36" s="422" t="s">
        <v>2558</v>
      </c>
      <c r="C36" s="2607" t="s">
        <v>3479</v>
      </c>
      <c r="D36" s="435">
        <v>100</v>
      </c>
      <c r="E36" s="2607" t="s">
        <v>3479</v>
      </c>
      <c r="F36" s="461">
        <f>SUMIF(109:109,E36,110:110)-SUMIF(109:109,C36,110:110)+100</f>
        <v>100</v>
      </c>
      <c r="G36" s="2607" t="s">
        <v>3479</v>
      </c>
      <c r="H36" s="435">
        <f>SUMIF(109:109,G36,110:110)-SUMIF(109:109,C36,110:110)+100</f>
        <v>100</v>
      </c>
      <c r="I36" s="2607" t="s">
        <v>3479</v>
      </c>
      <c r="J36" s="435">
        <f>SUMIF(109:109,I36,110:110)-SUMIF(109:109,C36,110:110)+100</f>
        <v>100</v>
      </c>
      <c r="K36" s="426">
        <f>'比较法-高层'!K36</f>
        <v>3</v>
      </c>
      <c r="L36" s="1139"/>
      <c r="M36" s="1130"/>
      <c r="N36" s="1130"/>
      <c r="O36" s="1130"/>
      <c r="P36" s="3241"/>
      <c r="Q36" s="1808" t="str">
        <f t="shared" si="8"/>
        <v>公共部分装修</v>
      </c>
      <c r="R36" s="774" t="s">
        <v>21</v>
      </c>
      <c r="S36" s="775">
        <f t="shared" si="9"/>
        <v>100</v>
      </c>
      <c r="T36" s="774" t="s">
        <v>21</v>
      </c>
      <c r="U36" s="775">
        <f t="shared" si="10"/>
        <v>100</v>
      </c>
      <c r="V36" s="774" t="s">
        <v>21</v>
      </c>
      <c r="W36" s="775">
        <f t="shared" si="11"/>
        <v>100</v>
      </c>
      <c r="X36" s="1811"/>
      <c r="Y36" s="3243"/>
      <c r="Z36" s="1812" t="str">
        <f t="shared" si="15"/>
        <v>公共部分装修</v>
      </c>
      <c r="AA36" s="1809">
        <f t="shared" si="12"/>
        <v>1</v>
      </c>
      <c r="AB36" s="1809">
        <f t="shared" si="13"/>
        <v>1</v>
      </c>
      <c r="AC36" s="1809">
        <f t="shared" si="14"/>
        <v>1</v>
      </c>
    </row>
    <row r="37" spans="1:29" s="117" customFormat="1" ht="15">
      <c r="A37" s="473"/>
      <c r="B37" s="422"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f>'比较法-高层'!K37</f>
        <v>1</v>
      </c>
      <c r="L37" s="1131"/>
      <c r="M37" s="1132"/>
      <c r="N37" s="1132"/>
      <c r="O37" s="1132"/>
      <c r="P37" s="3241"/>
      <c r="Q37" s="1793" t="str">
        <f t="shared" si="8"/>
        <v>成新度</v>
      </c>
      <c r="R37" s="770" t="s">
        <v>21</v>
      </c>
      <c r="S37" s="771">
        <f t="shared" si="9"/>
        <v>100</v>
      </c>
      <c r="T37" s="770" t="s">
        <v>21</v>
      </c>
      <c r="U37" s="771">
        <f t="shared" si="10"/>
        <v>100</v>
      </c>
      <c r="V37" s="770" t="s">
        <v>21</v>
      </c>
      <c r="W37" s="771">
        <f t="shared" si="11"/>
        <v>100</v>
      </c>
      <c r="X37" s="772"/>
      <c r="Y37" s="3243"/>
      <c r="Z37" s="55" t="str">
        <f t="shared" si="15"/>
        <v>成新度</v>
      </c>
      <c r="AA37" s="773">
        <f t="shared" si="12"/>
        <v>1</v>
      </c>
      <c r="AB37" s="773">
        <f t="shared" si="13"/>
        <v>1</v>
      </c>
      <c r="AC37" s="773">
        <f t="shared" si="14"/>
        <v>1</v>
      </c>
    </row>
    <row r="38" spans="1:29" ht="15">
      <c r="A38" s="472"/>
      <c r="B38" s="422" t="s">
        <v>2560</v>
      </c>
      <c r="C38" s="2607" t="s">
        <v>3443</v>
      </c>
      <c r="D38" s="435">
        <v>100</v>
      </c>
      <c r="E38" s="2607" t="s">
        <v>3443</v>
      </c>
      <c r="F38" s="461">
        <f>SUMIF(114:114,E38,115:115)-SUMIF(114:114,C38,115:115)+100</f>
        <v>100</v>
      </c>
      <c r="G38" s="2607" t="s">
        <v>3443</v>
      </c>
      <c r="H38" s="435">
        <f>SUMIF(114:114,G38,115:115)-SUMIF(114:114,C38,115:115)+100</f>
        <v>100</v>
      </c>
      <c r="I38" s="2607" t="s">
        <v>3443</v>
      </c>
      <c r="J38" s="435">
        <f>SUMIF(114:114,I38,115:115)-SUMIF(114:114,C38,115:115)+100</f>
        <v>100</v>
      </c>
      <c r="K38" s="426">
        <f>'比较法-高层'!K38</f>
        <v>1</v>
      </c>
      <c r="L38" s="1139"/>
      <c r="M38" s="1130"/>
      <c r="N38" s="1130"/>
      <c r="O38" s="1130"/>
      <c r="P38" s="3241" t="s">
        <v>2554</v>
      </c>
      <c r="Q38" s="1808" t="str">
        <f t="shared" si="8"/>
        <v>物业管理</v>
      </c>
      <c r="R38" s="774" t="s">
        <v>21</v>
      </c>
      <c r="S38" s="775">
        <f t="shared" si="9"/>
        <v>100</v>
      </c>
      <c r="T38" s="774" t="s">
        <v>21</v>
      </c>
      <c r="U38" s="775">
        <f t="shared" si="10"/>
        <v>100</v>
      </c>
      <c r="V38" s="774" t="s">
        <v>21</v>
      </c>
      <c r="W38" s="775">
        <f t="shared" si="11"/>
        <v>100</v>
      </c>
      <c r="X38" s="1811"/>
      <c r="Y38" s="3243" t="s">
        <v>2554</v>
      </c>
      <c r="Z38" s="1812" t="str">
        <f t="shared" si="15"/>
        <v>物业管理</v>
      </c>
      <c r="AA38" s="1809">
        <f t="shared" si="12"/>
        <v>1</v>
      </c>
      <c r="AB38" s="1809">
        <f t="shared" si="13"/>
        <v>1</v>
      </c>
      <c r="AC38" s="1809">
        <f t="shared" si="14"/>
        <v>1</v>
      </c>
    </row>
    <row r="39" spans="1:29" ht="15">
      <c r="A39" s="472"/>
      <c r="B39" s="422" t="s">
        <v>2561</v>
      </c>
      <c r="C39" s="2607" t="s">
        <v>3434</v>
      </c>
      <c r="D39" s="435">
        <v>100</v>
      </c>
      <c r="E39" s="2607" t="s">
        <v>3434</v>
      </c>
      <c r="F39" s="461">
        <f>SUMIF(116:116,E39,117:117)-SUMIF(116:116,C39,117:117)+100</f>
        <v>100</v>
      </c>
      <c r="G39" s="2607" t="s">
        <v>3434</v>
      </c>
      <c r="H39" s="435">
        <f>SUMIF(116:116,G39,117:117)-SUMIF(116:116,C39,117:117)+100</f>
        <v>100</v>
      </c>
      <c r="I39" s="2607" t="s">
        <v>3434</v>
      </c>
      <c r="J39" s="435">
        <f>SUMIF(116:116,I39,117:117)-SUMIF(116:116,C39,117:117)+100</f>
        <v>100</v>
      </c>
      <c r="K39" s="426">
        <f>'比较法-高层'!K39</f>
        <v>1</v>
      </c>
      <c r="L39" s="1139"/>
      <c r="M39" s="1130"/>
      <c r="N39" s="1130"/>
      <c r="O39" s="1130"/>
      <c r="P39" s="3241"/>
      <c r="Q39" s="1808" t="str">
        <f t="shared" si="8"/>
        <v>市政基础设施</v>
      </c>
      <c r="R39" s="774" t="s">
        <v>21</v>
      </c>
      <c r="S39" s="775">
        <f t="shared" si="9"/>
        <v>100</v>
      </c>
      <c r="T39" s="774" t="s">
        <v>21</v>
      </c>
      <c r="U39" s="775">
        <f t="shared" si="10"/>
        <v>100</v>
      </c>
      <c r="V39" s="774" t="s">
        <v>21</v>
      </c>
      <c r="W39" s="775">
        <f t="shared" si="11"/>
        <v>100</v>
      </c>
      <c r="X39" s="1811"/>
      <c r="Y39" s="3243"/>
      <c r="Z39" s="1812" t="str">
        <f t="shared" si="15"/>
        <v>市政基础设施</v>
      </c>
      <c r="AA39" s="1809">
        <f t="shared" si="12"/>
        <v>1</v>
      </c>
      <c r="AB39" s="1809">
        <f t="shared" si="13"/>
        <v>1</v>
      </c>
      <c r="AC39" s="1809">
        <f t="shared" si="14"/>
        <v>1</v>
      </c>
    </row>
    <row r="40" spans="1:29" ht="15">
      <c r="A40" s="472"/>
      <c r="B40" s="422" t="s">
        <v>2562</v>
      </c>
      <c r="C40" s="2607" t="s">
        <v>3487</v>
      </c>
      <c r="D40" s="435">
        <v>100</v>
      </c>
      <c r="E40" s="2607" t="s">
        <v>3487</v>
      </c>
      <c r="F40" s="461">
        <f>SUMIF(118:118,E40,119:119)-SUMIF(118:118,C40,119:119)+100</f>
        <v>100</v>
      </c>
      <c r="G40" s="2607" t="s">
        <v>3487</v>
      </c>
      <c r="H40" s="435">
        <f>SUMIF(118:118,G40,119:119)-SUMIF(118:118,C40,119:119)+100</f>
        <v>100</v>
      </c>
      <c r="I40" s="2607" t="s">
        <v>3487</v>
      </c>
      <c r="J40" s="435">
        <f>SUMIF(118:118,I40,119:119)-SUMIF(118:118,C40,119:119)+100</f>
        <v>100</v>
      </c>
      <c r="K40" s="426">
        <f>'比较法-高层'!K40</f>
        <v>5</v>
      </c>
      <c r="L40" s="1139"/>
      <c r="M40" s="1130"/>
      <c r="N40" s="1130"/>
      <c r="O40" s="1130"/>
      <c r="P40" s="3241"/>
      <c r="Q40" s="1808" t="str">
        <f t="shared" si="8"/>
        <v>房型</v>
      </c>
      <c r="R40" s="774" t="s">
        <v>21</v>
      </c>
      <c r="S40" s="775">
        <f t="shared" si="9"/>
        <v>100</v>
      </c>
      <c r="T40" s="774" t="s">
        <v>21</v>
      </c>
      <c r="U40" s="775">
        <f t="shared" si="10"/>
        <v>100</v>
      </c>
      <c r="V40" s="774" t="s">
        <v>21</v>
      </c>
      <c r="W40" s="775">
        <f t="shared" si="11"/>
        <v>100</v>
      </c>
      <c r="X40" s="1811"/>
      <c r="Y40" s="3243"/>
      <c r="Z40" s="1812" t="str">
        <f t="shared" si="15"/>
        <v>房型</v>
      </c>
      <c r="AA40" s="1809">
        <f t="shared" si="12"/>
        <v>1</v>
      </c>
      <c r="AB40" s="1809">
        <f t="shared" si="13"/>
        <v>1</v>
      </c>
      <c r="AC40" s="1809">
        <f t="shared" si="14"/>
        <v>1</v>
      </c>
    </row>
    <row r="41" spans="1:29" s="471" customFormat="1" ht="28.8" hidden="1">
      <c r="A41" s="468"/>
      <c r="B41" s="422"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5"/>
      <c r="L41" s="1137"/>
      <c r="M41" s="1140"/>
      <c r="N41" s="1140"/>
      <c r="O41" s="1140"/>
      <c r="P41" s="3241"/>
      <c r="Q41" s="776" t="str">
        <f t="shared" si="8"/>
        <v>单套/主力户型建筑面积</v>
      </c>
      <c r="R41" s="777" t="s">
        <v>21</v>
      </c>
      <c r="S41" s="778">
        <f t="shared" si="9"/>
        <v>100</v>
      </c>
      <c r="T41" s="777" t="s">
        <v>21</v>
      </c>
      <c r="U41" s="778">
        <f t="shared" si="10"/>
        <v>100</v>
      </c>
      <c r="V41" s="777" t="s">
        <v>21</v>
      </c>
      <c r="W41" s="778">
        <f t="shared" si="11"/>
        <v>100</v>
      </c>
      <c r="X41" s="779"/>
      <c r="Y41" s="3243"/>
      <c r="Z41" s="780" t="str">
        <f t="shared" si="15"/>
        <v>单套/主力户型建筑面积</v>
      </c>
      <c r="AA41" s="1809">
        <f t="shared" si="12"/>
        <v>1</v>
      </c>
      <c r="AB41" s="1809">
        <f t="shared" si="13"/>
        <v>1</v>
      </c>
      <c r="AC41" s="1809">
        <f t="shared" si="14"/>
        <v>1</v>
      </c>
    </row>
    <row r="42" spans="1:29" ht="15">
      <c r="A42" s="472"/>
      <c r="B42" s="422" t="s">
        <v>2564</v>
      </c>
      <c r="C42" s="2607" t="s">
        <v>3479</v>
      </c>
      <c r="D42" s="435">
        <v>100</v>
      </c>
      <c r="E42" s="2607" t="s">
        <v>3479</v>
      </c>
      <c r="F42" s="461">
        <f>SUMIF(122:122,E42,123:123)-SUMIF(122:122,C42,123:123)+100</f>
        <v>100</v>
      </c>
      <c r="G42" s="2607" t="s">
        <v>3479</v>
      </c>
      <c r="H42" s="435">
        <f>SUMIF(122:122,G42,123:123)-SUMIF(122:122,C42,123:123)+100</f>
        <v>100</v>
      </c>
      <c r="I42" s="2607" t="s">
        <v>3485</v>
      </c>
      <c r="J42" s="435">
        <f>SUMIF(122:122,I42,123:123)-SUMIF(122:122,C42,123:123)+100</f>
        <v>91</v>
      </c>
      <c r="K42" s="426">
        <f>'比较法-高层'!K42</f>
        <v>3</v>
      </c>
      <c r="L42" s="1139"/>
      <c r="M42" s="1130"/>
      <c r="N42" s="1130"/>
      <c r="O42" s="1130"/>
      <c r="P42" s="3241"/>
      <c r="Q42" s="1808" t="str">
        <f t="shared" si="8"/>
        <v>内部装修</v>
      </c>
      <c r="R42" s="774" t="s">
        <v>21</v>
      </c>
      <c r="S42" s="775">
        <f t="shared" si="9"/>
        <v>100</v>
      </c>
      <c r="T42" s="774" t="s">
        <v>21</v>
      </c>
      <c r="U42" s="775">
        <f t="shared" si="10"/>
        <v>100</v>
      </c>
      <c r="V42" s="774" t="s">
        <v>21</v>
      </c>
      <c r="W42" s="775">
        <f t="shared" si="11"/>
        <v>91</v>
      </c>
      <c r="X42" s="1811"/>
      <c r="Y42" s="3243"/>
      <c r="Z42" s="1812" t="str">
        <f t="shared" si="15"/>
        <v>内部装修</v>
      </c>
      <c r="AA42" s="1809">
        <f t="shared" si="12"/>
        <v>1</v>
      </c>
      <c r="AB42" s="1809">
        <f t="shared" si="13"/>
        <v>1</v>
      </c>
      <c r="AC42" s="1809">
        <f t="shared" si="14"/>
        <v>1.098901098901099</v>
      </c>
    </row>
    <row r="43" spans="1:29" ht="29.4" thickBot="1">
      <c r="A43" s="472"/>
      <c r="B43" s="422" t="s">
        <v>2565</v>
      </c>
      <c r="C43" s="2607" t="s">
        <v>3443</v>
      </c>
      <c r="D43" s="435">
        <v>100</v>
      </c>
      <c r="E43" s="2607" t="s">
        <v>3443</v>
      </c>
      <c r="F43" s="461">
        <f>SUMIF(124:124,E43,125:125)-SUMIF(124:124,C43,125:125)+100</f>
        <v>100</v>
      </c>
      <c r="G43" s="2607" t="s">
        <v>3443</v>
      </c>
      <c r="H43" s="435">
        <f>SUMIF(124:124,G43,125:125)-SUMIF(124:124,C43,125:125)+100</f>
        <v>100</v>
      </c>
      <c r="I43" s="2607" t="s">
        <v>3443</v>
      </c>
      <c r="J43" s="435">
        <f>SUMIF(124:124,I43,125:125)-SUMIF(124:124,C43,125:125)+100</f>
        <v>100</v>
      </c>
      <c r="K43" s="426">
        <f>'比较法-高层'!K43</f>
        <v>1</v>
      </c>
      <c r="L43" s="1139"/>
      <c r="M43" s="1130"/>
      <c r="N43" s="1130"/>
      <c r="O43" s="1130"/>
      <c r="P43" s="3241"/>
      <c r="Q43" s="1808" t="str">
        <f t="shared" si="8"/>
        <v>内部装修维护情况</v>
      </c>
      <c r="R43" s="774" t="s">
        <v>21</v>
      </c>
      <c r="S43" s="775">
        <f t="shared" si="9"/>
        <v>100</v>
      </c>
      <c r="T43" s="774" t="s">
        <v>21</v>
      </c>
      <c r="U43" s="775">
        <f t="shared" si="10"/>
        <v>100</v>
      </c>
      <c r="V43" s="774" t="s">
        <v>21</v>
      </c>
      <c r="W43" s="775">
        <f t="shared" si="11"/>
        <v>100</v>
      </c>
      <c r="X43" s="1811"/>
      <c r="Y43" s="3243"/>
      <c r="Z43" s="1812" t="str">
        <f t="shared" si="15"/>
        <v>内部装修维护情况</v>
      </c>
      <c r="AA43" s="1809">
        <f t="shared" si="12"/>
        <v>1</v>
      </c>
      <c r="AB43" s="1809">
        <f t="shared" si="13"/>
        <v>1</v>
      </c>
      <c r="AC43" s="1809">
        <f t="shared" si="14"/>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1"/>
      <c r="M44" s="1132"/>
      <c r="N44" s="1132"/>
      <c r="O44" s="1132"/>
      <c r="P44" s="3241"/>
      <c r="Q44" s="1793">
        <f t="shared" si="8"/>
        <v>111</v>
      </c>
      <c r="R44" s="770" t="s">
        <v>21</v>
      </c>
      <c r="S44" s="771">
        <f t="shared" si="9"/>
        <v>100</v>
      </c>
      <c r="T44" s="770" t="s">
        <v>21</v>
      </c>
      <c r="U44" s="771">
        <f t="shared" si="10"/>
        <v>100</v>
      </c>
      <c r="V44" s="770" t="s">
        <v>21</v>
      </c>
      <c r="W44" s="771">
        <f t="shared" si="11"/>
        <v>100</v>
      </c>
      <c r="X44" s="772"/>
      <c r="Y44" s="3243"/>
      <c r="Z44" s="55">
        <f t="shared" si="15"/>
        <v>111</v>
      </c>
      <c r="AA44" s="773">
        <f t="shared" si="12"/>
        <v>1</v>
      </c>
      <c r="AB44" s="773">
        <f t="shared" si="13"/>
        <v>1</v>
      </c>
      <c r="AC44" s="773">
        <f t="shared" si="14"/>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9"/>
      <c r="M45" s="1130"/>
      <c r="N45" s="1130"/>
      <c r="O45" s="1130"/>
      <c r="P45" s="3241"/>
      <c r="Q45" s="1808">
        <f t="shared" si="8"/>
        <v>111</v>
      </c>
      <c r="R45" s="774" t="s">
        <v>21</v>
      </c>
      <c r="S45" s="775">
        <f t="shared" si="9"/>
        <v>100</v>
      </c>
      <c r="T45" s="774" t="s">
        <v>21</v>
      </c>
      <c r="U45" s="775">
        <f t="shared" si="10"/>
        <v>100</v>
      </c>
      <c r="V45" s="774" t="s">
        <v>21</v>
      </c>
      <c r="W45" s="775">
        <f t="shared" si="11"/>
        <v>100</v>
      </c>
      <c r="X45" s="1811"/>
      <c r="Y45" s="3243"/>
      <c r="Z45" s="1812">
        <f t="shared" si="15"/>
        <v>111</v>
      </c>
      <c r="AA45" s="1809">
        <f t="shared" si="12"/>
        <v>1</v>
      </c>
      <c r="AB45" s="1809">
        <f t="shared" si="13"/>
        <v>1</v>
      </c>
      <c r="AC45" s="1809">
        <f t="shared" si="14"/>
        <v>1</v>
      </c>
    </row>
    <row r="46" spans="1:29" ht="15.6"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9"/>
      <c r="M46" s="1130"/>
      <c r="N46" s="1130"/>
      <c r="O46" s="1130"/>
      <c r="P46" s="3242"/>
      <c r="Q46" s="1808">
        <f t="shared" si="8"/>
        <v>111</v>
      </c>
      <c r="R46" s="774" t="s">
        <v>20</v>
      </c>
      <c r="S46" s="775">
        <f t="shared" si="9"/>
        <v>100</v>
      </c>
      <c r="T46" s="774" t="s">
        <v>20</v>
      </c>
      <c r="U46" s="775">
        <f t="shared" si="10"/>
        <v>100</v>
      </c>
      <c r="V46" s="774" t="s">
        <v>20</v>
      </c>
      <c r="W46" s="775">
        <f t="shared" si="11"/>
        <v>100</v>
      </c>
      <c r="X46" s="1811"/>
      <c r="Y46" s="3244"/>
      <c r="Z46" s="1812">
        <f t="shared" si="15"/>
        <v>111</v>
      </c>
      <c r="AA46" s="1809">
        <f t="shared" si="12"/>
        <v>1</v>
      </c>
      <c r="AB46" s="1809">
        <f t="shared" si="13"/>
        <v>1</v>
      </c>
      <c r="AC46" s="1809">
        <f t="shared" si="14"/>
        <v>1</v>
      </c>
    </row>
    <row r="47" spans="1:29" ht="14.4">
      <c r="A47" s="479" t="s">
        <v>2566</v>
      </c>
      <c r="B47" s="480"/>
      <c r="C47" s="1406" t="s">
        <v>19</v>
      </c>
      <c r="D47" s="1407"/>
      <c r="E47" s="1408">
        <v>12700</v>
      </c>
      <c r="F47" s="1409"/>
      <c r="G47" s="1410">
        <v>14300</v>
      </c>
      <c r="H47" s="1411"/>
      <c r="I47" s="1408">
        <v>14500</v>
      </c>
      <c r="J47" s="1411"/>
      <c r="K47" s="2614"/>
      <c r="L47" s="1142"/>
      <c r="M47" s="1143"/>
      <c r="N47" s="1130"/>
      <c r="O47" s="1143"/>
      <c r="P47" s="3245" t="str">
        <f>A47</f>
        <v>成交单价（元/平方米）</v>
      </c>
      <c r="Q47" s="3245"/>
      <c r="R47" s="3246">
        <f>E47</f>
        <v>12700</v>
      </c>
      <c r="S47" s="3246"/>
      <c r="T47" s="3246">
        <f>G47</f>
        <v>14300</v>
      </c>
      <c r="U47" s="3246"/>
      <c r="V47" s="3246">
        <f>I47</f>
        <v>14500</v>
      </c>
      <c r="W47" s="3246"/>
      <c r="X47" s="759"/>
      <c r="Y47" s="781"/>
      <c r="Z47" s="759"/>
      <c r="AA47" s="759"/>
      <c r="AB47" s="759"/>
      <c r="AC47" s="759"/>
    </row>
    <row r="48" spans="1:29" ht="15" thickBot="1">
      <c r="A48" s="486" t="s">
        <v>2567</v>
      </c>
      <c r="B48" s="487"/>
      <c r="C48" s="1412">
        <f>R49</f>
        <v>13627</v>
      </c>
      <c r="D48" s="1413"/>
      <c r="E48" s="1414">
        <f>R48</f>
        <v>12700</v>
      </c>
      <c r="F48" s="1414"/>
      <c r="G48" s="1412">
        <f>T48</f>
        <v>13743</v>
      </c>
      <c r="H48" s="1413"/>
      <c r="I48" s="1414">
        <f>V48</f>
        <v>14439</v>
      </c>
      <c r="J48" s="1413"/>
      <c r="K48" s="2615"/>
      <c r="L48" s="1142"/>
      <c r="M48" s="1143"/>
      <c r="N48" s="1143"/>
      <c r="O48" s="1143"/>
      <c r="P48" s="3245" t="str">
        <f>A48</f>
        <v>比较价值（元/平方米）</v>
      </c>
      <c r="Q48" s="3245"/>
      <c r="R48" s="3246">
        <f>IF(F1="售价",ROUND(PRODUCT(R47,AA7:AA46),0),ROUND(PRODUCT(R47,AA7:AA46),1))</f>
        <v>12700</v>
      </c>
      <c r="S48" s="3246"/>
      <c r="T48" s="3246">
        <f>IF(F1="售价",ROUND(PRODUCT(T47,AB7:AB46),0),ROUND(PRODUCT(T47,AB7:AB46),1))</f>
        <v>13743</v>
      </c>
      <c r="U48" s="3246"/>
      <c r="V48" s="3246">
        <f>IF(F1="售价",ROUND(PRODUCT(V47,AC7:AC46),0),ROUND(PRODUCT(V47,AC7:AC46),1))</f>
        <v>14439</v>
      </c>
      <c r="W48" s="3246"/>
      <c r="X48" s="759"/>
      <c r="Y48" s="759"/>
      <c r="Z48" s="759"/>
      <c r="AA48" s="759"/>
      <c r="AB48" s="759"/>
      <c r="AC48" s="759"/>
    </row>
    <row r="49" spans="1:29" ht="15" thickBot="1">
      <c r="A49" s="492" t="s">
        <v>2568</v>
      </c>
      <c r="B49" s="493"/>
      <c r="C49" s="1415">
        <f>R49</f>
        <v>13627</v>
      </c>
      <c r="D49" s="1416"/>
      <c r="E49" s="1416"/>
      <c r="F49" s="1416"/>
      <c r="G49" s="1416"/>
      <c r="H49" s="1416"/>
      <c r="I49" s="1416"/>
      <c r="J49" s="1416"/>
      <c r="K49" s="2616"/>
      <c r="L49" s="1142"/>
      <c r="M49" s="1143"/>
      <c r="N49" s="1143"/>
      <c r="O49" s="1143"/>
      <c r="P49" s="3247" t="str">
        <f>A49</f>
        <v>估价对象XX用房的比较价值（楼面单价，元/平方米）</v>
      </c>
      <c r="Q49" s="3248"/>
      <c r="R49" s="3249">
        <f>IF(F1="售价",ROUND(AVERAGE(R48:V48),0),ROUND(AVERAGE(R48:V48),1))</f>
        <v>13627</v>
      </c>
      <c r="S49" s="3249"/>
      <c r="T49" s="3249"/>
      <c r="U49" s="3249"/>
      <c r="V49" s="3249"/>
      <c r="W49" s="324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4.052972422324097E-2</v>
      </c>
      <c r="H52" s="500" t="str">
        <f>IF(OR(G52&gt;=0.3,G52&lt;=-0.3),"超过30%","")</f>
        <v/>
      </c>
      <c r="I52" s="499">
        <f>IF(I47&lt;I48,I48/I47-1,I47/I48-1)</f>
        <v>4.2246692984277967E-3</v>
      </c>
      <c r="J52" s="500" t="str">
        <f>IF(OR(I52&gt;=0.3,I52&lt;=-0.3),"超过30%","")</f>
        <v/>
      </c>
      <c r="K52" s="1104"/>
      <c r="L52" s="1105"/>
      <c r="M52" s="1143"/>
      <c r="N52" s="1143"/>
      <c r="O52" s="1143"/>
    </row>
    <row r="53" spans="1:29" ht="13.5" customHeight="1">
      <c r="A53" s="1143"/>
      <c r="B53" s="1143"/>
      <c r="C53" s="497" t="s">
        <v>2570</v>
      </c>
      <c r="D53" s="501"/>
      <c r="E53" s="499">
        <f>IF(E48&lt;G48,G48/E48-1,E48/G48-1)</f>
        <v>8.2125984251968598E-2</v>
      </c>
      <c r="F53" s="500" t="str">
        <f>IF(OR(E53&gt;=0.2,E53&lt;=-0.2),"超过20%","")</f>
        <v/>
      </c>
      <c r="G53" s="499">
        <f>IF(G48&lt;I48,I48/G48-1,G48/I48-1)</f>
        <v>5.0643964199956315E-2</v>
      </c>
      <c r="H53" s="500" t="str">
        <f>IF(OR(G53&gt;=0.2,G53&lt;=-0.2),"超过20%","")</f>
        <v/>
      </c>
      <c r="I53" s="499">
        <f>IF(I48&lt;E48,E48/I48-1,I48/E48-1)</f>
        <v>0.13692913385826766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0.12598425196850394</v>
      </c>
      <c r="F54" s="500" t="str">
        <f>IF(OR(E54&gt;=0.3,E54&lt;=-0.3),"超过30%","")</f>
        <v/>
      </c>
      <c r="G54" s="499">
        <f>IF(G47&lt;I47,I47/G47-1,G47/I47-1)</f>
        <v>1.3986013986013957E-2</v>
      </c>
      <c r="H54" s="500" t="str">
        <f>IF(OR(G54&gt;=0.3,G54&lt;=-0.3),"超过30%","")</f>
        <v/>
      </c>
      <c r="I54" s="499">
        <f>IF(I47&lt;E47,E47/I47-1,I47/E47-1)</f>
        <v>0.1417322834645669</v>
      </c>
      <c r="J54" s="500" t="str">
        <f>IF(OR(I54&gt;=0.3,I54&lt;=-0.3),"超过30%","")</f>
        <v/>
      </c>
      <c r="K54" s="1147"/>
      <c r="L54" s="1148"/>
      <c r="M54" s="1144"/>
      <c r="N54" s="1144"/>
      <c r="O54" s="1144"/>
      <c r="P54" s="2618"/>
    </row>
    <row r="55" spans="1:29" s="502"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9"/>
      <c r="Q57" s="504"/>
    </row>
    <row r="58" spans="1:29" s="508" customFormat="1" ht="14.4">
      <c r="A58" s="505" t="s">
        <v>2573</v>
      </c>
      <c r="B58" s="506"/>
      <c r="C58" s="1574" t="str">
        <f>YEAR(C7)&amp;"-"&amp;MONTH(C7)</f>
        <v>2019-9</v>
      </c>
      <c r="D58" s="1573">
        <f>EDATE(C58,-1)</f>
        <v>43678</v>
      </c>
      <c r="E58" s="1573">
        <f>EDATE(D58,-1)</f>
        <v>43647</v>
      </c>
      <c r="F58" s="1573">
        <f t="shared" ref="F58:O58" si="16">EDATE(E58,-1)</f>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 t="shared" si="16"/>
        <v>43344</v>
      </c>
      <c r="P58" s="1568"/>
    </row>
    <row r="59" spans="1:29" s="117" customFormat="1">
      <c r="A59" s="509"/>
      <c r="B59" s="2620"/>
      <c r="C59" s="1571">
        <v>100</v>
      </c>
      <c r="D59" s="511"/>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4.4">
      <c r="A61" s="521" t="s">
        <v>2575</v>
      </c>
      <c r="B61" s="510"/>
      <c r="C61" s="522" t="s">
        <v>2576</v>
      </c>
      <c r="D61" s="523"/>
      <c r="E61" s="523"/>
      <c r="F61" s="523"/>
      <c r="G61" s="523"/>
      <c r="H61" s="523"/>
      <c r="I61" s="523"/>
      <c r="J61" s="523"/>
      <c r="K61" s="523"/>
      <c r="L61" s="524"/>
      <c r="M61" s="525"/>
      <c r="N61" s="1150"/>
      <c r="O61" s="1150"/>
      <c r="P61" s="2622"/>
      <c r="Q61" s="504"/>
    </row>
    <row r="62" spans="1:29" s="117" customFormat="1" ht="14.4" thickBot="1">
      <c r="A62" s="521"/>
      <c r="B62" s="510"/>
      <c r="C62" s="511">
        <v>100</v>
      </c>
      <c r="D62" s="512"/>
      <c r="E62" s="512"/>
      <c r="F62" s="512"/>
      <c r="G62" s="512"/>
      <c r="H62" s="512"/>
      <c r="I62" s="512"/>
      <c r="J62" s="512"/>
      <c r="K62" s="512"/>
      <c r="L62" s="512"/>
      <c r="M62" s="514"/>
      <c r="N62" s="1150"/>
      <c r="O62" s="1150"/>
      <c r="P62" s="2621"/>
      <c r="Q62" s="504"/>
    </row>
    <row r="63" spans="1:29" ht="14.4">
      <c r="A63" s="527" t="s">
        <v>2577</v>
      </c>
      <c r="B63" s="528" t="s">
        <v>2543</v>
      </c>
      <c r="C63" s="529" t="str">
        <f>C9</f>
        <v>住宅</v>
      </c>
      <c r="D63" s="530"/>
      <c r="E63" s="530"/>
      <c r="F63" s="530"/>
      <c r="G63" s="530"/>
      <c r="H63" s="530"/>
      <c r="I63" s="530"/>
      <c r="J63" s="530"/>
      <c r="K63" s="531"/>
      <c r="L63" s="532"/>
      <c r="M63" s="533"/>
      <c r="N63" s="1151"/>
      <c r="O63" s="1151"/>
      <c r="P63" s="2623"/>
      <c r="Q63" s="504"/>
    </row>
    <row r="64" spans="1:29" ht="14.4" thickBot="1">
      <c r="A64" s="534"/>
      <c r="B64" s="535"/>
      <c r="C64" s="536">
        <v>100</v>
      </c>
      <c r="D64" s="536"/>
      <c r="E64" s="536"/>
      <c r="F64" s="536"/>
      <c r="G64" s="536"/>
      <c r="H64" s="536"/>
      <c r="I64" s="536"/>
      <c r="J64" s="536"/>
      <c r="K64" s="536"/>
      <c r="L64" s="536"/>
      <c r="M64" s="537"/>
      <c r="N64" s="1152"/>
      <c r="O64" s="1152"/>
      <c r="P64" s="2623"/>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3"/>
      <c r="Q65" s="504"/>
    </row>
    <row r="66" spans="1:17" ht="14.4"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2"/>
      <c r="O66" s="1152"/>
      <c r="P66" s="2623"/>
      <c r="Q66" s="504"/>
    </row>
    <row r="67" spans="1:17" ht="15" thickTop="1">
      <c r="A67" s="534"/>
      <c r="B67" s="546" t="s">
        <v>2547</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K68&amp;"（含）"&amp;"-"&amp;L68</f>
        <v>（含）-</v>
      </c>
      <c r="L67" s="547" t="str">
        <f t="shared" si="18"/>
        <v>（含）-</v>
      </c>
      <c r="M67" s="448" t="str">
        <f>M68&amp;"（含）"&amp;"-"&amp;P68</f>
        <v>（含）-</v>
      </c>
      <c r="N67" s="1152"/>
      <c r="O67" s="1152"/>
      <c r="P67" s="2623"/>
      <c r="Q67" s="504"/>
    </row>
    <row r="68" spans="1:17">
      <c r="A68" s="534"/>
      <c r="B68" s="548"/>
      <c r="C68" s="549">
        <v>0</v>
      </c>
      <c r="D68" s="549">
        <v>1</v>
      </c>
      <c r="E68" s="549">
        <v>2</v>
      </c>
      <c r="F68" s="549">
        <v>3</v>
      </c>
      <c r="G68" s="549">
        <v>4</v>
      </c>
      <c r="H68" s="549">
        <v>5</v>
      </c>
      <c r="I68" s="549"/>
      <c r="J68" s="549"/>
      <c r="K68" s="550"/>
      <c r="L68" s="551"/>
      <c r="M68" s="552"/>
      <c r="N68" s="1151"/>
      <c r="O68" s="1151"/>
      <c r="P68" s="2623"/>
      <c r="Q68" s="504"/>
    </row>
    <row r="69" spans="1:17" ht="14.4" thickBot="1">
      <c r="A69" s="534"/>
      <c r="B69" s="535"/>
      <c r="C69" s="544">
        <v>100</v>
      </c>
      <c r="D69" s="544">
        <f t="shared" ref="D69:M69" si="19">C69-$K11</f>
        <v>97</v>
      </c>
      <c r="E69" s="544">
        <f t="shared" si="19"/>
        <v>94</v>
      </c>
      <c r="F69" s="544">
        <f t="shared" si="19"/>
        <v>91</v>
      </c>
      <c r="G69" s="544">
        <f t="shared" si="19"/>
        <v>88</v>
      </c>
      <c r="H69" s="544">
        <f t="shared" si="19"/>
        <v>85</v>
      </c>
      <c r="I69" s="544">
        <f t="shared" si="19"/>
        <v>82</v>
      </c>
      <c r="J69" s="544">
        <f t="shared" si="19"/>
        <v>79</v>
      </c>
      <c r="K69" s="544">
        <f t="shared" si="19"/>
        <v>76</v>
      </c>
      <c r="L69" s="544">
        <f t="shared" si="19"/>
        <v>73</v>
      </c>
      <c r="M69" s="545">
        <f t="shared" si="19"/>
        <v>70</v>
      </c>
      <c r="N69" s="1152"/>
      <c r="O69" s="1152"/>
      <c r="P69" s="2623"/>
      <c r="Q69" s="504"/>
    </row>
    <row r="70" spans="1:17" s="471" customFormat="1" ht="14.4" thickTop="1">
      <c r="A70" s="553"/>
      <c r="B70" s="538">
        <f>B12</f>
        <v>111</v>
      </c>
      <c r="C70" s="554"/>
      <c r="D70" s="554"/>
      <c r="E70" s="554"/>
      <c r="F70" s="554"/>
      <c r="G70" s="554"/>
      <c r="H70" s="555"/>
      <c r="I70" s="555"/>
      <c r="J70" s="555"/>
      <c r="K70" s="555"/>
      <c r="L70" s="556"/>
      <c r="M70" s="557"/>
      <c r="N70" s="1153"/>
      <c r="O70" s="1153"/>
      <c r="P70" s="2624"/>
      <c r="Q70" s="559"/>
    </row>
    <row r="71" spans="1:17" s="471" customFormat="1" ht="14.4" thickBot="1">
      <c r="A71" s="553"/>
      <c r="B71" s="543"/>
      <c r="C71" s="560"/>
      <c r="D71" s="536"/>
      <c r="E71" s="536"/>
      <c r="F71" s="536"/>
      <c r="G71" s="536"/>
      <c r="H71" s="536"/>
      <c r="I71" s="536"/>
      <c r="J71" s="536"/>
      <c r="K71" s="536"/>
      <c r="L71" s="536"/>
      <c r="M71" s="537"/>
      <c r="N71" s="1152"/>
      <c r="O71" s="1152"/>
      <c r="P71" s="2624"/>
      <c r="Q71" s="559"/>
    </row>
    <row r="72" spans="1:17" s="471" customFormat="1" ht="14.4" thickTop="1">
      <c r="A72" s="553"/>
      <c r="B72" s="538">
        <f>B13</f>
        <v>111</v>
      </c>
      <c r="C72" s="554"/>
      <c r="D72" s="554"/>
      <c r="E72" s="554"/>
      <c r="F72" s="554"/>
      <c r="G72" s="554"/>
      <c r="H72" s="555"/>
      <c r="I72" s="555"/>
      <c r="J72" s="555"/>
      <c r="K72" s="555"/>
      <c r="L72" s="556"/>
      <c r="M72" s="557"/>
      <c r="N72" s="1153"/>
      <c r="O72" s="1153"/>
      <c r="P72" s="2625"/>
      <c r="Q72" s="561"/>
    </row>
    <row r="73" spans="1:17" s="471" customFormat="1" ht="14.4" thickBot="1">
      <c r="A73" s="553"/>
      <c r="B73" s="543"/>
      <c r="C73" s="560"/>
      <c r="D73" s="560"/>
      <c r="E73" s="560"/>
      <c r="F73" s="560"/>
      <c r="G73" s="560"/>
      <c r="H73" s="562"/>
      <c r="I73" s="562"/>
      <c r="J73" s="562"/>
      <c r="K73" s="562"/>
      <c r="L73" s="562"/>
      <c r="M73" s="563"/>
      <c r="N73" s="1153"/>
      <c r="O73" s="1153"/>
      <c r="P73" s="2624"/>
      <c r="Q73" s="559"/>
    </row>
    <row r="74" spans="1:17" s="471" customFormat="1" ht="14.4" thickTop="1">
      <c r="A74" s="553"/>
      <c r="B74" s="546">
        <f>B14</f>
        <v>111</v>
      </c>
      <c r="C74" s="554"/>
      <c r="D74" s="554"/>
      <c r="E74" s="554"/>
      <c r="F74" s="554"/>
      <c r="G74" s="523"/>
      <c r="H74" s="564"/>
      <c r="I74" s="564"/>
      <c r="J74" s="564"/>
      <c r="K74" s="564"/>
      <c r="L74" s="565"/>
      <c r="M74" s="566"/>
      <c r="N74" s="1153"/>
      <c r="O74" s="1153"/>
      <c r="P74" s="2626"/>
      <c r="Q74" s="559"/>
    </row>
    <row r="75" spans="1:17" s="471" customFormat="1" ht="14.4" thickBot="1">
      <c r="A75" s="568"/>
      <c r="B75" s="569"/>
      <c r="C75" s="570"/>
      <c r="D75" s="570"/>
      <c r="E75" s="570"/>
      <c r="F75" s="570"/>
      <c r="G75" s="570"/>
      <c r="H75" s="571"/>
      <c r="I75" s="571"/>
      <c r="J75" s="571"/>
      <c r="K75" s="571"/>
      <c r="L75" s="571"/>
      <c r="M75" s="572"/>
      <c r="N75" s="1153"/>
      <c r="O75" s="1153"/>
      <c r="P75" s="2624"/>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7"/>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3"/>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23"/>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3"/>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3"/>
      <c r="Q81" s="504"/>
    </row>
    <row r="82" spans="1:17" ht="15" thickTop="1">
      <c r="A82" s="534"/>
      <c r="B82" s="546" t="s">
        <v>2090</v>
      </c>
      <c r="C82" s="539" t="s">
        <v>2593</v>
      </c>
      <c r="D82" s="539" t="s">
        <v>2594</v>
      </c>
      <c r="E82" s="539" t="s">
        <v>2595</v>
      </c>
      <c r="F82" s="539" t="s">
        <v>2596</v>
      </c>
      <c r="G82" s="539" t="s">
        <v>2597</v>
      </c>
      <c r="H82" s="539"/>
      <c r="I82" s="539"/>
      <c r="J82" s="539"/>
      <c r="K82" s="539"/>
      <c r="L82" s="539"/>
      <c r="M82" s="1381"/>
      <c r="N82" s="1152"/>
      <c r="O82" s="1152"/>
      <c r="P82" s="2623"/>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2"/>
      <c r="O83" s="1152"/>
      <c r="P83" s="2623"/>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3"/>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3"/>
      <c r="Q85" s="504"/>
    </row>
    <row r="86" spans="1:17" s="117" customFormat="1" ht="15" thickTop="1">
      <c r="A86" s="579"/>
      <c r="B86" s="538" t="s">
        <v>2599</v>
      </c>
      <c r="C86" s="554"/>
      <c r="D86" s="554"/>
      <c r="E86" s="554"/>
      <c r="F86" s="554"/>
      <c r="G86" s="554"/>
      <c r="H86" s="554"/>
      <c r="I86" s="554"/>
      <c r="J86" s="554"/>
      <c r="K86" s="554"/>
      <c r="L86" s="580"/>
      <c r="M86" s="581"/>
      <c r="N86" s="1150"/>
      <c r="O86" s="1150"/>
      <c r="P86" s="2623"/>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3"/>
      <c r="Q87" s="504"/>
    </row>
    <row r="88" spans="1:17" s="117" customFormat="1" ht="15" thickTop="1">
      <c r="A88" s="579"/>
      <c r="B88" s="538" t="s">
        <v>2600</v>
      </c>
      <c r="C88" s="554"/>
      <c r="D88" s="554"/>
      <c r="E88" s="554"/>
      <c r="F88" s="2628"/>
      <c r="G88" s="554"/>
      <c r="H88" s="554"/>
      <c r="I88" s="554"/>
      <c r="J88" s="554"/>
      <c r="K88" s="554"/>
      <c r="L88" s="554"/>
      <c r="M88" s="581"/>
      <c r="N88" s="1150"/>
      <c r="O88" s="1150"/>
      <c r="P88" s="2623"/>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2"/>
      <c r="O89" s="1152"/>
      <c r="P89" s="2623"/>
      <c r="Q89" s="504"/>
    </row>
    <row r="90" spans="1:17" s="471" customFormat="1" ht="14.4" thickTop="1">
      <c r="A90" s="553"/>
      <c r="B90" s="538">
        <f>B27</f>
        <v>111</v>
      </c>
      <c r="C90" s="554"/>
      <c r="D90" s="554"/>
      <c r="E90" s="554"/>
      <c r="F90" s="554"/>
      <c r="G90" s="554"/>
      <c r="H90" s="555"/>
      <c r="I90" s="555"/>
      <c r="J90" s="555"/>
      <c r="K90" s="555"/>
      <c r="L90" s="556"/>
      <c r="M90" s="557"/>
      <c r="N90" s="1153"/>
      <c r="O90" s="1153"/>
      <c r="P90" s="2624"/>
      <c r="Q90" s="559"/>
    </row>
    <row r="91" spans="1:17" s="471" customFormat="1" ht="14.4" thickBot="1">
      <c r="A91" s="553"/>
      <c r="B91" s="543"/>
      <c r="C91" s="560"/>
      <c r="D91" s="560"/>
      <c r="E91" s="560"/>
      <c r="F91" s="560"/>
      <c r="G91" s="560"/>
      <c r="H91" s="562"/>
      <c r="I91" s="562"/>
      <c r="J91" s="562"/>
      <c r="K91" s="562"/>
      <c r="L91" s="562"/>
      <c r="M91" s="563"/>
      <c r="N91" s="1153"/>
      <c r="O91" s="1153"/>
      <c r="P91" s="2624"/>
      <c r="Q91" s="559"/>
    </row>
    <row r="92" spans="1:17" ht="14.4" thickTop="1">
      <c r="A92" s="534"/>
      <c r="B92" s="538">
        <f>B28</f>
        <v>111</v>
      </c>
      <c r="C92" s="554"/>
      <c r="D92" s="554"/>
      <c r="E92" s="554"/>
      <c r="F92" s="554"/>
      <c r="G92" s="583"/>
      <c r="H92" s="583"/>
      <c r="I92" s="583"/>
      <c r="J92" s="583"/>
      <c r="K92" s="584"/>
      <c r="L92" s="585"/>
      <c r="M92" s="586"/>
      <c r="N92" s="1151"/>
      <c r="O92" s="1151"/>
      <c r="P92" s="2623"/>
      <c r="Q92" s="504"/>
    </row>
    <row r="93" spans="1:17" ht="14.4" thickBot="1">
      <c r="A93" s="534"/>
      <c r="B93" s="543"/>
      <c r="C93" s="560"/>
      <c r="D93" s="536"/>
      <c r="E93" s="536"/>
      <c r="F93" s="536"/>
      <c r="G93" s="536"/>
      <c r="H93" s="536"/>
      <c r="I93" s="536"/>
      <c r="J93" s="536"/>
      <c r="K93" s="536"/>
      <c r="L93" s="536"/>
      <c r="M93" s="537"/>
      <c r="N93" s="1152"/>
      <c r="O93" s="1152"/>
      <c r="P93" s="2623"/>
      <c r="Q93" s="504"/>
    </row>
    <row r="94" spans="1:17" ht="14.4" thickTop="1">
      <c r="A94" s="534"/>
      <c r="B94" s="538">
        <f>B29</f>
        <v>111</v>
      </c>
      <c r="C94" s="554"/>
      <c r="D94" s="554"/>
      <c r="E94" s="554"/>
      <c r="F94" s="554"/>
      <c r="G94" s="583"/>
      <c r="H94" s="583"/>
      <c r="I94" s="583"/>
      <c r="J94" s="583"/>
      <c r="K94" s="584"/>
      <c r="L94" s="585"/>
      <c r="M94" s="586"/>
      <c r="N94" s="1151"/>
      <c r="O94" s="1151"/>
      <c r="P94" s="2623"/>
      <c r="Q94" s="504"/>
    </row>
    <row r="95" spans="1:17" ht="14.4" thickBot="1">
      <c r="A95" s="534"/>
      <c r="B95" s="543"/>
      <c r="C95" s="560"/>
      <c r="D95" s="560"/>
      <c r="E95" s="560"/>
      <c r="F95" s="560"/>
      <c r="G95" s="536"/>
      <c r="H95" s="536"/>
      <c r="I95" s="536"/>
      <c r="J95" s="536"/>
      <c r="K95" s="536"/>
      <c r="L95" s="536"/>
      <c r="M95" s="537"/>
      <c r="N95" s="1152"/>
      <c r="O95" s="1152"/>
      <c r="P95" s="2623"/>
      <c r="Q95" s="504"/>
    </row>
    <row r="96" spans="1:17" ht="14.4" thickTop="1">
      <c r="A96" s="534"/>
      <c r="B96" s="538">
        <f>B30</f>
        <v>111</v>
      </c>
      <c r="C96" s="554"/>
      <c r="D96" s="554"/>
      <c r="E96" s="554"/>
      <c r="F96" s="554"/>
      <c r="G96" s="583"/>
      <c r="H96" s="583"/>
      <c r="I96" s="583"/>
      <c r="J96" s="583"/>
      <c r="K96" s="584"/>
      <c r="L96" s="585"/>
      <c r="M96" s="586"/>
      <c r="N96" s="1151"/>
      <c r="O96" s="1151"/>
      <c r="P96" s="2623"/>
      <c r="Q96" s="504"/>
    </row>
    <row r="97" spans="1:17" ht="14.4" thickBot="1">
      <c r="A97" s="534"/>
      <c r="B97" s="543"/>
      <c r="C97" s="570"/>
      <c r="D97" s="570"/>
      <c r="E97" s="570"/>
      <c r="F97" s="570"/>
      <c r="G97" s="536"/>
      <c r="H97" s="536"/>
      <c r="I97" s="536"/>
      <c r="J97" s="536"/>
      <c r="K97" s="536"/>
      <c r="L97" s="536"/>
      <c r="M97" s="537"/>
      <c r="N97" s="1152"/>
      <c r="O97" s="1152"/>
      <c r="P97" s="2623"/>
      <c r="Q97" s="504"/>
    </row>
    <row r="98" spans="1:17" ht="14.4" thickTop="1">
      <c r="A98" s="534"/>
      <c r="B98" s="546">
        <f>B31</f>
        <v>111</v>
      </c>
      <c r="C98" s="587"/>
      <c r="D98" s="587"/>
      <c r="E98" s="587"/>
      <c r="F98" s="587"/>
      <c r="G98" s="587"/>
      <c r="H98" s="587"/>
      <c r="I98" s="587"/>
      <c r="J98" s="587"/>
      <c r="K98" s="588"/>
      <c r="L98" s="589"/>
      <c r="M98" s="590"/>
      <c r="N98" s="1151"/>
      <c r="O98" s="1151"/>
      <c r="P98" s="2623"/>
      <c r="Q98" s="504"/>
    </row>
    <row r="99" spans="1:17" ht="14.4" thickBot="1">
      <c r="A99" s="2629"/>
      <c r="B99" s="569"/>
      <c r="C99" s="591"/>
      <c r="D99" s="591"/>
      <c r="E99" s="591"/>
      <c r="F99" s="591"/>
      <c r="G99" s="591"/>
      <c r="H99" s="591"/>
      <c r="I99" s="591"/>
      <c r="J99" s="591"/>
      <c r="K99" s="591"/>
      <c r="L99" s="591"/>
      <c r="M99" s="592"/>
      <c r="N99" s="1152"/>
      <c r="O99" s="1152"/>
      <c r="P99" s="2623"/>
      <c r="Q99" s="504"/>
    </row>
    <row r="100" spans="1:17" ht="14.4">
      <c r="A100" s="527" t="s">
        <v>2552</v>
      </c>
      <c r="B100" s="528" t="s">
        <v>2601</v>
      </c>
      <c r="C100" s="2959" t="s">
        <v>3534</v>
      </c>
      <c r="D100" s="2959" t="s">
        <v>3536</v>
      </c>
      <c r="E100" s="2959" t="s">
        <v>3538</v>
      </c>
      <c r="F100" s="2959" t="s">
        <v>3540</v>
      </c>
      <c r="G100" s="2959" t="s">
        <v>3475</v>
      </c>
      <c r="H100" s="2959" t="s">
        <v>3474</v>
      </c>
      <c r="I100" s="2959" t="s">
        <v>3472</v>
      </c>
      <c r="J100" s="530"/>
      <c r="K100" s="531"/>
      <c r="L100" s="532"/>
      <c r="M100" s="533"/>
      <c r="N100" s="1151"/>
      <c r="O100" s="1151"/>
      <c r="P100" s="2623"/>
      <c r="Q100" s="504"/>
    </row>
    <row r="101" spans="1:17" ht="14.4" thickBot="1">
      <c r="A101" s="534"/>
      <c r="B101" s="543"/>
      <c r="C101" s="544">
        <v>100</v>
      </c>
      <c r="D101" s="544">
        <f t="shared" ref="D101:M101" si="22">C101-$K32</f>
        <v>92</v>
      </c>
      <c r="E101" s="544">
        <f t="shared" si="22"/>
        <v>84</v>
      </c>
      <c r="F101" s="544">
        <f t="shared" si="22"/>
        <v>76</v>
      </c>
      <c r="G101" s="544">
        <f t="shared" si="22"/>
        <v>68</v>
      </c>
      <c r="H101" s="544">
        <f t="shared" si="22"/>
        <v>60</v>
      </c>
      <c r="I101" s="544">
        <f t="shared" si="22"/>
        <v>52</v>
      </c>
      <c r="J101" s="544">
        <f t="shared" si="22"/>
        <v>44</v>
      </c>
      <c r="K101" s="544">
        <f t="shared" si="22"/>
        <v>36</v>
      </c>
      <c r="L101" s="544">
        <f t="shared" si="22"/>
        <v>28</v>
      </c>
      <c r="M101" s="544">
        <f t="shared" si="22"/>
        <v>20</v>
      </c>
      <c r="N101" s="1152"/>
      <c r="O101" s="1152"/>
      <c r="P101" s="2623"/>
      <c r="Q101" s="504"/>
    </row>
    <row r="102" spans="1:17" ht="28.2" thickTop="1">
      <c r="A102" s="534"/>
      <c r="B102" s="538" t="s">
        <v>2602</v>
      </c>
      <c r="C102" s="578" t="str">
        <f>C103&amp;"(含)"&amp;"-"&amp;D103</f>
        <v>0(含)-80000</v>
      </c>
      <c r="D102" s="578" t="str">
        <f t="shared" ref="D102:L102" si="23">D103&amp;"(含)"&amp;"-"&amp;E103</f>
        <v>80000(含)-160000</v>
      </c>
      <c r="E102" s="578" t="str">
        <f t="shared" si="23"/>
        <v>160000(含)-240000</v>
      </c>
      <c r="F102" s="578" t="str">
        <f t="shared" si="23"/>
        <v>240000(含)-320000</v>
      </c>
      <c r="G102" s="578" t="str">
        <f t="shared" si="23"/>
        <v>320000(含)-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0"/>
      <c r="O102" s="1150"/>
      <c r="P102" s="2623"/>
      <c r="Q102" s="504"/>
    </row>
    <row r="103" spans="1:17" s="471" customFormat="1">
      <c r="A103" s="593"/>
      <c r="B103" s="594"/>
      <c r="C103" s="595">
        <v>0</v>
      </c>
      <c r="D103" s="595">
        <f>C103+80000</f>
        <v>80000</v>
      </c>
      <c r="E103" s="595">
        <f>D103+80000</f>
        <v>160000</v>
      </c>
      <c r="F103" s="595">
        <f>E103+80000</f>
        <v>240000</v>
      </c>
      <c r="G103" s="595">
        <f>F103+80000</f>
        <v>320000</v>
      </c>
      <c r="H103" s="595"/>
      <c r="I103" s="595"/>
      <c r="J103" s="596"/>
      <c r="K103" s="596"/>
      <c r="L103" s="597"/>
      <c r="M103" s="598"/>
      <c r="N103" s="1153"/>
      <c r="O103" s="1153"/>
      <c r="P103" s="2624"/>
      <c r="Q103" s="559"/>
    </row>
    <row r="104" spans="1:17" s="471" customFormat="1" ht="14.4" thickBot="1">
      <c r="A104" s="553"/>
      <c r="B104" s="543"/>
      <c r="C104" s="560">
        <v>100</v>
      </c>
      <c r="D104" s="536">
        <f>C104+1</f>
        <v>101</v>
      </c>
      <c r="E104" s="536">
        <f>D104+1</f>
        <v>102</v>
      </c>
      <c r="F104" s="536">
        <f>E104+1</f>
        <v>103</v>
      </c>
      <c r="G104" s="536">
        <f>F104+1</f>
        <v>104</v>
      </c>
      <c r="H104" s="536"/>
      <c r="I104" s="536"/>
      <c r="J104" s="536"/>
      <c r="K104" s="536"/>
      <c r="L104" s="536"/>
      <c r="M104" s="536"/>
      <c r="N104" s="1152"/>
      <c r="O104" s="1152"/>
      <c r="P104" s="2624"/>
      <c r="Q104" s="559"/>
    </row>
    <row r="105" spans="1:17" ht="15" thickTop="1">
      <c r="A105" s="599"/>
      <c r="B105" s="538" t="s">
        <v>2603</v>
      </c>
      <c r="C105" s="2966" t="s">
        <v>3495</v>
      </c>
      <c r="D105" s="554"/>
      <c r="E105" s="583"/>
      <c r="F105" s="583"/>
      <c r="G105" s="583"/>
      <c r="H105" s="583"/>
      <c r="I105" s="583"/>
      <c r="J105" s="583"/>
      <c r="K105" s="584"/>
      <c r="L105" s="585"/>
      <c r="M105" s="586"/>
      <c r="N105" s="1151"/>
      <c r="O105" s="1151"/>
      <c r="P105" s="2623"/>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4">
        <f t="shared" si="24"/>
        <v>90</v>
      </c>
      <c r="N106" s="1152"/>
      <c r="O106" s="1152"/>
      <c r="P106" s="2623"/>
      <c r="Q106" s="504"/>
    </row>
    <row r="107" spans="1:17" ht="15" thickTop="1">
      <c r="A107" s="599"/>
      <c r="B107" s="538" t="s">
        <v>2604</v>
      </c>
      <c r="C107" s="554" t="s">
        <v>3441</v>
      </c>
      <c r="D107" s="554" t="s">
        <v>3443</v>
      </c>
      <c r="E107" s="583" t="s">
        <v>3436</v>
      </c>
      <c r="F107" s="583" t="s">
        <v>3430</v>
      </c>
      <c r="G107" s="583" t="s">
        <v>3432</v>
      </c>
      <c r="H107" s="583"/>
      <c r="I107" s="583"/>
      <c r="J107" s="583"/>
      <c r="K107" s="584"/>
      <c r="L107" s="585"/>
      <c r="M107" s="586"/>
      <c r="N107" s="1151"/>
      <c r="O107" s="1151"/>
      <c r="P107" s="2623"/>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4">
        <f t="shared" si="25"/>
        <v>90</v>
      </c>
      <c r="N108" s="1152"/>
      <c r="O108" s="1152"/>
      <c r="P108" s="2623"/>
      <c r="Q108" s="504"/>
    </row>
    <row r="109" spans="1:17" ht="15" thickTop="1">
      <c r="A109" s="599"/>
      <c r="B109" s="538" t="s">
        <v>2605</v>
      </c>
      <c r="C109" s="554" t="s">
        <v>3479</v>
      </c>
      <c r="D109" s="554" t="s">
        <v>3481</v>
      </c>
      <c r="E109" s="554" t="s">
        <v>3483</v>
      </c>
      <c r="F109" s="583" t="s">
        <v>3485</v>
      </c>
      <c r="G109" s="583"/>
      <c r="H109" s="583"/>
      <c r="I109" s="583"/>
      <c r="J109" s="583"/>
      <c r="K109" s="584"/>
      <c r="L109" s="585"/>
      <c r="M109" s="586"/>
      <c r="N109" s="1151"/>
      <c r="O109" s="1151"/>
      <c r="P109" s="2623"/>
      <c r="Q109" s="504"/>
    </row>
    <row r="110" spans="1:17" ht="14.4" thickBot="1">
      <c r="A110" s="534"/>
      <c r="B110" s="543"/>
      <c r="C110" s="544">
        <v>100</v>
      </c>
      <c r="D110" s="544">
        <f t="shared" ref="D110:M110" si="26">C110-$K36</f>
        <v>97</v>
      </c>
      <c r="E110" s="544">
        <f t="shared" si="26"/>
        <v>94</v>
      </c>
      <c r="F110" s="544">
        <f t="shared" si="26"/>
        <v>91</v>
      </c>
      <c r="G110" s="544">
        <f t="shared" si="26"/>
        <v>88</v>
      </c>
      <c r="H110" s="544">
        <f t="shared" si="26"/>
        <v>85</v>
      </c>
      <c r="I110" s="544">
        <f t="shared" si="26"/>
        <v>82</v>
      </c>
      <c r="J110" s="544">
        <f t="shared" si="26"/>
        <v>79</v>
      </c>
      <c r="K110" s="544">
        <f t="shared" si="26"/>
        <v>76</v>
      </c>
      <c r="L110" s="544">
        <f t="shared" si="26"/>
        <v>73</v>
      </c>
      <c r="M110" s="544">
        <f t="shared" si="26"/>
        <v>70</v>
      </c>
      <c r="N110" s="1152"/>
      <c r="O110" s="1152"/>
      <c r="P110" s="262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4"/>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4"/>
      <c r="Q113" s="559"/>
    </row>
    <row r="114" spans="1:17" ht="15" thickTop="1">
      <c r="A114" s="599"/>
      <c r="B114" s="538" t="s">
        <v>2606</v>
      </c>
      <c r="C114" s="554" t="s">
        <v>3441</v>
      </c>
      <c r="D114" s="554" t="s">
        <v>3443</v>
      </c>
      <c r="E114" s="583" t="s">
        <v>3436</v>
      </c>
      <c r="F114" s="583" t="s">
        <v>3430</v>
      </c>
      <c r="G114" s="583" t="s">
        <v>3432</v>
      </c>
      <c r="H114" s="583"/>
      <c r="I114" s="583"/>
      <c r="J114" s="583"/>
      <c r="K114" s="584"/>
      <c r="L114" s="585"/>
      <c r="M114" s="586"/>
      <c r="N114" s="1151"/>
      <c r="O114" s="1151"/>
      <c r="P114" s="2623"/>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2"/>
      <c r="O115" s="1152"/>
      <c r="P115" s="2623"/>
      <c r="Q115" s="504"/>
    </row>
    <row r="116" spans="1:17" ht="15" thickTop="1">
      <c r="A116" s="599"/>
      <c r="B116" s="538" t="s">
        <v>2607</v>
      </c>
      <c r="C116" s="2966" t="s">
        <v>3490</v>
      </c>
      <c r="D116" s="2966" t="s">
        <v>3491</v>
      </c>
      <c r="E116" s="2966" t="s">
        <v>3492</v>
      </c>
      <c r="F116" s="2966" t="s">
        <v>3493</v>
      </c>
      <c r="G116" s="2966" t="s">
        <v>3494</v>
      </c>
      <c r="H116" s="583"/>
      <c r="I116" s="583"/>
      <c r="J116" s="583"/>
      <c r="K116" s="584"/>
      <c r="L116" s="585"/>
      <c r="M116" s="586"/>
      <c r="N116" s="1151"/>
      <c r="O116" s="1151"/>
      <c r="P116" s="2623"/>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3"/>
      <c r="Q117" s="504"/>
    </row>
    <row r="118" spans="1:17" ht="15" thickTop="1">
      <c r="A118" s="599"/>
      <c r="B118" s="538" t="s">
        <v>2608</v>
      </c>
      <c r="C118" s="2967" t="s">
        <v>3489</v>
      </c>
      <c r="D118" s="2967" t="s">
        <v>3488</v>
      </c>
      <c r="E118" s="583"/>
      <c r="F118" s="583"/>
      <c r="G118" s="583"/>
      <c r="H118" s="583"/>
      <c r="I118" s="583"/>
      <c r="J118" s="583"/>
      <c r="K118" s="584"/>
      <c r="L118" s="585"/>
      <c r="M118" s="586"/>
      <c r="N118" s="1151"/>
      <c r="O118" s="1151"/>
      <c r="P118" s="2623"/>
      <c r="Q118" s="504"/>
    </row>
    <row r="119" spans="1:17" ht="14.4" thickBot="1">
      <c r="A119" s="534"/>
      <c r="B119" s="543"/>
      <c r="C119" s="544">
        <v>100</v>
      </c>
      <c r="D119" s="544">
        <f t="shared" ref="D119:M119" si="28">C119-$K40</f>
        <v>95</v>
      </c>
      <c r="E119" s="544">
        <f t="shared" si="28"/>
        <v>90</v>
      </c>
      <c r="F119" s="544">
        <f t="shared" si="28"/>
        <v>85</v>
      </c>
      <c r="G119" s="544">
        <f t="shared" si="28"/>
        <v>80</v>
      </c>
      <c r="H119" s="544">
        <f t="shared" si="28"/>
        <v>75</v>
      </c>
      <c r="I119" s="544">
        <f t="shared" si="28"/>
        <v>70</v>
      </c>
      <c r="J119" s="544">
        <f t="shared" si="28"/>
        <v>65</v>
      </c>
      <c r="K119" s="544">
        <f t="shared" si="28"/>
        <v>60</v>
      </c>
      <c r="L119" s="544">
        <f t="shared" si="28"/>
        <v>55</v>
      </c>
      <c r="M119" s="544">
        <f t="shared" si="28"/>
        <v>50</v>
      </c>
      <c r="N119" s="1152"/>
      <c r="O119" s="1152"/>
      <c r="P119" s="2623"/>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4"/>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4"/>
      <c r="Q121" s="559"/>
    </row>
    <row r="122" spans="1:17" ht="15" thickTop="1">
      <c r="A122" s="599"/>
      <c r="B122" s="538" t="s">
        <v>2609</v>
      </c>
      <c r="C122" s="2966" t="s">
        <v>3480</v>
      </c>
      <c r="D122" s="2966" t="s">
        <v>3482</v>
      </c>
      <c r="E122" s="2966" t="s">
        <v>3484</v>
      </c>
      <c r="F122" s="2967" t="s">
        <v>3486</v>
      </c>
      <c r="G122" s="583"/>
      <c r="H122" s="583"/>
      <c r="I122" s="583"/>
      <c r="J122" s="583"/>
      <c r="K122" s="584"/>
      <c r="L122" s="585"/>
      <c r="M122" s="586"/>
      <c r="N122" s="1151"/>
      <c r="O122" s="1151"/>
      <c r="P122" s="2623"/>
      <c r="Q122" s="504"/>
    </row>
    <row r="123" spans="1:17" ht="14.4" thickBot="1">
      <c r="A123" s="534"/>
      <c r="B123" s="543"/>
      <c r="C123" s="544">
        <v>100</v>
      </c>
      <c r="D123" s="544">
        <f t="shared" ref="D123:M123" si="29">C123-$K42</f>
        <v>97</v>
      </c>
      <c r="E123" s="544">
        <f t="shared" si="29"/>
        <v>94</v>
      </c>
      <c r="F123" s="544">
        <f t="shared" si="29"/>
        <v>91</v>
      </c>
      <c r="G123" s="544">
        <f t="shared" si="29"/>
        <v>88</v>
      </c>
      <c r="H123" s="544">
        <f t="shared" si="29"/>
        <v>85</v>
      </c>
      <c r="I123" s="544">
        <f t="shared" si="29"/>
        <v>82</v>
      </c>
      <c r="J123" s="544">
        <f t="shared" si="29"/>
        <v>79</v>
      </c>
      <c r="K123" s="544">
        <f t="shared" si="29"/>
        <v>76</v>
      </c>
      <c r="L123" s="544">
        <f t="shared" si="29"/>
        <v>73</v>
      </c>
      <c r="M123" s="544">
        <f t="shared" si="29"/>
        <v>70</v>
      </c>
      <c r="N123" s="1152"/>
      <c r="O123" s="1152"/>
      <c r="P123" s="2623"/>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4"/>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4"/>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4"/>
      <c r="Q127" s="559"/>
    </row>
    <row r="128" spans="1:17" ht="14.4" thickTop="1">
      <c r="A128" s="599"/>
      <c r="B128" s="538">
        <f>B45</f>
        <v>111</v>
      </c>
      <c r="C128" s="554"/>
      <c r="D128" s="554"/>
      <c r="E128" s="554"/>
      <c r="F128" s="554"/>
      <c r="G128" s="583"/>
      <c r="H128" s="583"/>
      <c r="I128" s="583"/>
      <c r="J128" s="583"/>
      <c r="K128" s="584"/>
      <c r="L128" s="585"/>
      <c r="M128" s="586"/>
      <c r="N128" s="1151"/>
      <c r="O128" s="1151"/>
      <c r="P128" s="2623"/>
      <c r="Q128" s="504"/>
    </row>
    <row r="129" spans="1:17" ht="14.4" thickBot="1">
      <c r="A129" s="534"/>
      <c r="B129" s="543"/>
      <c r="C129" s="560"/>
      <c r="D129" s="560"/>
      <c r="E129" s="560"/>
      <c r="F129" s="560"/>
      <c r="G129" s="536"/>
      <c r="H129" s="536"/>
      <c r="I129" s="536"/>
      <c r="J129" s="536"/>
      <c r="K129" s="536"/>
      <c r="L129" s="536"/>
      <c r="M129" s="537"/>
      <c r="N129" s="1152"/>
      <c r="O129" s="1152"/>
      <c r="P129" s="2623"/>
      <c r="Q129" s="504"/>
    </row>
    <row r="130" spans="1:17" ht="14.4" thickTop="1">
      <c r="A130" s="599"/>
      <c r="B130" s="546">
        <f>B46</f>
        <v>111</v>
      </c>
      <c r="C130" s="554"/>
      <c r="D130" s="554"/>
      <c r="E130" s="554"/>
      <c r="F130" s="554"/>
      <c r="G130" s="587"/>
      <c r="H130" s="587"/>
      <c r="I130" s="587"/>
      <c r="J130" s="587"/>
      <c r="K130" s="523"/>
      <c r="L130" s="524"/>
      <c r="M130" s="590"/>
      <c r="N130" s="1151"/>
      <c r="O130" s="1151"/>
      <c r="P130" s="2623"/>
      <c r="Q130" s="504"/>
    </row>
    <row r="131" spans="1:17" ht="14.4" thickBot="1">
      <c r="A131" s="2629"/>
      <c r="B131" s="569"/>
      <c r="C131" s="570"/>
      <c r="D131" s="570"/>
      <c r="E131" s="570"/>
      <c r="F131" s="570"/>
      <c r="G131" s="591"/>
      <c r="H131" s="591"/>
      <c r="I131" s="591"/>
      <c r="J131" s="591"/>
      <c r="K131" s="591"/>
      <c r="L131" s="591"/>
      <c r="M131" s="592"/>
      <c r="N131" s="1152"/>
      <c r="O131" s="1152"/>
      <c r="P131" s="2623"/>
      <c r="Q131" s="504"/>
    </row>
    <row r="136" spans="1:17" ht="15" thickBot="1">
      <c r="B136" s="2630" t="s">
        <v>2611</v>
      </c>
    </row>
    <row r="137" spans="1:17" ht="15">
      <c r="B137" s="2631" t="s">
        <v>2612</v>
      </c>
      <c r="C137" s="2632"/>
      <c r="D137" s="2632"/>
      <c r="E137" s="2632"/>
      <c r="F137" s="2632"/>
      <c r="G137" s="2633"/>
      <c r="H137" s="2634"/>
      <c r="I137" s="2635" t="s">
        <v>2613</v>
      </c>
      <c r="J137" s="2632"/>
      <c r="K137" s="2636"/>
    </row>
    <row r="138" spans="1:17" ht="15">
      <c r="B138" s="2637"/>
      <c r="C138" s="146" t="s">
        <v>2614</v>
      </c>
      <c r="D138" s="146" t="s">
        <v>2615</v>
      </c>
      <c r="E138" s="2638" t="s">
        <v>2616</v>
      </c>
      <c r="F138" s="2639" t="s">
        <v>2617</v>
      </c>
      <c r="G138" s="146" t="s">
        <v>2615</v>
      </c>
      <c r="H138" s="147" t="s">
        <v>2616</v>
      </c>
      <c r="I138" s="2640"/>
      <c r="J138" s="146" t="s">
        <v>2618</v>
      </c>
      <c r="K138" s="147" t="s">
        <v>2619</v>
      </c>
    </row>
    <row r="139" spans="1:17" ht="15">
      <c r="B139" s="1083">
        <v>6</v>
      </c>
      <c r="C139" s="1084">
        <v>96</v>
      </c>
      <c r="D139" s="2641" t="s">
        <v>2620</v>
      </c>
      <c r="E139" s="1085">
        <v>100</v>
      </c>
      <c r="F139" s="1086">
        <v>102.5</v>
      </c>
      <c r="G139" s="2641" t="s">
        <v>2620</v>
      </c>
      <c r="H139" s="1087">
        <v>105</v>
      </c>
      <c r="I139" s="2642" t="s">
        <v>2621</v>
      </c>
      <c r="J139" s="1084">
        <v>20</v>
      </c>
      <c r="K139" s="1088">
        <f>C145/(J139-2)</f>
        <v>4.0555555555555553E-3</v>
      </c>
    </row>
    <row r="140" spans="1:17" ht="15">
      <c r="B140" s="1089">
        <v>5</v>
      </c>
      <c r="C140" s="1090">
        <v>100</v>
      </c>
      <c r="D140" s="1090"/>
      <c r="E140" s="1091"/>
      <c r="F140" s="1092">
        <v>102</v>
      </c>
      <c r="G140" s="1090"/>
      <c r="H140" s="1093"/>
      <c r="I140" s="2643" t="s">
        <v>2622</v>
      </c>
      <c r="J140" s="315">
        <f>ROUNDUP((J139-1)/2,0)</f>
        <v>10</v>
      </c>
      <c r="K140" s="1094">
        <v>100</v>
      </c>
    </row>
    <row r="141" spans="1:17" ht="15">
      <c r="B141" s="1089">
        <v>4</v>
      </c>
      <c r="C141" s="1090">
        <v>102</v>
      </c>
      <c r="D141" s="1090"/>
      <c r="E141" s="1091"/>
      <c r="F141" s="1092">
        <v>101.5</v>
      </c>
      <c r="G141" s="1090"/>
      <c r="H141" s="1093"/>
      <c r="I141" s="2643" t="s">
        <v>2623</v>
      </c>
      <c r="J141" s="315">
        <v>1</v>
      </c>
      <c r="K141" s="1095">
        <f>ROUND(100+(J141-J140)*K139*100,1)</f>
        <v>96.4</v>
      </c>
    </row>
    <row r="142" spans="1:17" ht="15">
      <c r="B142" s="1089">
        <v>3</v>
      </c>
      <c r="C142" s="1090">
        <v>103</v>
      </c>
      <c r="D142" s="1090"/>
      <c r="E142" s="1091"/>
      <c r="F142" s="1092">
        <v>101</v>
      </c>
      <c r="G142" s="1090"/>
      <c r="H142" s="1093"/>
      <c r="I142" s="2643" t="s">
        <v>2624</v>
      </c>
      <c r="J142" s="315">
        <f>J139</f>
        <v>20</v>
      </c>
      <c r="K142" s="1096">
        <v>95</v>
      </c>
    </row>
    <row r="143" spans="1:17" ht="15">
      <c r="B143" s="1089">
        <v>2</v>
      </c>
      <c r="C143" s="1090">
        <v>100</v>
      </c>
      <c r="D143" s="1090"/>
      <c r="E143" s="1091"/>
      <c r="F143" s="1092">
        <v>100.5</v>
      </c>
      <c r="G143" s="1090"/>
      <c r="H143" s="1093"/>
      <c r="I143" s="2643" t="s">
        <v>2625</v>
      </c>
      <c r="J143" s="1090">
        <v>15</v>
      </c>
      <c r="K143" s="1095">
        <f>ROUND(100+(J143-J140)*K139*100,1)</f>
        <v>102</v>
      </c>
    </row>
    <row r="144" spans="1:17" ht="15">
      <c r="B144" s="1089">
        <v>1</v>
      </c>
      <c r="C144" s="1090">
        <v>98</v>
      </c>
      <c r="D144" s="2644" t="s">
        <v>2626</v>
      </c>
      <c r="E144" s="1091">
        <v>102</v>
      </c>
      <c r="F144" s="1097">
        <v>100</v>
      </c>
      <c r="G144" s="2644" t="s">
        <v>2626</v>
      </c>
      <c r="H144" s="1093">
        <v>105</v>
      </c>
      <c r="I144" s="2643" t="s">
        <v>2625</v>
      </c>
      <c r="J144" s="1090">
        <v>18</v>
      </c>
      <c r="K144" s="1095">
        <f>ROUND(100+(J144-J140)*K139*100,1)</f>
        <v>103.2</v>
      </c>
    </row>
    <row r="145" spans="2:11" ht="16.2" thickBot="1">
      <c r="B145" s="2645" t="s">
        <v>2627</v>
      </c>
      <c r="C145" s="1098">
        <f>ROUND(MAX(C139:C144)/MIN(C139:C144)-1,3)</f>
        <v>7.2999999999999995E-2</v>
      </c>
      <c r="D145" s="1099"/>
      <c r="E145" s="1099"/>
      <c r="F145" s="2646" t="s">
        <v>2628</v>
      </c>
      <c r="G145" s="2647"/>
      <c r="H145" s="2648"/>
      <c r="I145" s="2649" t="s">
        <v>2625</v>
      </c>
      <c r="J145" s="1100">
        <v>8</v>
      </c>
      <c r="K145" s="1101">
        <f>ROUND(100+(J145-J140)*K139*100,1)</f>
        <v>99.2</v>
      </c>
    </row>
    <row r="147" spans="2:11" ht="14.4">
      <c r="B147" s="2630" t="s">
        <v>2629</v>
      </c>
    </row>
    <row r="148" spans="2:11" ht="14.4">
      <c r="B148" s="2630"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5" zoomScale="90" zoomScaleNormal="90" workbookViewId="0">
      <selection activeCell="M21" sqref="M21"/>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7.332031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2518</v>
      </c>
      <c r="C1" s="1632" t="s">
        <v>2519</v>
      </c>
      <c r="D1" s="1619" t="s">
        <v>3497</v>
      </c>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16215</v>
      </c>
      <c r="C2" s="2581" t="s">
        <v>70</v>
      </c>
      <c r="D2" s="1364"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f>IF(C2="——",C49,ROUND(B2*10000/D3,0))</f>
        <v>10834</v>
      </c>
      <c r="C3" s="400" t="s">
        <v>2523</v>
      </c>
      <c r="D3" s="399">
        <f>IF(D1="",'数据-汇总表'!E3,SUMIF('数据-汇总表'!$C19:$C33,D1,'数据-汇总表'!$E19:$E33))</f>
        <v>14966.349999999999</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4.4">
      <c r="A4" s="401" t="s">
        <v>2524</v>
      </c>
      <c r="B4" s="402"/>
      <c r="C4" s="3205" t="s">
        <v>2525</v>
      </c>
      <c r="D4" s="3206"/>
      <c r="E4" s="3207" t="s">
        <v>2526</v>
      </c>
      <c r="F4" s="3208"/>
      <c r="G4" s="3205" t="s">
        <v>2527</v>
      </c>
      <c r="H4" s="3206"/>
      <c r="I4" s="3205" t="s">
        <v>2528</v>
      </c>
      <c r="J4" s="3206"/>
      <c r="K4" s="2591" t="s">
        <v>2529</v>
      </c>
      <c r="L4" s="1129"/>
      <c r="M4" s="1130"/>
      <c r="N4" s="1130"/>
      <c r="O4" s="1130"/>
      <c r="P4" s="3209" t="s">
        <v>2530</v>
      </c>
      <c r="Q4" s="3210"/>
      <c r="R4" s="3215" t="s">
        <v>2526</v>
      </c>
      <c r="S4" s="3216"/>
      <c r="T4" s="3215" t="s">
        <v>2527</v>
      </c>
      <c r="U4" s="3216"/>
      <c r="V4" s="3231" t="s">
        <v>2528</v>
      </c>
      <c r="W4" s="3231"/>
      <c r="X4" s="2950"/>
      <c r="Y4" s="3215" t="s">
        <v>2530</v>
      </c>
      <c r="Z4" s="3216"/>
      <c r="AA4" s="3202" t="s">
        <v>2526</v>
      </c>
      <c r="AB4" s="3202" t="s">
        <v>2527</v>
      </c>
      <c r="AC4" s="3202" t="s">
        <v>2528</v>
      </c>
    </row>
    <row r="5" spans="1:29" ht="13.95" customHeight="1">
      <c r="A5" s="404"/>
      <c r="B5" s="405"/>
      <c r="C5" s="3219" t="str">
        <f>'土地比较法-住宅、综合'!C5:D5</f>
        <v>滨海新区中心渔港经济区鲤鱼门路以东、海湾一道以南4-1、4-2#地块</v>
      </c>
      <c r="D5" s="3220"/>
      <c r="E5" s="3221" t="s">
        <v>3551</v>
      </c>
      <c r="F5" s="3222"/>
      <c r="G5" s="3223" t="s">
        <v>3501</v>
      </c>
      <c r="H5" s="3220"/>
      <c r="I5" s="3223" t="s">
        <v>3543</v>
      </c>
      <c r="J5" s="3220"/>
      <c r="K5" s="2592"/>
      <c r="L5" s="1129"/>
      <c r="M5" s="1130"/>
      <c r="N5" s="1130"/>
      <c r="O5" s="1130"/>
      <c r="P5" s="3211"/>
      <c r="Q5" s="3212"/>
      <c r="R5" s="3217"/>
      <c r="S5" s="3218"/>
      <c r="T5" s="3217"/>
      <c r="U5" s="3218"/>
      <c r="V5" s="3231"/>
      <c r="W5" s="3231"/>
      <c r="X5" s="2950"/>
      <c r="Y5" s="3217"/>
      <c r="Z5" s="3218"/>
      <c r="AA5" s="3203"/>
      <c r="AB5" s="3203"/>
      <c r="AC5" s="3203"/>
    </row>
    <row r="6" spans="1:29" ht="15" customHeight="1" thickBot="1">
      <c r="A6" s="406"/>
      <c r="B6" s="407"/>
      <c r="C6" s="3224" t="str">
        <f>'土地比较法-住宅、综合'!C6:D6</f>
        <v>天津市滨海新区生态城</v>
      </c>
      <c r="D6" s="3225"/>
      <c r="E6" s="3226" t="str">
        <f>C6</f>
        <v>天津市滨海新区生态城</v>
      </c>
      <c r="F6" s="3227"/>
      <c r="G6" s="3228" t="str">
        <f>E6</f>
        <v>天津市滨海新区生态城</v>
      </c>
      <c r="H6" s="3225"/>
      <c r="I6" s="3228" t="s">
        <v>3544</v>
      </c>
      <c r="J6" s="3225"/>
      <c r="K6" s="2592" t="s">
        <v>2536</v>
      </c>
      <c r="L6" s="1129"/>
      <c r="M6" s="1130"/>
      <c r="N6" s="1130"/>
      <c r="O6" s="1130"/>
      <c r="P6" s="3213"/>
      <c r="Q6" s="3214"/>
      <c r="R6" s="3217"/>
      <c r="S6" s="3218"/>
      <c r="T6" s="3229"/>
      <c r="U6" s="3230"/>
      <c r="V6" s="3231"/>
      <c r="W6" s="3231"/>
      <c r="X6" s="2950"/>
      <c r="Y6" s="3229"/>
      <c r="Z6" s="3230"/>
      <c r="AA6" s="3204"/>
      <c r="AB6" s="3204"/>
      <c r="AC6" s="3204"/>
    </row>
    <row r="7" spans="1:29" s="117" customFormat="1" ht="15" thickBot="1">
      <c r="A7" s="408" t="s">
        <v>2537</v>
      </c>
      <c r="B7" s="409"/>
      <c r="C7" s="410">
        <f>'数据-取费表'!B2</f>
        <v>43725</v>
      </c>
      <c r="D7" s="411">
        <v>100</v>
      </c>
      <c r="E7" s="412">
        <v>43725</v>
      </c>
      <c r="F7" s="413">
        <f>SUMIF(58:58,YEAR(E7)&amp;"-"&amp;MONTH(E7),59:59)</f>
        <v>100</v>
      </c>
      <c r="G7" s="412">
        <v>43725</v>
      </c>
      <c r="H7" s="411">
        <f>SUMIF(58:58,YEAR(G7)&amp;"-"&amp;MONTH(G7),59:59)</f>
        <v>100</v>
      </c>
      <c r="I7" s="412">
        <v>43725</v>
      </c>
      <c r="J7" s="411">
        <f>SUMIF(58:58,YEAR(I7)&amp;"-"&amp;MONTH(I7),59:59)</f>
        <v>100</v>
      </c>
      <c r="K7" s="2593"/>
      <c r="L7" s="1131"/>
      <c r="M7" s="1132"/>
      <c r="N7" s="1132"/>
      <c r="O7" s="1132"/>
      <c r="P7" s="3232" t="s">
        <v>2538</v>
      </c>
      <c r="Q7" s="3233"/>
      <c r="R7" s="770" t="s">
        <v>23</v>
      </c>
      <c r="S7" s="771">
        <f t="shared" ref="S7:S15" si="0">F7</f>
        <v>100</v>
      </c>
      <c r="T7" s="770" t="s">
        <v>23</v>
      </c>
      <c r="U7" s="771">
        <f t="shared" ref="U7:U15" si="1">H7</f>
        <v>100</v>
      </c>
      <c r="V7" s="770" t="s">
        <v>23</v>
      </c>
      <c r="W7" s="771">
        <f t="shared" ref="W7:W15" si="2">J7</f>
        <v>100</v>
      </c>
      <c r="X7" s="772"/>
      <c r="Y7" s="3232" t="s">
        <v>2538</v>
      </c>
      <c r="Z7" s="3234"/>
      <c r="AA7" s="773">
        <f>D7/F7</f>
        <v>1</v>
      </c>
      <c r="AB7" s="773">
        <f>D7/H7</f>
        <v>1</v>
      </c>
      <c r="AC7" s="773">
        <f>D7/J7</f>
        <v>1</v>
      </c>
    </row>
    <row r="8" spans="1:29" s="117" customFormat="1" ht="15" thickBot="1">
      <c r="A8" s="408" t="s">
        <v>2539</v>
      </c>
      <c r="B8" s="409"/>
      <c r="C8" s="414" t="s">
        <v>2540</v>
      </c>
      <c r="D8" s="411">
        <v>100</v>
      </c>
      <c r="E8" s="417" t="s">
        <v>3439</v>
      </c>
      <c r="F8" s="413">
        <f>SUMIF(61:61,E8,62:62)-SUMIF(61:61,C8,62:62)+100</f>
        <v>100</v>
      </c>
      <c r="G8" s="417" t="s">
        <v>3439</v>
      </c>
      <c r="H8" s="411">
        <f>SUMIF(61:61,G8,62:62)-SUMIF(61:61,C8,62:62)+100</f>
        <v>100</v>
      </c>
      <c r="I8" s="417" t="s">
        <v>3439</v>
      </c>
      <c r="J8" s="411">
        <f>SUMIF(61:61,I8,62:62)-SUMIF(61:61,C8,62:62)+100</f>
        <v>100</v>
      </c>
      <c r="K8" s="2593"/>
      <c r="L8" s="1131"/>
      <c r="M8" s="1132"/>
      <c r="N8" s="1132"/>
      <c r="O8" s="1132"/>
      <c r="P8" s="3232" t="s">
        <v>2541</v>
      </c>
      <c r="Q8" s="3234"/>
      <c r="R8" s="770" t="s">
        <v>23</v>
      </c>
      <c r="S8" s="771">
        <f t="shared" si="0"/>
        <v>100</v>
      </c>
      <c r="T8" s="770" t="s">
        <v>23</v>
      </c>
      <c r="U8" s="771">
        <f t="shared" si="1"/>
        <v>100</v>
      </c>
      <c r="V8" s="770" t="s">
        <v>23</v>
      </c>
      <c r="W8" s="771">
        <f t="shared" si="2"/>
        <v>100</v>
      </c>
      <c r="X8" s="772"/>
      <c r="Y8" s="3232" t="s">
        <v>2541</v>
      </c>
      <c r="Z8" s="3234"/>
      <c r="AA8" s="773">
        <f t="shared" ref="AA8:AA19" si="3">D8/F8</f>
        <v>1</v>
      </c>
      <c r="AB8" s="773">
        <f t="shared" ref="AB8:AB19" si="4">D8/H8</f>
        <v>1</v>
      </c>
      <c r="AC8" s="773">
        <f t="shared" ref="AC8:AC19" si="5">D8/J8</f>
        <v>1</v>
      </c>
    </row>
    <row r="9" spans="1:29" s="117" customFormat="1" ht="14.4">
      <c r="A9" s="415" t="s">
        <v>2542</v>
      </c>
      <c r="B9" s="71" t="s">
        <v>2543</v>
      </c>
      <c r="C9" s="2968" t="s">
        <v>3477</v>
      </c>
      <c r="D9" s="135">
        <v>100</v>
      </c>
      <c r="E9" s="417" t="s">
        <v>3418</v>
      </c>
      <c r="F9" s="418">
        <f>SUMIF(63:63,E9,64:64)-SUMIF(63:63,C9,64:64)+100</f>
        <v>100</v>
      </c>
      <c r="G9" s="417" t="s">
        <v>3418</v>
      </c>
      <c r="H9" s="135">
        <f>SUMIF(63:63,G9,64:64)-SUMIF(63:63,C9,64:64)+100</f>
        <v>100</v>
      </c>
      <c r="I9" s="417" t="s">
        <v>3418</v>
      </c>
      <c r="J9" s="135">
        <f>SUMIF(63:63,I9,64:64)-SUMIF(63:63,C9,64:64)+100</f>
        <v>100</v>
      </c>
      <c r="K9" s="2593"/>
      <c r="L9" s="1131"/>
      <c r="M9" s="1132"/>
      <c r="N9" s="1132"/>
      <c r="O9" s="1132"/>
      <c r="P9" s="3235" t="s">
        <v>2544</v>
      </c>
      <c r="Q9" s="2947" t="str">
        <f t="shared" ref="Q9:Q15" si="6">B9</f>
        <v>用途</v>
      </c>
      <c r="R9" s="770" t="s">
        <v>17</v>
      </c>
      <c r="S9" s="771">
        <f t="shared" si="0"/>
        <v>100</v>
      </c>
      <c r="T9" s="770" t="s">
        <v>17</v>
      </c>
      <c r="U9" s="771">
        <f t="shared" si="1"/>
        <v>100</v>
      </c>
      <c r="V9" s="770" t="s">
        <v>17</v>
      </c>
      <c r="W9" s="771">
        <f t="shared" si="2"/>
        <v>100</v>
      </c>
      <c r="X9" s="772"/>
      <c r="Y9" s="3024" t="s">
        <v>2545</v>
      </c>
      <c r="Z9" s="2948" t="str">
        <f t="shared" ref="Z9:Z15" si="7">Q9</f>
        <v>用途</v>
      </c>
      <c r="AA9" s="773">
        <f t="shared" si="3"/>
        <v>1</v>
      </c>
      <c r="AB9" s="773">
        <f t="shared" si="4"/>
        <v>1</v>
      </c>
      <c r="AC9" s="773">
        <f t="shared" si="5"/>
        <v>1</v>
      </c>
    </row>
    <row r="10" spans="1:29" s="427" customFormat="1" ht="28.8">
      <c r="A10" s="421"/>
      <c r="B10" s="2949" t="s">
        <v>2546</v>
      </c>
      <c r="C10" s="423" t="s">
        <v>3478</v>
      </c>
      <c r="D10" s="136">
        <v>100</v>
      </c>
      <c r="E10" s="424" t="s">
        <v>3478</v>
      </c>
      <c r="F10" s="425">
        <f>SUMIF(65:65,E10,66:66)-SUMIF(65:65,C10,66:66)+100</f>
        <v>100</v>
      </c>
      <c r="G10" s="424" t="s">
        <v>3478</v>
      </c>
      <c r="H10" s="136">
        <f>SUMIF(65:65,G10,66:66)-SUMIF(65:65,C10,66:66)+100</f>
        <v>100</v>
      </c>
      <c r="I10" s="424" t="s">
        <v>3478</v>
      </c>
      <c r="J10" s="136">
        <f>SUMIF(65:65,I10,66:66)-SUMIF(65:65,C10,66:66)+100</f>
        <v>100</v>
      </c>
      <c r="K10" s="426">
        <v>1</v>
      </c>
      <c r="L10" s="1134"/>
      <c r="M10" s="1135"/>
      <c r="N10" s="1135"/>
      <c r="O10" s="1135"/>
      <c r="P10" s="3235"/>
      <c r="Q10" s="2947" t="str">
        <f t="shared" si="6"/>
        <v>土地使用年限（年）</v>
      </c>
      <c r="R10" s="770" t="s">
        <v>17</v>
      </c>
      <c r="S10" s="771">
        <f t="shared" si="0"/>
        <v>100</v>
      </c>
      <c r="T10" s="770" t="s">
        <v>17</v>
      </c>
      <c r="U10" s="771">
        <f t="shared" si="1"/>
        <v>100</v>
      </c>
      <c r="V10" s="770" t="s">
        <v>17</v>
      </c>
      <c r="W10" s="771">
        <f t="shared" si="2"/>
        <v>100</v>
      </c>
      <c r="X10" s="772"/>
      <c r="Y10" s="3024"/>
      <c r="Z10" s="2948" t="str">
        <f t="shared" si="7"/>
        <v>土地使用年限（年）</v>
      </c>
      <c r="AA10" s="773">
        <f t="shared" si="3"/>
        <v>1</v>
      </c>
      <c r="AB10" s="773">
        <f t="shared" si="4"/>
        <v>1</v>
      </c>
      <c r="AC10" s="773">
        <f t="shared" si="5"/>
        <v>1</v>
      </c>
    </row>
    <row r="11" spans="1:29" ht="15.6" thickBot="1">
      <c r="A11" s="428"/>
      <c r="B11" s="2949" t="s">
        <v>2547</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3</v>
      </c>
      <c r="L11" s="1137"/>
      <c r="M11" s="1130"/>
      <c r="N11" s="1130"/>
      <c r="O11" s="1130"/>
      <c r="P11" s="3235"/>
      <c r="Q11" s="2947" t="str">
        <f t="shared" si="6"/>
        <v>容积率</v>
      </c>
      <c r="R11" s="770" t="s">
        <v>21</v>
      </c>
      <c r="S11" s="771">
        <f t="shared" si="0"/>
        <v>100</v>
      </c>
      <c r="T11" s="770" t="s">
        <v>21</v>
      </c>
      <c r="U11" s="771">
        <f t="shared" si="1"/>
        <v>100</v>
      </c>
      <c r="V11" s="770" t="s">
        <v>21</v>
      </c>
      <c r="W11" s="771">
        <f t="shared" si="2"/>
        <v>100</v>
      </c>
      <c r="X11" s="772"/>
      <c r="Y11" s="3024"/>
      <c r="Z11" s="2948" t="str">
        <f t="shared" si="7"/>
        <v>容积率</v>
      </c>
      <c r="AA11" s="773">
        <f t="shared" si="3"/>
        <v>1</v>
      </c>
      <c r="AB11" s="773">
        <f t="shared" si="4"/>
        <v>1</v>
      </c>
      <c r="AC11" s="773">
        <f t="shared" si="5"/>
        <v>1</v>
      </c>
    </row>
    <row r="12" spans="1:29" s="117" customFormat="1" ht="15.6" hidden="1" thickBot="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1"/>
      <c r="M12" s="1132"/>
      <c r="N12" s="1132"/>
      <c r="O12" s="1132"/>
      <c r="P12" s="3235"/>
      <c r="Q12" s="2947">
        <f t="shared" si="6"/>
        <v>111</v>
      </c>
      <c r="R12" s="770" t="s">
        <v>21</v>
      </c>
      <c r="S12" s="771">
        <f t="shared" si="0"/>
        <v>100</v>
      </c>
      <c r="T12" s="770" t="s">
        <v>21</v>
      </c>
      <c r="U12" s="771">
        <f t="shared" si="1"/>
        <v>100</v>
      </c>
      <c r="V12" s="770" t="s">
        <v>21</v>
      </c>
      <c r="W12" s="771">
        <f t="shared" si="2"/>
        <v>100</v>
      </c>
      <c r="X12" s="772"/>
      <c r="Y12" s="3024"/>
      <c r="Z12" s="2948">
        <f t="shared" si="7"/>
        <v>111</v>
      </c>
      <c r="AA12" s="773">
        <f>D12/F12</f>
        <v>1</v>
      </c>
      <c r="AB12" s="773">
        <f>D12/H12</f>
        <v>1</v>
      </c>
      <c r="AC12" s="773">
        <f>D12/J12</f>
        <v>1</v>
      </c>
    </row>
    <row r="13" spans="1:29" ht="15.6" hidden="1" thickBot="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9"/>
      <c r="M13" s="1130"/>
      <c r="N13" s="1130"/>
      <c r="O13" s="1130"/>
      <c r="P13" s="3235"/>
      <c r="Q13" s="2947">
        <f t="shared" si="6"/>
        <v>111</v>
      </c>
      <c r="R13" s="770" t="s">
        <v>21</v>
      </c>
      <c r="S13" s="771">
        <f t="shared" si="0"/>
        <v>100</v>
      </c>
      <c r="T13" s="770" t="s">
        <v>21</v>
      </c>
      <c r="U13" s="771">
        <f t="shared" si="1"/>
        <v>100</v>
      </c>
      <c r="V13" s="770" t="s">
        <v>21</v>
      </c>
      <c r="W13" s="771">
        <f t="shared" si="2"/>
        <v>100</v>
      </c>
      <c r="X13" s="772"/>
      <c r="Y13" s="3024"/>
      <c r="Z13" s="2948">
        <f t="shared" si="7"/>
        <v>111</v>
      </c>
      <c r="AA13" s="773">
        <f t="shared" si="3"/>
        <v>1</v>
      </c>
      <c r="AB13" s="773">
        <f t="shared" si="4"/>
        <v>1</v>
      </c>
      <c r="AC13" s="773">
        <f t="shared" si="5"/>
        <v>1</v>
      </c>
    </row>
    <row r="14" spans="1:29" ht="15.6"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9"/>
      <c r="M14" s="1130"/>
      <c r="N14" s="1130"/>
      <c r="O14" s="1130"/>
      <c r="P14" s="3235"/>
      <c r="Q14" s="2947">
        <f t="shared" si="6"/>
        <v>111</v>
      </c>
      <c r="R14" s="770" t="s">
        <v>21</v>
      </c>
      <c r="S14" s="771">
        <f t="shared" si="0"/>
        <v>100</v>
      </c>
      <c r="T14" s="770" t="s">
        <v>21</v>
      </c>
      <c r="U14" s="771">
        <f t="shared" si="1"/>
        <v>100</v>
      </c>
      <c r="V14" s="770" t="s">
        <v>21</v>
      </c>
      <c r="W14" s="771">
        <f t="shared" si="2"/>
        <v>100</v>
      </c>
      <c r="X14" s="772"/>
      <c r="Y14" s="3024"/>
      <c r="Z14" s="2948">
        <f t="shared" si="7"/>
        <v>111</v>
      </c>
      <c r="AA14" s="773">
        <f t="shared" si="3"/>
        <v>1</v>
      </c>
      <c r="AB14" s="773">
        <f t="shared" si="4"/>
        <v>1</v>
      </c>
      <c r="AC14" s="773">
        <f t="shared" si="5"/>
        <v>1</v>
      </c>
    </row>
    <row r="15" spans="1:29" ht="15">
      <c r="A15" s="440" t="s">
        <v>2548</v>
      </c>
      <c r="B15" s="69" t="s">
        <v>2080</v>
      </c>
      <c r="C15" s="2597" t="str">
        <f>估价对象房地状况!C3</f>
        <v>较差</v>
      </c>
      <c r="D15" s="441">
        <v>100</v>
      </c>
      <c r="E15" s="444"/>
      <c r="F15" s="441">
        <f>SUMIF(76:76,E16,77:77)-SUMIF(76:76,C16,77:77)+100</f>
        <v>100</v>
      </c>
      <c r="G15" s="442"/>
      <c r="H15" s="441">
        <f>SUMIF(76:76,G16,77:77)-SUMIF(76:76,C16,77:77)+100</f>
        <v>100</v>
      </c>
      <c r="I15" s="442"/>
      <c r="J15" s="441">
        <f>SUMIF(76:76,I16,77:77)-SUMIF(76:76,C16,77:77)+100</f>
        <v>104</v>
      </c>
      <c r="K15" s="445">
        <f>'土地比较法-住宅、综合'!K15</f>
        <v>2</v>
      </c>
      <c r="L15" s="1139"/>
      <c r="M15" s="1130"/>
      <c r="N15" s="1130"/>
      <c r="O15" s="1130"/>
      <c r="P15" s="3236" t="s">
        <v>2549</v>
      </c>
      <c r="Q15" s="2952" t="str">
        <f t="shared" si="6"/>
        <v>居住社区成熟度</v>
      </c>
      <c r="R15" s="774" t="s">
        <v>21</v>
      </c>
      <c r="S15" s="775">
        <f t="shared" si="0"/>
        <v>100</v>
      </c>
      <c r="T15" s="774" t="s">
        <v>21</v>
      </c>
      <c r="U15" s="775">
        <f t="shared" si="1"/>
        <v>100</v>
      </c>
      <c r="V15" s="774" t="s">
        <v>21</v>
      </c>
      <c r="W15" s="775">
        <f t="shared" si="2"/>
        <v>104</v>
      </c>
      <c r="X15" s="2950"/>
      <c r="Y15" s="3238" t="s">
        <v>2549</v>
      </c>
      <c r="Z15" s="2951" t="str">
        <f t="shared" si="7"/>
        <v>居住社区成熟度</v>
      </c>
      <c r="AA15" s="2953">
        <f t="shared" si="3"/>
        <v>1</v>
      </c>
      <c r="AB15" s="2953">
        <f t="shared" si="4"/>
        <v>1</v>
      </c>
      <c r="AC15" s="2953">
        <f t="shared" si="5"/>
        <v>0.96153846153846156</v>
      </c>
    </row>
    <row r="16" spans="1:29" ht="15">
      <c r="A16" s="428"/>
      <c r="B16" s="446"/>
      <c r="C16" s="447" t="s">
        <v>3430</v>
      </c>
      <c r="D16" s="448"/>
      <c r="E16" s="447" t="s">
        <v>3430</v>
      </c>
      <c r="F16" s="448"/>
      <c r="G16" s="2604" t="s">
        <v>3430</v>
      </c>
      <c r="H16" s="450"/>
      <c r="I16" s="2599" t="s">
        <v>3443</v>
      </c>
      <c r="J16" s="448"/>
      <c r="K16" s="2600"/>
      <c r="L16" s="1139"/>
      <c r="M16" s="1130"/>
      <c r="N16" s="1130"/>
      <c r="O16" s="1130"/>
      <c r="P16" s="3237"/>
      <c r="Q16" s="2952"/>
      <c r="R16" s="774"/>
      <c r="S16" s="775"/>
      <c r="T16" s="774"/>
      <c r="U16" s="775"/>
      <c r="V16" s="774"/>
      <c r="W16" s="775"/>
      <c r="X16" s="2950"/>
      <c r="Y16" s="3239"/>
      <c r="Z16" s="2951"/>
      <c r="AA16" s="2953">
        <v>1</v>
      </c>
      <c r="AB16" s="2953">
        <v>1</v>
      </c>
      <c r="AC16" s="2953">
        <v>1</v>
      </c>
    </row>
    <row r="17" spans="1:29" ht="15">
      <c r="A17" s="428"/>
      <c r="B17" s="451" t="s">
        <v>2089</v>
      </c>
      <c r="C17" s="2601" t="str">
        <f>估价对象房地状况!C6</f>
        <v>差</v>
      </c>
      <c r="D17" s="450">
        <v>100</v>
      </c>
      <c r="E17" s="454"/>
      <c r="F17" s="450">
        <f>SUMIF(78:78,E18,79:79)-SUMIF(78:78,C18,79:79)+100</f>
        <v>100</v>
      </c>
      <c r="G17" s="452"/>
      <c r="H17" s="455">
        <f>SUMIF(78:78,G18,79:79)-SUMIF(78:78,C18,79:79)+100</f>
        <v>100</v>
      </c>
      <c r="I17" s="452"/>
      <c r="J17" s="455">
        <f>SUMIF(78:78,I18,79:79)-SUMIF(78:78,C18,79:79)+100</f>
        <v>102</v>
      </c>
      <c r="K17" s="445">
        <f>'土地比较法-住宅、综合'!K21</f>
        <v>1</v>
      </c>
      <c r="L17" s="1139"/>
      <c r="M17" s="1130"/>
      <c r="N17" s="1130"/>
      <c r="O17" s="1130"/>
      <c r="P17" s="3237"/>
      <c r="Q17" s="2952" t="str">
        <f>B17</f>
        <v>交通便捷度</v>
      </c>
      <c r="R17" s="774" t="s">
        <v>21</v>
      </c>
      <c r="S17" s="775">
        <f>F17</f>
        <v>100</v>
      </c>
      <c r="T17" s="774" t="s">
        <v>21</v>
      </c>
      <c r="U17" s="775">
        <f>H17</f>
        <v>100</v>
      </c>
      <c r="V17" s="774" t="s">
        <v>21</v>
      </c>
      <c r="W17" s="775">
        <f>J17</f>
        <v>102</v>
      </c>
      <c r="X17" s="2950"/>
      <c r="Y17" s="3239"/>
      <c r="Z17" s="2951" t="str">
        <f>Q17</f>
        <v>交通便捷度</v>
      </c>
      <c r="AA17" s="2953">
        <f t="shared" si="3"/>
        <v>1</v>
      </c>
      <c r="AB17" s="2953">
        <f t="shared" si="4"/>
        <v>1</v>
      </c>
      <c r="AC17" s="2953">
        <f t="shared" si="5"/>
        <v>0.98039215686274506</v>
      </c>
    </row>
    <row r="18" spans="1:29" ht="15">
      <c r="A18" s="428"/>
      <c r="B18" s="456"/>
      <c r="C18" s="2602" t="s">
        <v>3432</v>
      </c>
      <c r="D18" s="450"/>
      <c r="E18" s="2602" t="s">
        <v>3432</v>
      </c>
      <c r="F18" s="450"/>
      <c r="G18" s="2602" t="s">
        <v>3432</v>
      </c>
      <c r="H18" s="448"/>
      <c r="I18" s="2604" t="s">
        <v>3436</v>
      </c>
      <c r="J18" s="448"/>
      <c r="K18" s="2600"/>
      <c r="L18" s="1139"/>
      <c r="M18" s="1130"/>
      <c r="N18" s="1130"/>
      <c r="O18" s="1130"/>
      <c r="P18" s="3237"/>
      <c r="Q18" s="2952"/>
      <c r="R18" s="774"/>
      <c r="S18" s="775"/>
      <c r="T18" s="774"/>
      <c r="U18" s="775"/>
      <c r="V18" s="774"/>
      <c r="W18" s="775"/>
      <c r="X18" s="2950"/>
      <c r="Y18" s="3239"/>
      <c r="Z18" s="2951"/>
      <c r="AA18" s="2953">
        <v>1</v>
      </c>
      <c r="AB18" s="2953">
        <v>1</v>
      </c>
      <c r="AC18" s="2953">
        <v>1</v>
      </c>
    </row>
    <row r="19" spans="1:29" ht="15">
      <c r="A19" s="428"/>
      <c r="B19" s="451" t="s">
        <v>2087</v>
      </c>
      <c r="C19" s="2601" t="str">
        <f>估价对象房地状况!C7</f>
        <v>差</v>
      </c>
      <c r="D19" s="455">
        <v>100</v>
      </c>
      <c r="E19" s="459"/>
      <c r="F19" s="455">
        <f>SUMIF(80:80,E20,81:81)-SUMIF(80:80,C20,81:81)+100</f>
        <v>100</v>
      </c>
      <c r="G19" s="457"/>
      <c r="H19" s="450">
        <f>SUMIF(80:80,G20,81:81)-SUMIF(80:80,C20,81:81)+100</f>
        <v>100</v>
      </c>
      <c r="I19" s="457"/>
      <c r="J19" s="450">
        <f>SUMIF(80:80,I20,81:81)-SUMIF(80:80,C20,81:81)+100</f>
        <v>103</v>
      </c>
      <c r="K19" s="445">
        <f>'土地比较法-住宅、综合'!K27</f>
        <v>1</v>
      </c>
      <c r="L19" s="1139"/>
      <c r="M19" s="1130"/>
      <c r="N19" s="1130"/>
      <c r="O19" s="1130"/>
      <c r="P19" s="3237"/>
      <c r="Q19" s="2952" t="str">
        <f>B19</f>
        <v>公共配套设施</v>
      </c>
      <c r="R19" s="774" t="s">
        <v>21</v>
      </c>
      <c r="S19" s="775">
        <f>F19</f>
        <v>100</v>
      </c>
      <c r="T19" s="774" t="s">
        <v>21</v>
      </c>
      <c r="U19" s="775">
        <f>H19</f>
        <v>100</v>
      </c>
      <c r="V19" s="774" t="s">
        <v>21</v>
      </c>
      <c r="W19" s="775">
        <f>J19</f>
        <v>103</v>
      </c>
      <c r="X19" s="2950"/>
      <c r="Y19" s="3239"/>
      <c r="Z19" s="2951" t="str">
        <f>Q19</f>
        <v>公共配套设施</v>
      </c>
      <c r="AA19" s="2953">
        <f t="shared" si="3"/>
        <v>1</v>
      </c>
      <c r="AB19" s="2953">
        <f t="shared" si="4"/>
        <v>1</v>
      </c>
      <c r="AC19" s="2953">
        <f t="shared" si="5"/>
        <v>0.970873786407767</v>
      </c>
    </row>
    <row r="20" spans="1:29" ht="15">
      <c r="A20" s="428"/>
      <c r="B20" s="456"/>
      <c r="C20" s="447" t="s">
        <v>3432</v>
      </c>
      <c r="D20" s="448"/>
      <c r="E20" s="447" t="s">
        <v>3432</v>
      </c>
      <c r="F20" s="448"/>
      <c r="G20" s="447" t="s">
        <v>3432</v>
      </c>
      <c r="H20" s="448"/>
      <c r="I20" s="2599" t="s">
        <v>3443</v>
      </c>
      <c r="J20" s="448"/>
      <c r="K20" s="2600"/>
      <c r="L20" s="1139"/>
      <c r="M20" s="1130"/>
      <c r="N20" s="1130"/>
      <c r="O20" s="1130"/>
      <c r="P20" s="3237"/>
      <c r="Q20" s="2952"/>
      <c r="R20" s="774"/>
      <c r="S20" s="775"/>
      <c r="T20" s="774"/>
      <c r="U20" s="775"/>
      <c r="V20" s="774"/>
      <c r="W20" s="775"/>
      <c r="X20" s="2950"/>
      <c r="Y20" s="3239"/>
      <c r="Z20" s="2951"/>
      <c r="AA20" s="2953">
        <v>1</v>
      </c>
      <c r="AB20" s="2953">
        <v>1</v>
      </c>
      <c r="AC20" s="2953">
        <v>1</v>
      </c>
    </row>
    <row r="21" spans="1:29" ht="15">
      <c r="A21" s="428"/>
      <c r="B21" s="1383" t="s">
        <v>2090</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39"/>
      <c r="M21" s="1130"/>
      <c r="N21" s="1130"/>
      <c r="O21" s="1130"/>
      <c r="P21" s="3237"/>
      <c r="Q21" s="2952" t="str">
        <f>B21</f>
        <v>基础设施水平</v>
      </c>
      <c r="R21" s="774" t="s">
        <v>17</v>
      </c>
      <c r="S21" s="775">
        <f>F21</f>
        <v>100</v>
      </c>
      <c r="T21" s="774" t="s">
        <v>17</v>
      </c>
      <c r="U21" s="775">
        <f>H21</f>
        <v>100</v>
      </c>
      <c r="V21" s="774" t="s">
        <v>17</v>
      </c>
      <c r="W21" s="775">
        <f>J21</f>
        <v>100</v>
      </c>
      <c r="X21" s="2950"/>
      <c r="Y21" s="3239"/>
      <c r="Z21" s="2951" t="str">
        <f>Q21</f>
        <v>基础设施水平</v>
      </c>
      <c r="AA21" s="2953">
        <f>D21/F21</f>
        <v>1</v>
      </c>
      <c r="AB21" s="2953">
        <f>D21/H21</f>
        <v>1</v>
      </c>
      <c r="AC21" s="2953">
        <f>D21/J21</f>
        <v>1</v>
      </c>
    </row>
    <row r="22" spans="1:29" ht="15">
      <c r="A22" s="428"/>
      <c r="B22" s="1383"/>
      <c r="C22" s="2602" t="s">
        <v>3434</v>
      </c>
      <c r="D22" s="448"/>
      <c r="E22" s="2602" t="s">
        <v>3434</v>
      </c>
      <c r="F22" s="448"/>
      <c r="G22" s="2602" t="s">
        <v>3434</v>
      </c>
      <c r="H22" s="448"/>
      <c r="I22" s="2602" t="s">
        <v>3434</v>
      </c>
      <c r="J22" s="448"/>
      <c r="K22" s="2606"/>
      <c r="L22" s="1139"/>
      <c r="M22" s="1130"/>
      <c r="N22" s="1130"/>
      <c r="O22" s="1130"/>
      <c r="P22" s="3237"/>
      <c r="Q22" s="2952"/>
      <c r="R22" s="774"/>
      <c r="S22" s="775"/>
      <c r="T22" s="774"/>
      <c r="U22" s="775"/>
      <c r="V22" s="774"/>
      <c r="W22" s="775"/>
      <c r="X22" s="2950"/>
      <c r="Y22" s="3239"/>
      <c r="Z22" s="2951"/>
      <c r="AA22" s="2953">
        <v>1</v>
      </c>
      <c r="AB22" s="2953">
        <v>1</v>
      </c>
      <c r="AC22" s="2953">
        <v>1</v>
      </c>
    </row>
    <row r="23" spans="1:29" ht="15">
      <c r="A23" s="428"/>
      <c r="B23" s="451" t="s">
        <v>2094</v>
      </c>
      <c r="C23" s="2601" t="str">
        <f>估价对象房地状况!C9</f>
        <v>一般</v>
      </c>
      <c r="D23" s="450">
        <v>100</v>
      </c>
      <c r="E23" s="454"/>
      <c r="F23" s="450">
        <f>SUMIF(84:84,E24,85:85)-SUMIF(84:84,C24,85:85)+100</f>
        <v>100</v>
      </c>
      <c r="G23" s="452"/>
      <c r="H23" s="450">
        <f>SUMIF(84:84,G24,85:85)-SUMIF(84:84,C24,85:85)+100</f>
        <v>100</v>
      </c>
      <c r="I23" s="452"/>
      <c r="J23" s="450">
        <f>SUMIF(84:84,I24,85:85)-SUMIF(84:84,C24,85:85)+100</f>
        <v>101</v>
      </c>
      <c r="K23" s="445">
        <f>'土地比较法-住宅、综合'!K25</f>
        <v>1</v>
      </c>
      <c r="L23" s="1139"/>
      <c r="M23" s="1130"/>
      <c r="N23" s="1130"/>
      <c r="O23" s="1130"/>
      <c r="P23" s="3237"/>
      <c r="Q23" s="2952" t="str">
        <f>B23</f>
        <v>自然及人文环境</v>
      </c>
      <c r="R23" s="774" t="s">
        <v>21</v>
      </c>
      <c r="S23" s="775">
        <f>F23</f>
        <v>100</v>
      </c>
      <c r="T23" s="774" t="s">
        <v>21</v>
      </c>
      <c r="U23" s="775">
        <f>H23</f>
        <v>100</v>
      </c>
      <c r="V23" s="774" t="s">
        <v>21</v>
      </c>
      <c r="W23" s="775">
        <f>J23</f>
        <v>101</v>
      </c>
      <c r="X23" s="2950"/>
      <c r="Y23" s="3239"/>
      <c r="Z23" s="2951" t="str">
        <f>Q23</f>
        <v>自然及人文环境</v>
      </c>
      <c r="AA23" s="2953">
        <f>D23/F23</f>
        <v>1</v>
      </c>
      <c r="AB23" s="2953">
        <f>D23/H23</f>
        <v>1</v>
      </c>
      <c r="AC23" s="2953">
        <f>D23/J23</f>
        <v>0.99009900990099009</v>
      </c>
    </row>
    <row r="24" spans="1:29" ht="15.6" thickBot="1">
      <c r="A24" s="428"/>
      <c r="B24" s="456"/>
      <c r="C24" s="447" t="s">
        <v>3436</v>
      </c>
      <c r="D24" s="448"/>
      <c r="E24" s="447" t="s">
        <v>3436</v>
      </c>
      <c r="F24" s="448"/>
      <c r="G24" s="2599" t="s">
        <v>3436</v>
      </c>
      <c r="H24" s="448"/>
      <c r="I24" s="2599" t="s">
        <v>3443</v>
      </c>
      <c r="J24" s="448"/>
      <c r="K24" s="2600"/>
      <c r="L24" s="1139"/>
      <c r="M24" s="1130"/>
      <c r="N24" s="1130"/>
      <c r="O24" s="1130"/>
      <c r="P24" s="3237"/>
      <c r="Q24" s="2952"/>
      <c r="R24" s="774"/>
      <c r="S24" s="775"/>
      <c r="T24" s="774"/>
      <c r="U24" s="775"/>
      <c r="V24" s="774"/>
      <c r="W24" s="775"/>
      <c r="X24" s="2950"/>
      <c r="Y24" s="3239"/>
      <c r="Z24" s="2951"/>
      <c r="AA24" s="2953">
        <v>1</v>
      </c>
      <c r="AB24" s="2953">
        <v>1</v>
      </c>
      <c r="AC24" s="2953">
        <v>1</v>
      </c>
    </row>
    <row r="25" spans="1:29" ht="15.6" hidden="1" thickBot="1">
      <c r="A25" s="428"/>
      <c r="B25" s="2949" t="s">
        <v>2550</v>
      </c>
      <c r="C25" s="460"/>
      <c r="D25" s="435">
        <v>100</v>
      </c>
      <c r="E25" s="2607"/>
      <c r="F25" s="435">
        <f>SUMIF(86:86,E25,87:87)-SUMIF(86:86,C25,87:87)+100</f>
        <v>100</v>
      </c>
      <c r="G25" s="2608"/>
      <c r="H25" s="435">
        <f>SUMIF(86:86,G25,87:87)-SUMIF(86:86,C25,87:87)+100</f>
        <v>100</v>
      </c>
      <c r="I25" s="2608"/>
      <c r="J25" s="435">
        <f>SUMIF(86:86,I25,87:87)-SUMIF(86:86,C25,87:87)+100</f>
        <v>100</v>
      </c>
      <c r="K25" s="426"/>
      <c r="L25" s="1139"/>
      <c r="M25" s="1130"/>
      <c r="N25" s="1130"/>
      <c r="O25" s="1130"/>
      <c r="P25" s="3237"/>
      <c r="Q25" s="2952" t="str">
        <f t="shared" ref="Q25:Q46" si="8">B25</f>
        <v>楼层-1</v>
      </c>
      <c r="R25" s="774" t="s">
        <v>21</v>
      </c>
      <c r="S25" s="775">
        <f t="shared" ref="S25:S46" si="9">F25</f>
        <v>100</v>
      </c>
      <c r="T25" s="774" t="s">
        <v>21</v>
      </c>
      <c r="U25" s="775">
        <f t="shared" ref="U25:U46" si="10">H25</f>
        <v>100</v>
      </c>
      <c r="V25" s="774" t="s">
        <v>21</v>
      </c>
      <c r="W25" s="775">
        <f t="shared" ref="W25:W46" si="11">J25</f>
        <v>100</v>
      </c>
      <c r="X25" s="2950"/>
      <c r="Y25" s="3239"/>
      <c r="Z25" s="2951" t="str">
        <f>Q25</f>
        <v>楼层-1</v>
      </c>
      <c r="AA25" s="2953">
        <f t="shared" ref="AA25:AA46" si="12">D25/F25</f>
        <v>1</v>
      </c>
      <c r="AB25" s="2953">
        <f t="shared" ref="AB25:AB46" si="13">D25/H25</f>
        <v>1</v>
      </c>
      <c r="AC25" s="2953">
        <f t="shared" ref="AC25:AC46" si="14">D25/J25</f>
        <v>1</v>
      </c>
    </row>
    <row r="26" spans="1:29" ht="15.6" hidden="1" thickBot="1">
      <c r="A26" s="428"/>
      <c r="B26" s="2949" t="s">
        <v>2551</v>
      </c>
      <c r="C26" s="460"/>
      <c r="D26" s="435">
        <v>100</v>
      </c>
      <c r="E26" s="2607"/>
      <c r="F26" s="435">
        <f>SUMIF(88:88,E26,89:89)-SUMIF(88:88,C26,89:89)+100</f>
        <v>100</v>
      </c>
      <c r="G26" s="2608"/>
      <c r="H26" s="435">
        <f>SUMIF(88:88,G26,89:89)-SUMIF(88:88,C26,89:89)+100</f>
        <v>100</v>
      </c>
      <c r="I26" s="2608"/>
      <c r="J26" s="435">
        <f>SUMIF(88:88,I26,89:89)-SUMIF(88:88,C26,89:89)+100</f>
        <v>100</v>
      </c>
      <c r="K26" s="426"/>
      <c r="L26" s="1139"/>
      <c r="M26" s="1130"/>
      <c r="N26" s="1130"/>
      <c r="O26" s="1130"/>
      <c r="P26" s="3237"/>
      <c r="Q26" s="2952" t="str">
        <f t="shared" si="8"/>
        <v>朝向</v>
      </c>
      <c r="R26" s="774" t="s">
        <v>21</v>
      </c>
      <c r="S26" s="775">
        <f t="shared" si="9"/>
        <v>100</v>
      </c>
      <c r="T26" s="774" t="s">
        <v>21</v>
      </c>
      <c r="U26" s="775">
        <f t="shared" si="10"/>
        <v>100</v>
      </c>
      <c r="V26" s="774" t="s">
        <v>21</v>
      </c>
      <c r="W26" s="775">
        <f t="shared" si="11"/>
        <v>100</v>
      </c>
      <c r="X26" s="2950"/>
      <c r="Y26" s="3239"/>
      <c r="Z26" s="2951" t="str">
        <f>Q26</f>
        <v>朝向</v>
      </c>
      <c r="AA26" s="2953">
        <f t="shared" si="12"/>
        <v>1</v>
      </c>
      <c r="AB26" s="2953">
        <f t="shared" si="13"/>
        <v>1</v>
      </c>
      <c r="AC26" s="2953">
        <f t="shared" si="14"/>
        <v>1</v>
      </c>
    </row>
    <row r="27" spans="1:29" s="117" customFormat="1" ht="15.6" hidden="1" thickBot="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1"/>
      <c r="M27" s="1132"/>
      <c r="N27" s="1132"/>
      <c r="O27" s="1132"/>
      <c r="P27" s="3237"/>
      <c r="Q27" s="2947">
        <f t="shared" si="8"/>
        <v>111</v>
      </c>
      <c r="R27" s="770" t="s">
        <v>21</v>
      </c>
      <c r="S27" s="771">
        <f t="shared" si="9"/>
        <v>100</v>
      </c>
      <c r="T27" s="770" t="s">
        <v>21</v>
      </c>
      <c r="U27" s="771">
        <f t="shared" si="10"/>
        <v>100</v>
      </c>
      <c r="V27" s="770" t="s">
        <v>21</v>
      </c>
      <c r="W27" s="771">
        <f t="shared" si="11"/>
        <v>100</v>
      </c>
      <c r="X27" s="772"/>
      <c r="Y27" s="3239"/>
      <c r="Z27" s="2948">
        <f>Q27</f>
        <v>111</v>
      </c>
      <c r="AA27" s="2953">
        <f t="shared" si="12"/>
        <v>1</v>
      </c>
      <c r="AB27" s="2953">
        <f t="shared" si="13"/>
        <v>1</v>
      </c>
      <c r="AC27" s="2953">
        <f t="shared" si="14"/>
        <v>1</v>
      </c>
    </row>
    <row r="28" spans="1:29" ht="15.6" hidden="1" thickBot="1">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39"/>
      <c r="M28" s="1130"/>
      <c r="N28" s="1130"/>
      <c r="O28" s="1130"/>
      <c r="P28" s="3237"/>
      <c r="Q28" s="2952">
        <f t="shared" si="8"/>
        <v>111</v>
      </c>
      <c r="R28" s="774" t="s">
        <v>21</v>
      </c>
      <c r="S28" s="775">
        <f t="shared" si="9"/>
        <v>100</v>
      </c>
      <c r="T28" s="774" t="s">
        <v>21</v>
      </c>
      <c r="U28" s="775">
        <f t="shared" si="10"/>
        <v>100</v>
      </c>
      <c r="V28" s="774" t="s">
        <v>21</v>
      </c>
      <c r="W28" s="775">
        <f t="shared" si="11"/>
        <v>100</v>
      </c>
      <c r="X28" s="2950"/>
      <c r="Y28" s="3239"/>
      <c r="Z28" s="2951">
        <f t="shared" ref="Z28:Z46" si="15">Q28</f>
        <v>111</v>
      </c>
      <c r="AA28" s="2953">
        <f t="shared" si="12"/>
        <v>1</v>
      </c>
      <c r="AB28" s="2953">
        <f t="shared" si="13"/>
        <v>1</v>
      </c>
      <c r="AC28" s="2953">
        <f t="shared" si="14"/>
        <v>1</v>
      </c>
    </row>
    <row r="29" spans="1:29" ht="15.6" hidden="1" thickBot="1">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39"/>
      <c r="M29" s="1130"/>
      <c r="N29" s="1130"/>
      <c r="O29" s="1130"/>
      <c r="P29" s="3237"/>
      <c r="Q29" s="2952">
        <f t="shared" si="8"/>
        <v>111</v>
      </c>
      <c r="R29" s="774" t="s">
        <v>21</v>
      </c>
      <c r="S29" s="775">
        <f t="shared" si="9"/>
        <v>100</v>
      </c>
      <c r="T29" s="774" t="s">
        <v>21</v>
      </c>
      <c r="U29" s="775">
        <f t="shared" si="10"/>
        <v>100</v>
      </c>
      <c r="V29" s="774" t="s">
        <v>21</v>
      </c>
      <c r="W29" s="775">
        <f t="shared" si="11"/>
        <v>100</v>
      </c>
      <c r="X29" s="2950"/>
      <c r="Y29" s="3239"/>
      <c r="Z29" s="2951">
        <f t="shared" si="15"/>
        <v>111</v>
      </c>
      <c r="AA29" s="2953">
        <f t="shared" si="12"/>
        <v>1</v>
      </c>
      <c r="AB29" s="2953">
        <f t="shared" si="13"/>
        <v>1</v>
      </c>
      <c r="AC29" s="2953">
        <f t="shared" si="14"/>
        <v>1</v>
      </c>
    </row>
    <row r="30" spans="1:29" ht="15.6" hidden="1" thickBot="1">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39"/>
      <c r="M30" s="1130"/>
      <c r="N30" s="1130"/>
      <c r="O30" s="1130"/>
      <c r="P30" s="3237"/>
      <c r="Q30" s="2952">
        <f t="shared" si="8"/>
        <v>111</v>
      </c>
      <c r="R30" s="774" t="s">
        <v>21</v>
      </c>
      <c r="S30" s="775">
        <f t="shared" si="9"/>
        <v>100</v>
      </c>
      <c r="T30" s="774" t="s">
        <v>21</v>
      </c>
      <c r="U30" s="775">
        <f t="shared" si="10"/>
        <v>100</v>
      </c>
      <c r="V30" s="774" t="s">
        <v>21</v>
      </c>
      <c r="W30" s="775">
        <f t="shared" si="11"/>
        <v>100</v>
      </c>
      <c r="X30" s="2950"/>
      <c r="Y30" s="3239"/>
      <c r="Z30" s="2951">
        <f t="shared" si="15"/>
        <v>111</v>
      </c>
      <c r="AA30" s="2953">
        <f t="shared" si="12"/>
        <v>1</v>
      </c>
      <c r="AB30" s="2953">
        <f t="shared" si="13"/>
        <v>1</v>
      </c>
      <c r="AC30" s="2953">
        <f t="shared" si="14"/>
        <v>1</v>
      </c>
    </row>
    <row r="31" spans="1:29" ht="15.6" hidden="1"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39"/>
      <c r="M31" s="1130"/>
      <c r="N31" s="1130"/>
      <c r="O31" s="1130"/>
      <c r="P31" s="3237"/>
      <c r="Q31" s="2952">
        <f t="shared" si="8"/>
        <v>111</v>
      </c>
      <c r="R31" s="774" t="s">
        <v>21</v>
      </c>
      <c r="S31" s="775">
        <f t="shared" si="9"/>
        <v>100</v>
      </c>
      <c r="T31" s="774" t="s">
        <v>21</v>
      </c>
      <c r="U31" s="775">
        <f t="shared" si="10"/>
        <v>100</v>
      </c>
      <c r="V31" s="774" t="s">
        <v>21</v>
      </c>
      <c r="W31" s="775">
        <f t="shared" si="11"/>
        <v>100</v>
      </c>
      <c r="X31" s="2950"/>
      <c r="Y31" s="3239"/>
      <c r="Z31" s="2951">
        <f t="shared" si="15"/>
        <v>111</v>
      </c>
      <c r="AA31" s="2953">
        <f t="shared" si="12"/>
        <v>1</v>
      </c>
      <c r="AB31" s="2953">
        <f t="shared" si="13"/>
        <v>1</v>
      </c>
      <c r="AC31" s="2953">
        <f t="shared" si="14"/>
        <v>1</v>
      </c>
    </row>
    <row r="32" spans="1:29" ht="15">
      <c r="A32" s="440" t="s">
        <v>2552</v>
      </c>
      <c r="B32" s="71" t="s">
        <v>2553</v>
      </c>
      <c r="C32" s="2611" t="s">
        <v>3471</v>
      </c>
      <c r="D32" s="467">
        <v>100</v>
      </c>
      <c r="E32" s="2611" t="s">
        <v>3473</v>
      </c>
      <c r="F32" s="461">
        <f>SUMIF(100:100,E32,101:101)-SUMIF(100:100,C32,101:101)+100</f>
        <v>108</v>
      </c>
      <c r="G32" s="2611" t="s">
        <v>3471</v>
      </c>
      <c r="H32" s="467">
        <f>SUMIF(100:100,G32,101:101)-SUMIF(100:100,C32,101:101)+100</f>
        <v>100</v>
      </c>
      <c r="I32" s="2611" t="s">
        <v>3471</v>
      </c>
      <c r="J32" s="435">
        <f>SUMIF(100:100,I32,101:101)-SUMIF(100:100,C32,101:101)+100</f>
        <v>100</v>
      </c>
      <c r="K32" s="426">
        <v>8</v>
      </c>
      <c r="L32" s="1139"/>
      <c r="M32" s="1130"/>
      <c r="N32" s="1130"/>
      <c r="O32" s="1130"/>
      <c r="P32" s="3240" t="s">
        <v>2554</v>
      </c>
      <c r="Q32" s="2952" t="str">
        <f t="shared" si="8"/>
        <v>建筑类型</v>
      </c>
      <c r="R32" s="774" t="s">
        <v>21</v>
      </c>
      <c r="S32" s="775">
        <f t="shared" si="9"/>
        <v>108</v>
      </c>
      <c r="T32" s="774" t="s">
        <v>21</v>
      </c>
      <c r="U32" s="775">
        <f t="shared" si="10"/>
        <v>100</v>
      </c>
      <c r="V32" s="774" t="s">
        <v>21</v>
      </c>
      <c r="W32" s="775">
        <f t="shared" si="11"/>
        <v>100</v>
      </c>
      <c r="X32" s="2950"/>
      <c r="Y32" s="3243" t="s">
        <v>2554</v>
      </c>
      <c r="Z32" s="2951" t="str">
        <f t="shared" si="15"/>
        <v>建筑类型</v>
      </c>
      <c r="AA32" s="2953">
        <f t="shared" si="12"/>
        <v>0.92592592592592593</v>
      </c>
      <c r="AB32" s="2953">
        <f t="shared" si="13"/>
        <v>1</v>
      </c>
      <c r="AC32" s="2953">
        <f t="shared" si="14"/>
        <v>1</v>
      </c>
    </row>
    <row r="33" spans="1:29" s="471" customFormat="1" ht="15">
      <c r="A33" s="468"/>
      <c r="B33" s="2949" t="s">
        <v>2555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5"/>
      <c r="L33" s="1137"/>
      <c r="M33" s="1140"/>
      <c r="N33" s="1140"/>
      <c r="O33" s="1140"/>
      <c r="P33" s="3241"/>
      <c r="Q33" s="776" t="str">
        <f t="shared" si="8"/>
        <v>项目建筑规模</v>
      </c>
      <c r="R33" s="777" t="s">
        <v>21</v>
      </c>
      <c r="S33" s="778">
        <f t="shared" si="9"/>
        <v>100</v>
      </c>
      <c r="T33" s="777" t="s">
        <v>21</v>
      </c>
      <c r="U33" s="778">
        <f t="shared" si="10"/>
        <v>100</v>
      </c>
      <c r="V33" s="777" t="s">
        <v>21</v>
      </c>
      <c r="W33" s="778">
        <f t="shared" si="11"/>
        <v>100</v>
      </c>
      <c r="X33" s="779"/>
      <c r="Y33" s="3243"/>
      <c r="Z33" s="780" t="str">
        <f t="shared" si="15"/>
        <v>项目建筑规模</v>
      </c>
      <c r="AA33" s="2953">
        <f t="shared" si="12"/>
        <v>1</v>
      </c>
      <c r="AB33" s="2953">
        <f t="shared" si="13"/>
        <v>1</v>
      </c>
      <c r="AC33" s="2953">
        <f t="shared" si="14"/>
        <v>1</v>
      </c>
    </row>
    <row r="34" spans="1:29" ht="15">
      <c r="A34" s="472"/>
      <c r="B34" s="2949" t="s">
        <v>2556</v>
      </c>
      <c r="C34" s="2613" t="s">
        <v>3469</v>
      </c>
      <c r="D34" s="435">
        <v>100</v>
      </c>
      <c r="E34" s="2613" t="s">
        <v>3469</v>
      </c>
      <c r="F34" s="461">
        <f>SUMIF(105:105,E34,106:106)-SUMIF(105:105,C34,106:106)+100</f>
        <v>100</v>
      </c>
      <c r="G34" s="2613" t="s">
        <v>3469</v>
      </c>
      <c r="H34" s="435">
        <f>SUMIF(105:105,G34,106:106)-SUMIF(105:105,C34,106:106)+100</f>
        <v>100</v>
      </c>
      <c r="I34" s="2613" t="s">
        <v>3469</v>
      </c>
      <c r="J34" s="435">
        <f>SUMIF(105:105,I34,106:106)-SUMIF(105:105,C34,106:106)+100</f>
        <v>100</v>
      </c>
      <c r="K34" s="426">
        <v>1</v>
      </c>
      <c r="L34" s="1139"/>
      <c r="M34" s="1130"/>
      <c r="N34" s="1130"/>
      <c r="O34" s="1130"/>
      <c r="P34" s="3241"/>
      <c r="Q34" s="2952" t="str">
        <f t="shared" si="8"/>
        <v>建筑结构</v>
      </c>
      <c r="R34" s="774" t="s">
        <v>21</v>
      </c>
      <c r="S34" s="775">
        <f t="shared" si="9"/>
        <v>100</v>
      </c>
      <c r="T34" s="774" t="s">
        <v>21</v>
      </c>
      <c r="U34" s="775">
        <f t="shared" si="10"/>
        <v>100</v>
      </c>
      <c r="V34" s="774" t="s">
        <v>21</v>
      </c>
      <c r="W34" s="775">
        <f t="shared" si="11"/>
        <v>100</v>
      </c>
      <c r="X34" s="2950"/>
      <c r="Y34" s="3243"/>
      <c r="Z34" s="2951" t="str">
        <f t="shared" si="15"/>
        <v>建筑结构</v>
      </c>
      <c r="AA34" s="2953">
        <f t="shared" si="12"/>
        <v>1</v>
      </c>
      <c r="AB34" s="2953">
        <f t="shared" si="13"/>
        <v>1</v>
      </c>
      <c r="AC34" s="2953">
        <f t="shared" si="14"/>
        <v>1</v>
      </c>
    </row>
    <row r="35" spans="1:29" ht="15">
      <c r="A35" s="472"/>
      <c r="B35" s="2949" t="s">
        <v>2557</v>
      </c>
      <c r="C35" s="2607" t="s">
        <v>3443</v>
      </c>
      <c r="D35" s="435">
        <v>100</v>
      </c>
      <c r="E35" s="2607" t="s">
        <v>3443</v>
      </c>
      <c r="F35" s="461">
        <f>SUMIF(107:107,E35,108:108)-SUMIF(107:107,C35,108:108)+100</f>
        <v>100</v>
      </c>
      <c r="G35" s="2607" t="s">
        <v>3443</v>
      </c>
      <c r="H35" s="435">
        <f>SUMIF(107:107,G35,108:108)-SUMIF(107:107,C35,108:108)+100</f>
        <v>100</v>
      </c>
      <c r="I35" s="2607" t="s">
        <v>3443</v>
      </c>
      <c r="J35" s="435">
        <f>SUMIF(107:107,I35,108:108)-SUMIF(107:107,C35,108:108)+100</f>
        <v>100</v>
      </c>
      <c r="K35" s="426">
        <v>1</v>
      </c>
      <c r="L35" s="1139"/>
      <c r="M35" s="1130"/>
      <c r="N35" s="1130"/>
      <c r="O35" s="1130"/>
      <c r="P35" s="3241"/>
      <c r="Q35" s="2952" t="str">
        <f t="shared" si="8"/>
        <v>建筑品质</v>
      </c>
      <c r="R35" s="774" t="s">
        <v>21</v>
      </c>
      <c r="S35" s="775">
        <f t="shared" si="9"/>
        <v>100</v>
      </c>
      <c r="T35" s="774" t="s">
        <v>21</v>
      </c>
      <c r="U35" s="775">
        <f t="shared" si="10"/>
        <v>100</v>
      </c>
      <c r="V35" s="774" t="s">
        <v>21</v>
      </c>
      <c r="W35" s="775">
        <f t="shared" si="11"/>
        <v>100</v>
      </c>
      <c r="X35" s="2950"/>
      <c r="Y35" s="3243"/>
      <c r="Z35" s="2951" t="str">
        <f t="shared" si="15"/>
        <v>建筑品质</v>
      </c>
      <c r="AA35" s="2953">
        <f t="shared" si="12"/>
        <v>1</v>
      </c>
      <c r="AB35" s="2953">
        <f t="shared" si="13"/>
        <v>1</v>
      </c>
      <c r="AC35" s="2953">
        <f t="shared" si="14"/>
        <v>1</v>
      </c>
    </row>
    <row r="36" spans="1:29" ht="15">
      <c r="A36" s="472"/>
      <c r="B36" s="2949" t="s">
        <v>2558</v>
      </c>
      <c r="C36" s="2607" t="s">
        <v>3479</v>
      </c>
      <c r="D36" s="435">
        <v>100</v>
      </c>
      <c r="E36" s="2607" t="s">
        <v>3479</v>
      </c>
      <c r="F36" s="461">
        <f>SUMIF(109:109,E36,110:110)-SUMIF(109:109,C36,110:110)+100</f>
        <v>100</v>
      </c>
      <c r="G36" s="2607" t="s">
        <v>3479</v>
      </c>
      <c r="H36" s="435">
        <f>SUMIF(109:109,G36,110:110)-SUMIF(109:109,C36,110:110)+100</f>
        <v>100</v>
      </c>
      <c r="I36" s="2607" t="s">
        <v>3479</v>
      </c>
      <c r="J36" s="435">
        <f>SUMIF(109:109,I36,110:110)-SUMIF(109:109,C36,110:110)+100</f>
        <v>100</v>
      </c>
      <c r="K36" s="426">
        <v>3</v>
      </c>
      <c r="L36" s="1139"/>
      <c r="M36" s="1130"/>
      <c r="N36" s="1130"/>
      <c r="O36" s="1130"/>
      <c r="P36" s="3241"/>
      <c r="Q36" s="2952" t="str">
        <f t="shared" si="8"/>
        <v>公共部分装修</v>
      </c>
      <c r="R36" s="774" t="s">
        <v>21</v>
      </c>
      <c r="S36" s="775">
        <f t="shared" si="9"/>
        <v>100</v>
      </c>
      <c r="T36" s="774" t="s">
        <v>21</v>
      </c>
      <c r="U36" s="775">
        <f t="shared" si="10"/>
        <v>100</v>
      </c>
      <c r="V36" s="774" t="s">
        <v>21</v>
      </c>
      <c r="W36" s="775">
        <f t="shared" si="11"/>
        <v>100</v>
      </c>
      <c r="X36" s="2950"/>
      <c r="Y36" s="3243"/>
      <c r="Z36" s="2951" t="str">
        <f t="shared" si="15"/>
        <v>公共部分装修</v>
      </c>
      <c r="AA36" s="2953">
        <f t="shared" si="12"/>
        <v>1</v>
      </c>
      <c r="AB36" s="2953">
        <f t="shared" si="13"/>
        <v>1</v>
      </c>
      <c r="AC36" s="2953">
        <f t="shared" si="14"/>
        <v>1</v>
      </c>
    </row>
    <row r="37" spans="1:29" s="117" customFormat="1" ht="15">
      <c r="A37" s="473"/>
      <c r="B37" s="2949"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241"/>
      <c r="Q37" s="2947" t="str">
        <f t="shared" si="8"/>
        <v>成新度</v>
      </c>
      <c r="R37" s="770" t="s">
        <v>21</v>
      </c>
      <c r="S37" s="771">
        <f t="shared" si="9"/>
        <v>100</v>
      </c>
      <c r="T37" s="770" t="s">
        <v>21</v>
      </c>
      <c r="U37" s="771">
        <f t="shared" si="10"/>
        <v>100</v>
      </c>
      <c r="V37" s="770" t="s">
        <v>21</v>
      </c>
      <c r="W37" s="771">
        <f t="shared" si="11"/>
        <v>100</v>
      </c>
      <c r="X37" s="772"/>
      <c r="Y37" s="3243"/>
      <c r="Z37" s="2948" t="str">
        <f t="shared" si="15"/>
        <v>成新度</v>
      </c>
      <c r="AA37" s="773">
        <f t="shared" si="12"/>
        <v>1</v>
      </c>
      <c r="AB37" s="773">
        <f t="shared" si="13"/>
        <v>1</v>
      </c>
      <c r="AC37" s="773">
        <f t="shared" si="14"/>
        <v>1</v>
      </c>
    </row>
    <row r="38" spans="1:29" ht="15">
      <c r="A38" s="472"/>
      <c r="B38" s="2949" t="s">
        <v>2560</v>
      </c>
      <c r="C38" s="2607" t="s">
        <v>3443</v>
      </c>
      <c r="D38" s="435">
        <v>100</v>
      </c>
      <c r="E38" s="2607" t="s">
        <v>3443</v>
      </c>
      <c r="F38" s="461">
        <f>SUMIF(114:114,E38,115:115)-SUMIF(114:114,C38,115:115)+100</f>
        <v>100</v>
      </c>
      <c r="G38" s="2607" t="s">
        <v>3443</v>
      </c>
      <c r="H38" s="435">
        <f>SUMIF(114:114,G38,115:115)-SUMIF(114:114,C38,115:115)+100</f>
        <v>100</v>
      </c>
      <c r="I38" s="2607" t="s">
        <v>3443</v>
      </c>
      <c r="J38" s="435">
        <f>SUMIF(114:114,I38,115:115)-SUMIF(114:114,C38,115:115)+100</f>
        <v>100</v>
      </c>
      <c r="K38" s="426">
        <v>1</v>
      </c>
      <c r="L38" s="1139"/>
      <c r="M38" s="1130"/>
      <c r="N38" s="1130"/>
      <c r="O38" s="1130"/>
      <c r="P38" s="3241" t="s">
        <v>2554</v>
      </c>
      <c r="Q38" s="2952" t="str">
        <f t="shared" si="8"/>
        <v>物业管理</v>
      </c>
      <c r="R38" s="774" t="s">
        <v>21</v>
      </c>
      <c r="S38" s="775">
        <f t="shared" si="9"/>
        <v>100</v>
      </c>
      <c r="T38" s="774" t="s">
        <v>21</v>
      </c>
      <c r="U38" s="775">
        <f t="shared" si="10"/>
        <v>100</v>
      </c>
      <c r="V38" s="774" t="s">
        <v>21</v>
      </c>
      <c r="W38" s="775">
        <f t="shared" si="11"/>
        <v>100</v>
      </c>
      <c r="X38" s="2950"/>
      <c r="Y38" s="3243" t="s">
        <v>2554</v>
      </c>
      <c r="Z38" s="2951" t="str">
        <f t="shared" si="15"/>
        <v>物业管理</v>
      </c>
      <c r="AA38" s="2953">
        <f t="shared" si="12"/>
        <v>1</v>
      </c>
      <c r="AB38" s="2953">
        <f t="shared" si="13"/>
        <v>1</v>
      </c>
      <c r="AC38" s="2953">
        <f t="shared" si="14"/>
        <v>1</v>
      </c>
    </row>
    <row r="39" spans="1:29" ht="15">
      <c r="A39" s="472"/>
      <c r="B39" s="2949" t="s">
        <v>2561</v>
      </c>
      <c r="C39" s="2607" t="s">
        <v>3434</v>
      </c>
      <c r="D39" s="435">
        <v>100</v>
      </c>
      <c r="E39" s="2607" t="s">
        <v>3434</v>
      </c>
      <c r="F39" s="461">
        <f>SUMIF(116:116,E39,117:117)-SUMIF(116:116,C39,117:117)+100</f>
        <v>100</v>
      </c>
      <c r="G39" s="2607" t="s">
        <v>3434</v>
      </c>
      <c r="H39" s="435">
        <f>SUMIF(116:116,G39,117:117)-SUMIF(116:116,C39,117:117)+100</f>
        <v>100</v>
      </c>
      <c r="I39" s="2607" t="s">
        <v>3434</v>
      </c>
      <c r="J39" s="435">
        <f>SUMIF(116:116,I39,117:117)-SUMIF(116:116,C39,117:117)+100</f>
        <v>100</v>
      </c>
      <c r="K39" s="426">
        <v>1</v>
      </c>
      <c r="L39" s="1139"/>
      <c r="M39" s="1130"/>
      <c r="N39" s="1130"/>
      <c r="O39" s="1130"/>
      <c r="P39" s="3241"/>
      <c r="Q39" s="2952" t="str">
        <f t="shared" si="8"/>
        <v>市政基础设施</v>
      </c>
      <c r="R39" s="774" t="s">
        <v>21</v>
      </c>
      <c r="S39" s="775">
        <f t="shared" si="9"/>
        <v>100</v>
      </c>
      <c r="T39" s="774" t="s">
        <v>21</v>
      </c>
      <c r="U39" s="775">
        <f t="shared" si="10"/>
        <v>100</v>
      </c>
      <c r="V39" s="774" t="s">
        <v>21</v>
      </c>
      <c r="W39" s="775">
        <f t="shared" si="11"/>
        <v>100</v>
      </c>
      <c r="X39" s="2950"/>
      <c r="Y39" s="3243"/>
      <c r="Z39" s="2951" t="str">
        <f t="shared" si="15"/>
        <v>市政基础设施</v>
      </c>
      <c r="AA39" s="2953">
        <f t="shared" si="12"/>
        <v>1</v>
      </c>
      <c r="AB39" s="2953">
        <f t="shared" si="13"/>
        <v>1</v>
      </c>
      <c r="AC39" s="2953">
        <f t="shared" si="14"/>
        <v>1</v>
      </c>
    </row>
    <row r="40" spans="1:29" ht="15">
      <c r="A40" s="472"/>
      <c r="B40" s="2949" t="s">
        <v>2562</v>
      </c>
      <c r="C40" s="2607" t="s">
        <v>3487</v>
      </c>
      <c r="D40" s="435">
        <v>100</v>
      </c>
      <c r="E40" s="2607" t="s">
        <v>3487</v>
      </c>
      <c r="F40" s="461">
        <f>SUMIF(118:118,E40,119:119)-SUMIF(118:118,C40,119:119)+100</f>
        <v>100</v>
      </c>
      <c r="G40" s="2607" t="s">
        <v>3487</v>
      </c>
      <c r="H40" s="435">
        <f>SUMIF(118:118,G40,119:119)-SUMIF(118:118,C40,119:119)+100</f>
        <v>100</v>
      </c>
      <c r="I40" s="2607" t="s">
        <v>3487</v>
      </c>
      <c r="J40" s="435">
        <f>SUMIF(118:118,I40,119:119)-SUMIF(118:118,C40,119:119)+100</f>
        <v>100</v>
      </c>
      <c r="K40" s="426">
        <v>5</v>
      </c>
      <c r="L40" s="1139"/>
      <c r="M40" s="1130"/>
      <c r="N40" s="1130"/>
      <c r="O40" s="1130"/>
      <c r="P40" s="3241"/>
      <c r="Q40" s="2952" t="str">
        <f t="shared" si="8"/>
        <v>房型</v>
      </c>
      <c r="R40" s="774" t="s">
        <v>21</v>
      </c>
      <c r="S40" s="775">
        <f t="shared" si="9"/>
        <v>100</v>
      </c>
      <c r="T40" s="774" t="s">
        <v>21</v>
      </c>
      <c r="U40" s="775">
        <f t="shared" si="10"/>
        <v>100</v>
      </c>
      <c r="V40" s="774" t="s">
        <v>21</v>
      </c>
      <c r="W40" s="775">
        <f t="shared" si="11"/>
        <v>100</v>
      </c>
      <c r="X40" s="2950"/>
      <c r="Y40" s="3243"/>
      <c r="Z40" s="2951" t="str">
        <f t="shared" si="15"/>
        <v>房型</v>
      </c>
      <c r="AA40" s="2953">
        <f t="shared" si="12"/>
        <v>1</v>
      </c>
      <c r="AB40" s="2953">
        <f t="shared" si="13"/>
        <v>1</v>
      </c>
      <c r="AC40" s="2953">
        <f t="shared" si="14"/>
        <v>1</v>
      </c>
    </row>
    <row r="41" spans="1:29" s="471" customFormat="1" ht="28.8" hidden="1">
      <c r="A41" s="468"/>
      <c r="B41" s="2949"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5"/>
      <c r="L41" s="1137"/>
      <c r="M41" s="1140"/>
      <c r="N41" s="1140"/>
      <c r="O41" s="1140"/>
      <c r="P41" s="3241"/>
      <c r="Q41" s="776" t="str">
        <f t="shared" si="8"/>
        <v>单套/主力户型建筑面积</v>
      </c>
      <c r="R41" s="777" t="s">
        <v>21</v>
      </c>
      <c r="S41" s="778">
        <f t="shared" si="9"/>
        <v>100</v>
      </c>
      <c r="T41" s="777" t="s">
        <v>21</v>
      </c>
      <c r="U41" s="778">
        <f t="shared" si="10"/>
        <v>100</v>
      </c>
      <c r="V41" s="777" t="s">
        <v>21</v>
      </c>
      <c r="W41" s="778">
        <f t="shared" si="11"/>
        <v>100</v>
      </c>
      <c r="X41" s="779"/>
      <c r="Y41" s="3243"/>
      <c r="Z41" s="780" t="str">
        <f t="shared" si="15"/>
        <v>单套/主力户型建筑面积</v>
      </c>
      <c r="AA41" s="2953">
        <f t="shared" si="12"/>
        <v>1</v>
      </c>
      <c r="AB41" s="2953">
        <f t="shared" si="13"/>
        <v>1</v>
      </c>
      <c r="AC41" s="2953">
        <f t="shared" si="14"/>
        <v>1</v>
      </c>
    </row>
    <row r="42" spans="1:29" ht="15">
      <c r="A42" s="472"/>
      <c r="B42" s="2949" t="s">
        <v>2564</v>
      </c>
      <c r="C42" s="2607" t="s">
        <v>3479</v>
      </c>
      <c r="D42" s="435">
        <v>100</v>
      </c>
      <c r="E42" s="2607" t="s">
        <v>3479</v>
      </c>
      <c r="F42" s="461">
        <f>SUMIF(122:122,E42,123:123)-SUMIF(122:122,C42,123:123)+100</f>
        <v>100</v>
      </c>
      <c r="G42" s="2607" t="s">
        <v>3479</v>
      </c>
      <c r="H42" s="435">
        <f>SUMIF(122:122,G42,123:123)-SUMIF(122:122,C42,123:123)+100</f>
        <v>100</v>
      </c>
      <c r="I42" s="2607" t="s">
        <v>3485</v>
      </c>
      <c r="J42" s="435">
        <f>SUMIF(122:122,I42,123:123)-SUMIF(122:122,C42,123:123)+100</f>
        <v>91</v>
      </c>
      <c r="K42" s="426">
        <v>3</v>
      </c>
      <c r="L42" s="1139"/>
      <c r="M42" s="1130"/>
      <c r="N42" s="1130"/>
      <c r="O42" s="1130"/>
      <c r="P42" s="3241"/>
      <c r="Q42" s="2952" t="str">
        <f t="shared" si="8"/>
        <v>内部装修</v>
      </c>
      <c r="R42" s="774" t="s">
        <v>21</v>
      </c>
      <c r="S42" s="775">
        <f t="shared" si="9"/>
        <v>100</v>
      </c>
      <c r="T42" s="774" t="s">
        <v>21</v>
      </c>
      <c r="U42" s="775">
        <f t="shared" si="10"/>
        <v>100</v>
      </c>
      <c r="V42" s="774" t="s">
        <v>21</v>
      </c>
      <c r="W42" s="775">
        <f t="shared" si="11"/>
        <v>91</v>
      </c>
      <c r="X42" s="2950"/>
      <c r="Y42" s="3243"/>
      <c r="Z42" s="2951" t="str">
        <f t="shared" si="15"/>
        <v>内部装修</v>
      </c>
      <c r="AA42" s="2953">
        <f t="shared" si="12"/>
        <v>1</v>
      </c>
      <c r="AB42" s="2953">
        <f t="shared" si="13"/>
        <v>1</v>
      </c>
      <c r="AC42" s="2953">
        <f t="shared" si="14"/>
        <v>1.098901098901099</v>
      </c>
    </row>
    <row r="43" spans="1:29" ht="29.4" thickBot="1">
      <c r="A43" s="472"/>
      <c r="B43" s="2949" t="s">
        <v>2565</v>
      </c>
      <c r="C43" s="2607" t="s">
        <v>3443</v>
      </c>
      <c r="D43" s="435">
        <v>100</v>
      </c>
      <c r="E43" s="2607" t="s">
        <v>3443</v>
      </c>
      <c r="F43" s="461">
        <f>SUMIF(124:124,E43,125:125)-SUMIF(124:124,C43,125:125)+100</f>
        <v>100</v>
      </c>
      <c r="G43" s="2607" t="s">
        <v>3443</v>
      </c>
      <c r="H43" s="435">
        <f>SUMIF(124:124,G43,125:125)-SUMIF(124:124,C43,125:125)+100</f>
        <v>100</v>
      </c>
      <c r="I43" s="2607" t="s">
        <v>3443</v>
      </c>
      <c r="J43" s="435">
        <f>SUMIF(124:124,I43,125:125)-SUMIF(124:124,C43,125:125)+100</f>
        <v>100</v>
      </c>
      <c r="K43" s="426">
        <v>1</v>
      </c>
      <c r="L43" s="1139"/>
      <c r="M43" s="1130"/>
      <c r="N43" s="1130"/>
      <c r="O43" s="1130"/>
      <c r="P43" s="3241"/>
      <c r="Q43" s="2952" t="str">
        <f t="shared" si="8"/>
        <v>内部装修维护情况</v>
      </c>
      <c r="R43" s="774" t="s">
        <v>21</v>
      </c>
      <c r="S43" s="775">
        <f t="shared" si="9"/>
        <v>100</v>
      </c>
      <c r="T43" s="774" t="s">
        <v>21</v>
      </c>
      <c r="U43" s="775">
        <f t="shared" si="10"/>
        <v>100</v>
      </c>
      <c r="V43" s="774" t="s">
        <v>21</v>
      </c>
      <c r="W43" s="775">
        <f t="shared" si="11"/>
        <v>100</v>
      </c>
      <c r="X43" s="2950"/>
      <c r="Y43" s="3243"/>
      <c r="Z43" s="2951" t="str">
        <f t="shared" si="15"/>
        <v>内部装修维护情况</v>
      </c>
      <c r="AA43" s="2953">
        <f t="shared" si="12"/>
        <v>1</v>
      </c>
      <c r="AB43" s="2953">
        <f t="shared" si="13"/>
        <v>1</v>
      </c>
      <c r="AC43" s="2953">
        <f t="shared" si="14"/>
        <v>1</v>
      </c>
    </row>
    <row r="44" spans="1:29" s="117" customFormat="1" ht="15.6"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1"/>
      <c r="M44" s="1132"/>
      <c r="N44" s="1132"/>
      <c r="O44" s="1132"/>
      <c r="P44" s="3241"/>
      <c r="Q44" s="2947">
        <f t="shared" si="8"/>
        <v>111</v>
      </c>
      <c r="R44" s="770" t="s">
        <v>21</v>
      </c>
      <c r="S44" s="771">
        <f t="shared" si="9"/>
        <v>100</v>
      </c>
      <c r="T44" s="770" t="s">
        <v>21</v>
      </c>
      <c r="U44" s="771">
        <f t="shared" si="10"/>
        <v>100</v>
      </c>
      <c r="V44" s="770" t="s">
        <v>21</v>
      </c>
      <c r="W44" s="771">
        <f t="shared" si="11"/>
        <v>100</v>
      </c>
      <c r="X44" s="772"/>
      <c r="Y44" s="3243"/>
      <c r="Z44" s="2948">
        <f t="shared" si="15"/>
        <v>111</v>
      </c>
      <c r="AA44" s="773">
        <f t="shared" si="12"/>
        <v>1</v>
      </c>
      <c r="AB44" s="773">
        <f t="shared" si="13"/>
        <v>1</v>
      </c>
      <c r="AC44" s="773">
        <f t="shared" si="14"/>
        <v>1</v>
      </c>
    </row>
    <row r="45" spans="1:29" ht="15.6"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9"/>
      <c r="M45" s="1130"/>
      <c r="N45" s="1130"/>
      <c r="O45" s="1130"/>
      <c r="P45" s="3241"/>
      <c r="Q45" s="2952">
        <f t="shared" si="8"/>
        <v>111</v>
      </c>
      <c r="R45" s="774" t="s">
        <v>21</v>
      </c>
      <c r="S45" s="775">
        <f t="shared" si="9"/>
        <v>100</v>
      </c>
      <c r="T45" s="774" t="s">
        <v>21</v>
      </c>
      <c r="U45" s="775">
        <f t="shared" si="10"/>
        <v>100</v>
      </c>
      <c r="V45" s="774" t="s">
        <v>21</v>
      </c>
      <c r="W45" s="775">
        <f t="shared" si="11"/>
        <v>100</v>
      </c>
      <c r="X45" s="2950"/>
      <c r="Y45" s="3243"/>
      <c r="Z45" s="2951">
        <f t="shared" si="15"/>
        <v>111</v>
      </c>
      <c r="AA45" s="2953">
        <f t="shared" si="12"/>
        <v>1</v>
      </c>
      <c r="AB45" s="2953">
        <f t="shared" si="13"/>
        <v>1</v>
      </c>
      <c r="AC45" s="2953">
        <f t="shared" si="14"/>
        <v>1</v>
      </c>
    </row>
    <row r="46" spans="1:29" ht="15.6"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9"/>
      <c r="M46" s="1130"/>
      <c r="N46" s="1130"/>
      <c r="O46" s="1130"/>
      <c r="P46" s="3242"/>
      <c r="Q46" s="2952">
        <f t="shared" si="8"/>
        <v>111</v>
      </c>
      <c r="R46" s="774" t="s">
        <v>20</v>
      </c>
      <c r="S46" s="775">
        <f t="shared" si="9"/>
        <v>100</v>
      </c>
      <c r="T46" s="774" t="s">
        <v>20</v>
      </c>
      <c r="U46" s="775">
        <f t="shared" si="10"/>
        <v>100</v>
      </c>
      <c r="V46" s="774" t="s">
        <v>20</v>
      </c>
      <c r="W46" s="775">
        <f t="shared" si="11"/>
        <v>100</v>
      </c>
      <c r="X46" s="2950"/>
      <c r="Y46" s="3244"/>
      <c r="Z46" s="2951">
        <f t="shared" si="15"/>
        <v>111</v>
      </c>
      <c r="AA46" s="2953">
        <f t="shared" si="12"/>
        <v>1</v>
      </c>
      <c r="AB46" s="2953">
        <f t="shared" si="13"/>
        <v>1</v>
      </c>
      <c r="AC46" s="2953">
        <f t="shared" si="14"/>
        <v>1</v>
      </c>
    </row>
    <row r="47" spans="1:29" ht="14.4">
      <c r="A47" s="479" t="s">
        <v>2566</v>
      </c>
      <c r="B47" s="480"/>
      <c r="C47" s="1406" t="s">
        <v>19</v>
      </c>
      <c r="D47" s="1407"/>
      <c r="E47" s="1408">
        <v>11400</v>
      </c>
      <c r="F47" s="1409"/>
      <c r="G47" s="1410">
        <v>9500</v>
      </c>
      <c r="H47" s="1411"/>
      <c r="I47" s="1408">
        <v>12500</v>
      </c>
      <c r="J47" s="1411"/>
      <c r="K47" s="2614"/>
      <c r="L47" s="1142"/>
      <c r="M47" s="1143"/>
      <c r="N47" s="1130"/>
      <c r="O47" s="1143"/>
      <c r="P47" s="3245" t="str">
        <f>A47</f>
        <v>成交单价（元/平方米）</v>
      </c>
      <c r="Q47" s="3245"/>
      <c r="R47" s="3246">
        <f>E47</f>
        <v>11400</v>
      </c>
      <c r="S47" s="3246"/>
      <c r="T47" s="3246">
        <f>G47</f>
        <v>9500</v>
      </c>
      <c r="U47" s="3246"/>
      <c r="V47" s="3246">
        <f>I47</f>
        <v>12500</v>
      </c>
      <c r="W47" s="3246"/>
      <c r="X47" s="759"/>
      <c r="Y47" s="781"/>
      <c r="Z47" s="759"/>
      <c r="AA47" s="759"/>
      <c r="AB47" s="759"/>
      <c r="AC47" s="759"/>
    </row>
    <row r="48" spans="1:29" ht="15" thickBot="1">
      <c r="A48" s="486" t="s">
        <v>2567</v>
      </c>
      <c r="B48" s="487"/>
      <c r="C48" s="1412">
        <f>R49</f>
        <v>10834</v>
      </c>
      <c r="D48" s="1413"/>
      <c r="E48" s="1414">
        <f>R48</f>
        <v>10556</v>
      </c>
      <c r="F48" s="1414"/>
      <c r="G48" s="1412">
        <f>T48</f>
        <v>9500</v>
      </c>
      <c r="H48" s="1413"/>
      <c r="I48" s="1414">
        <f>V48</f>
        <v>12447</v>
      </c>
      <c r="J48" s="1413"/>
      <c r="K48" s="2615"/>
      <c r="L48" s="1142"/>
      <c r="M48" s="1143"/>
      <c r="N48" s="1143"/>
      <c r="O48" s="1143"/>
      <c r="P48" s="3245" t="str">
        <f>A48</f>
        <v>比较价值（元/平方米）</v>
      </c>
      <c r="Q48" s="3245"/>
      <c r="R48" s="3246">
        <f>IF(F1="售价",ROUND(PRODUCT(R47,AA7:AA46),0),ROUND(PRODUCT(R47,AA7:AA46),1))</f>
        <v>10556</v>
      </c>
      <c r="S48" s="3246"/>
      <c r="T48" s="3246">
        <f>IF(F1="售价",ROUND(PRODUCT(T47,AB7:AB46),0),ROUND(PRODUCT(T47,AB7:AB46),1))</f>
        <v>9500</v>
      </c>
      <c r="U48" s="3246"/>
      <c r="V48" s="3246">
        <f>IF(F1="售价",ROUND(PRODUCT(V47,AC7:AC46),0),ROUND(PRODUCT(V47,AC7:AC46),1))</f>
        <v>12447</v>
      </c>
      <c r="W48" s="3246"/>
      <c r="X48" s="759"/>
      <c r="Y48" s="759"/>
      <c r="Z48" s="759"/>
      <c r="AA48" s="759"/>
      <c r="AB48" s="759"/>
      <c r="AC48" s="759"/>
    </row>
    <row r="49" spans="1:29" ht="15" thickBot="1">
      <c r="A49" s="492" t="s">
        <v>2568</v>
      </c>
      <c r="B49" s="493"/>
      <c r="C49" s="1415">
        <f>R49</f>
        <v>10834</v>
      </c>
      <c r="D49" s="1416"/>
      <c r="E49" s="1416"/>
      <c r="F49" s="1416"/>
      <c r="G49" s="1416"/>
      <c r="H49" s="1416"/>
      <c r="I49" s="1416"/>
      <c r="J49" s="1416"/>
      <c r="K49" s="2616"/>
      <c r="L49" s="1142"/>
      <c r="M49" s="1143"/>
      <c r="N49" s="1143"/>
      <c r="O49" s="1143"/>
      <c r="P49" s="3247" t="str">
        <f>A49</f>
        <v>估价对象XX用房的比较价值（楼面单价，元/平方米）</v>
      </c>
      <c r="Q49" s="3248"/>
      <c r="R49" s="3249">
        <f>IF(F1="售价",ROUND(AVERAGE(R48:V48),0),ROUND(AVERAGE(R48:V48),1))</f>
        <v>10834</v>
      </c>
      <c r="S49" s="3249"/>
      <c r="T49" s="3249"/>
      <c r="U49" s="3249"/>
      <c r="V49" s="3249"/>
      <c r="W49" s="324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7.9954528230390398E-2</v>
      </c>
      <c r="F52" s="500" t="str">
        <f>IF(OR(E52&gt;=0.3,E52&lt;=-0.3),"超过30%","")</f>
        <v/>
      </c>
      <c r="G52" s="499">
        <f>IF(G47&lt;G48,G48/G47-1,G47/G48-1)</f>
        <v>0</v>
      </c>
      <c r="H52" s="500" t="str">
        <f>IF(OR(G52&gt;=0.3,G52&lt;=-0.3),"超过30%","")</f>
        <v/>
      </c>
      <c r="I52" s="499">
        <f>IF(I47&lt;I48,I48/I47-1,I47/I48-1)</f>
        <v>4.258054149594237E-3</v>
      </c>
      <c r="J52" s="500" t="str">
        <f>IF(OR(I52&gt;=0.3,I52&lt;=-0.3),"超过30%","")</f>
        <v/>
      </c>
      <c r="K52" s="1104"/>
      <c r="L52" s="1105"/>
      <c r="M52" s="1143"/>
      <c r="N52" s="1143"/>
      <c r="O52" s="1143"/>
    </row>
    <row r="53" spans="1:29" ht="13.5" customHeight="1">
      <c r="A53" s="1143"/>
      <c r="B53" s="1143"/>
      <c r="C53" s="497" t="s">
        <v>2570</v>
      </c>
      <c r="D53" s="501"/>
      <c r="E53" s="499">
        <f>IF(E48&lt;G48,G48/E48-1,E48/G48-1)</f>
        <v>0.11115789473684212</v>
      </c>
      <c r="F53" s="500" t="str">
        <f>IF(OR(E53&gt;=0.2,E53&lt;=-0.2),"超过20%","")</f>
        <v/>
      </c>
      <c r="G53" s="499">
        <f>IF(G48&lt;I48,I48/G48-1,G48/I48-1)</f>
        <v>0.31021052631578949</v>
      </c>
      <c r="H53" s="500" t="str">
        <f>IF(OR(G53&gt;=0.2,G53&lt;=-0.2),"超过20%","")</f>
        <v>超过20%</v>
      </c>
      <c r="I53" s="499">
        <f>IF(I48&lt;E48,E48/I48-1,I48/E48-1)</f>
        <v>0.17913982569154974</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0.19999999999999996</v>
      </c>
      <c r="F54" s="500" t="str">
        <f>IF(OR(E54&gt;=0.3,E54&lt;=-0.3),"超过30%","")</f>
        <v/>
      </c>
      <c r="G54" s="499">
        <f>IF(G47&lt;I47,I47/G47-1,G47/I47-1)</f>
        <v>0.31578947368421062</v>
      </c>
      <c r="H54" s="500" t="str">
        <f>IF(OR(G54&gt;=0.3,G54&lt;=-0.3),"超过30%","")</f>
        <v>超过30%</v>
      </c>
      <c r="I54" s="499">
        <f>IF(I47&lt;E47,E47/I47-1,I47/E47-1)</f>
        <v>9.6491228070175517E-2</v>
      </c>
      <c r="J54" s="500" t="str">
        <f>IF(OR(I54&gt;=0.3,I54&lt;=-0.3),"超过30%","")</f>
        <v/>
      </c>
      <c r="K54" s="1147"/>
      <c r="L54" s="1148"/>
      <c r="M54" s="1144"/>
      <c r="N54" s="1144"/>
      <c r="O54" s="1144"/>
      <c r="P54" s="2618"/>
    </row>
    <row r="55" spans="1:29" s="502"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9"/>
      <c r="Q57" s="504"/>
    </row>
    <row r="58" spans="1:29" s="508" customFormat="1" ht="14.4">
      <c r="A58" s="505" t="s">
        <v>2573</v>
      </c>
      <c r="B58" s="506"/>
      <c r="C58" s="1574" t="str">
        <f>YEAR(C7)&amp;"-"&amp;MONTH(C7)</f>
        <v>2019-9</v>
      </c>
      <c r="D58" s="1573">
        <f>EDATE(C58,-1)</f>
        <v>43678</v>
      </c>
      <c r="E58" s="1573">
        <f>EDATE(D58,-1)</f>
        <v>43647</v>
      </c>
      <c r="F58" s="1573">
        <f t="shared" ref="F58:O58" si="16">EDATE(E58,-1)</f>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 t="shared" si="16"/>
        <v>43344</v>
      </c>
      <c r="P58" s="1568"/>
    </row>
    <row r="59" spans="1:29" s="117" customFormat="1">
      <c r="A59" s="509"/>
      <c r="B59" s="2620"/>
      <c r="C59" s="1571">
        <v>100</v>
      </c>
      <c r="D59" s="511"/>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4.4">
      <c r="A61" s="521" t="s">
        <v>2575</v>
      </c>
      <c r="B61" s="510"/>
      <c r="C61" s="522" t="s">
        <v>2576</v>
      </c>
      <c r="D61" s="523"/>
      <c r="E61" s="523"/>
      <c r="F61" s="523"/>
      <c r="G61" s="523"/>
      <c r="H61" s="523"/>
      <c r="I61" s="523"/>
      <c r="J61" s="523"/>
      <c r="K61" s="523"/>
      <c r="L61" s="524"/>
      <c r="M61" s="525"/>
      <c r="N61" s="1150"/>
      <c r="O61" s="1150"/>
      <c r="P61" s="2622"/>
      <c r="Q61" s="504"/>
    </row>
    <row r="62" spans="1:29" s="117" customFormat="1" ht="14.4" thickBot="1">
      <c r="A62" s="521"/>
      <c r="B62" s="510"/>
      <c r="C62" s="511">
        <v>100</v>
      </c>
      <c r="D62" s="512"/>
      <c r="E62" s="512"/>
      <c r="F62" s="512"/>
      <c r="G62" s="512"/>
      <c r="H62" s="512"/>
      <c r="I62" s="512"/>
      <c r="J62" s="512"/>
      <c r="K62" s="512"/>
      <c r="L62" s="512"/>
      <c r="M62" s="514"/>
      <c r="N62" s="1150"/>
      <c r="O62" s="1150"/>
      <c r="P62" s="2621"/>
      <c r="Q62" s="504"/>
    </row>
    <row r="63" spans="1:29" ht="14.4">
      <c r="A63" s="527" t="s">
        <v>2577</v>
      </c>
      <c r="B63" s="528" t="s">
        <v>2543</v>
      </c>
      <c r="C63" s="529" t="str">
        <f>C9</f>
        <v>住宅</v>
      </c>
      <c r="D63" s="530"/>
      <c r="E63" s="530"/>
      <c r="F63" s="530"/>
      <c r="G63" s="530"/>
      <c r="H63" s="530"/>
      <c r="I63" s="530"/>
      <c r="J63" s="530"/>
      <c r="K63" s="531"/>
      <c r="L63" s="532"/>
      <c r="M63" s="533"/>
      <c r="N63" s="1151"/>
      <c r="O63" s="1151"/>
      <c r="P63" s="2623"/>
      <c r="Q63" s="504"/>
    </row>
    <row r="64" spans="1:29" ht="14.4" thickBot="1">
      <c r="A64" s="534"/>
      <c r="B64" s="535"/>
      <c r="C64" s="536">
        <v>100</v>
      </c>
      <c r="D64" s="536"/>
      <c r="E64" s="536"/>
      <c r="F64" s="536"/>
      <c r="G64" s="536"/>
      <c r="H64" s="536"/>
      <c r="I64" s="536"/>
      <c r="J64" s="536"/>
      <c r="K64" s="536"/>
      <c r="L64" s="536"/>
      <c r="M64" s="537"/>
      <c r="N64" s="1152"/>
      <c r="O64" s="1152"/>
      <c r="P64" s="2623"/>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3"/>
      <c r="Q65" s="504"/>
    </row>
    <row r="66" spans="1:17" ht="14.4"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2"/>
      <c r="O66" s="1152"/>
      <c r="P66" s="2623"/>
      <c r="Q66" s="504"/>
    </row>
    <row r="67" spans="1:17" ht="15" thickTop="1">
      <c r="A67" s="534"/>
      <c r="B67" s="546" t="s">
        <v>2547</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K68&amp;"（含）"&amp;"-"&amp;L68</f>
        <v>（含）-</v>
      </c>
      <c r="L67" s="547" t="str">
        <f t="shared" si="18"/>
        <v>（含）-</v>
      </c>
      <c r="M67" s="448" t="str">
        <f>M68&amp;"（含）"&amp;"-"&amp;P68</f>
        <v>（含）-</v>
      </c>
      <c r="N67" s="1152"/>
      <c r="O67" s="1152"/>
      <c r="P67" s="2623"/>
      <c r="Q67" s="504"/>
    </row>
    <row r="68" spans="1:17">
      <c r="A68" s="534"/>
      <c r="B68" s="548"/>
      <c r="C68" s="549">
        <v>0</v>
      </c>
      <c r="D68" s="549">
        <v>1</v>
      </c>
      <c r="E68" s="549">
        <v>2</v>
      </c>
      <c r="F68" s="549">
        <v>3</v>
      </c>
      <c r="G68" s="549">
        <v>4</v>
      </c>
      <c r="H68" s="549">
        <v>5</v>
      </c>
      <c r="I68" s="549"/>
      <c r="J68" s="549"/>
      <c r="K68" s="550"/>
      <c r="L68" s="551"/>
      <c r="M68" s="552"/>
      <c r="N68" s="1151"/>
      <c r="O68" s="1151"/>
      <c r="P68" s="2623"/>
      <c r="Q68" s="504"/>
    </row>
    <row r="69" spans="1:17" ht="14.4" thickBot="1">
      <c r="A69" s="534"/>
      <c r="B69" s="535"/>
      <c r="C69" s="544">
        <v>100</v>
      </c>
      <c r="D69" s="544">
        <f t="shared" ref="D69:M69" si="19">C69-$K11</f>
        <v>97</v>
      </c>
      <c r="E69" s="544">
        <f t="shared" si="19"/>
        <v>94</v>
      </c>
      <c r="F69" s="544">
        <f t="shared" si="19"/>
        <v>91</v>
      </c>
      <c r="G69" s="544">
        <f t="shared" si="19"/>
        <v>88</v>
      </c>
      <c r="H69" s="544">
        <f t="shared" si="19"/>
        <v>85</v>
      </c>
      <c r="I69" s="544">
        <f t="shared" si="19"/>
        <v>82</v>
      </c>
      <c r="J69" s="544">
        <f t="shared" si="19"/>
        <v>79</v>
      </c>
      <c r="K69" s="544">
        <f t="shared" si="19"/>
        <v>76</v>
      </c>
      <c r="L69" s="544">
        <f t="shared" si="19"/>
        <v>73</v>
      </c>
      <c r="M69" s="545">
        <f t="shared" si="19"/>
        <v>70</v>
      </c>
      <c r="N69" s="1152"/>
      <c r="O69" s="1152"/>
      <c r="P69" s="2623"/>
      <c r="Q69" s="504"/>
    </row>
    <row r="70" spans="1:17" s="471" customFormat="1" ht="14.4" thickTop="1">
      <c r="A70" s="553"/>
      <c r="B70" s="538">
        <f>B12</f>
        <v>111</v>
      </c>
      <c r="C70" s="554"/>
      <c r="D70" s="554"/>
      <c r="E70" s="554"/>
      <c r="F70" s="554"/>
      <c r="G70" s="554"/>
      <c r="H70" s="555"/>
      <c r="I70" s="555"/>
      <c r="J70" s="555"/>
      <c r="K70" s="555"/>
      <c r="L70" s="556"/>
      <c r="M70" s="557"/>
      <c r="N70" s="1153"/>
      <c r="O70" s="1153"/>
      <c r="P70" s="2624"/>
      <c r="Q70" s="559"/>
    </row>
    <row r="71" spans="1:17" s="471" customFormat="1" ht="14.4" thickBot="1">
      <c r="A71" s="553"/>
      <c r="B71" s="543"/>
      <c r="C71" s="560"/>
      <c r="D71" s="536"/>
      <c r="E71" s="536"/>
      <c r="F71" s="536"/>
      <c r="G71" s="536"/>
      <c r="H71" s="536"/>
      <c r="I71" s="536"/>
      <c r="J71" s="536"/>
      <c r="K71" s="536"/>
      <c r="L71" s="536"/>
      <c r="M71" s="537"/>
      <c r="N71" s="1152"/>
      <c r="O71" s="1152"/>
      <c r="P71" s="2624"/>
      <c r="Q71" s="559"/>
    </row>
    <row r="72" spans="1:17" s="471" customFormat="1" ht="14.4" thickTop="1">
      <c r="A72" s="553"/>
      <c r="B72" s="538">
        <f>B13</f>
        <v>111</v>
      </c>
      <c r="C72" s="554"/>
      <c r="D72" s="554"/>
      <c r="E72" s="554"/>
      <c r="F72" s="554"/>
      <c r="G72" s="554"/>
      <c r="H72" s="555"/>
      <c r="I72" s="555"/>
      <c r="J72" s="555"/>
      <c r="K72" s="555"/>
      <c r="L72" s="556"/>
      <c r="M72" s="557"/>
      <c r="N72" s="1153"/>
      <c r="O72" s="1153"/>
      <c r="P72" s="2625"/>
      <c r="Q72" s="561"/>
    </row>
    <row r="73" spans="1:17" s="471" customFormat="1" ht="14.4" thickBot="1">
      <c r="A73" s="553"/>
      <c r="B73" s="543"/>
      <c r="C73" s="560"/>
      <c r="D73" s="560"/>
      <c r="E73" s="560"/>
      <c r="F73" s="560"/>
      <c r="G73" s="560"/>
      <c r="H73" s="562"/>
      <c r="I73" s="562"/>
      <c r="J73" s="562"/>
      <c r="K73" s="562"/>
      <c r="L73" s="562"/>
      <c r="M73" s="563"/>
      <c r="N73" s="1153"/>
      <c r="O73" s="1153"/>
      <c r="P73" s="2624"/>
      <c r="Q73" s="559"/>
    </row>
    <row r="74" spans="1:17" s="471" customFormat="1" ht="14.4" thickTop="1">
      <c r="A74" s="553"/>
      <c r="B74" s="546">
        <f>B14</f>
        <v>111</v>
      </c>
      <c r="C74" s="554"/>
      <c r="D74" s="554"/>
      <c r="E74" s="554"/>
      <c r="F74" s="554"/>
      <c r="G74" s="523"/>
      <c r="H74" s="564"/>
      <c r="I74" s="564"/>
      <c r="J74" s="564"/>
      <c r="K74" s="564"/>
      <c r="L74" s="565"/>
      <c r="M74" s="566"/>
      <c r="N74" s="1153"/>
      <c r="O74" s="1153"/>
      <c r="P74" s="2626"/>
      <c r="Q74" s="559"/>
    </row>
    <row r="75" spans="1:17" s="471" customFormat="1" ht="14.4" thickBot="1">
      <c r="A75" s="568"/>
      <c r="B75" s="569"/>
      <c r="C75" s="570"/>
      <c r="D75" s="570"/>
      <c r="E75" s="570"/>
      <c r="F75" s="570"/>
      <c r="G75" s="570"/>
      <c r="H75" s="571"/>
      <c r="I75" s="571"/>
      <c r="J75" s="571"/>
      <c r="K75" s="571"/>
      <c r="L75" s="571"/>
      <c r="M75" s="572"/>
      <c r="N75" s="1153"/>
      <c r="O75" s="1153"/>
      <c r="P75" s="2624"/>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7"/>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3"/>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23"/>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3"/>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3"/>
      <c r="Q81" s="504"/>
    </row>
    <row r="82" spans="1:17" ht="15" thickTop="1">
      <c r="A82" s="534"/>
      <c r="B82" s="546" t="s">
        <v>2090</v>
      </c>
      <c r="C82" s="539" t="s">
        <v>2593</v>
      </c>
      <c r="D82" s="539" t="s">
        <v>2594</v>
      </c>
      <c r="E82" s="539" t="s">
        <v>2595</v>
      </c>
      <c r="F82" s="539" t="s">
        <v>2596</v>
      </c>
      <c r="G82" s="539" t="s">
        <v>2597</v>
      </c>
      <c r="H82" s="539"/>
      <c r="I82" s="539"/>
      <c r="J82" s="539"/>
      <c r="K82" s="539"/>
      <c r="L82" s="539"/>
      <c r="M82" s="1381"/>
      <c r="N82" s="1152"/>
      <c r="O82" s="1152"/>
      <c r="P82" s="2623"/>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2"/>
      <c r="O83" s="1152"/>
      <c r="P83" s="2623"/>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3"/>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3"/>
      <c r="Q85" s="504"/>
    </row>
    <row r="86" spans="1:17" s="117" customFormat="1" ht="15" thickTop="1">
      <c r="A86" s="579"/>
      <c r="B86" s="538" t="s">
        <v>2599</v>
      </c>
      <c r="C86" s="554"/>
      <c r="D86" s="554"/>
      <c r="E86" s="554"/>
      <c r="F86" s="554"/>
      <c r="G86" s="554"/>
      <c r="H86" s="554"/>
      <c r="I86" s="554"/>
      <c r="J86" s="554"/>
      <c r="K86" s="554"/>
      <c r="L86" s="580"/>
      <c r="M86" s="581"/>
      <c r="N86" s="1150"/>
      <c r="O86" s="1150"/>
      <c r="P86" s="2623"/>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3"/>
      <c r="Q87" s="504"/>
    </row>
    <row r="88" spans="1:17" s="117" customFormat="1" ht="15" thickTop="1">
      <c r="A88" s="579"/>
      <c r="B88" s="538" t="s">
        <v>2600</v>
      </c>
      <c r="C88" s="554"/>
      <c r="D88" s="554"/>
      <c r="E88" s="554"/>
      <c r="F88" s="2628"/>
      <c r="G88" s="554"/>
      <c r="H88" s="554"/>
      <c r="I88" s="554"/>
      <c r="J88" s="554"/>
      <c r="K88" s="554"/>
      <c r="L88" s="554"/>
      <c r="M88" s="581"/>
      <c r="N88" s="1150"/>
      <c r="O88" s="1150"/>
      <c r="P88" s="2623"/>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2"/>
      <c r="O89" s="1152"/>
      <c r="P89" s="2623"/>
      <c r="Q89" s="504"/>
    </row>
    <row r="90" spans="1:17" s="471" customFormat="1" ht="14.4" thickTop="1">
      <c r="A90" s="553"/>
      <c r="B90" s="538">
        <f>B27</f>
        <v>111</v>
      </c>
      <c r="C90" s="554"/>
      <c r="D90" s="554"/>
      <c r="E90" s="554"/>
      <c r="F90" s="554"/>
      <c r="G90" s="554"/>
      <c r="H90" s="555"/>
      <c r="I90" s="555"/>
      <c r="J90" s="555"/>
      <c r="K90" s="555"/>
      <c r="L90" s="556"/>
      <c r="M90" s="557"/>
      <c r="N90" s="1153"/>
      <c r="O90" s="1153"/>
      <c r="P90" s="2624"/>
      <c r="Q90" s="559"/>
    </row>
    <row r="91" spans="1:17" s="471" customFormat="1" ht="14.4" thickBot="1">
      <c r="A91" s="553"/>
      <c r="B91" s="543"/>
      <c r="C91" s="560"/>
      <c r="D91" s="560"/>
      <c r="E91" s="560"/>
      <c r="F91" s="560"/>
      <c r="G91" s="560"/>
      <c r="H91" s="562"/>
      <c r="I91" s="562"/>
      <c r="J91" s="562"/>
      <c r="K91" s="562"/>
      <c r="L91" s="562"/>
      <c r="M91" s="563"/>
      <c r="N91" s="1153"/>
      <c r="O91" s="1153"/>
      <c r="P91" s="2624"/>
      <c r="Q91" s="559"/>
    </row>
    <row r="92" spans="1:17" ht="14.4" thickTop="1">
      <c r="A92" s="534"/>
      <c r="B92" s="538">
        <f>B28</f>
        <v>111</v>
      </c>
      <c r="C92" s="554"/>
      <c r="D92" s="554"/>
      <c r="E92" s="554"/>
      <c r="F92" s="554"/>
      <c r="G92" s="583"/>
      <c r="H92" s="583"/>
      <c r="I92" s="583"/>
      <c r="J92" s="583"/>
      <c r="K92" s="584"/>
      <c r="L92" s="585"/>
      <c r="M92" s="586"/>
      <c r="N92" s="1151"/>
      <c r="O92" s="1151"/>
      <c r="P92" s="2623"/>
      <c r="Q92" s="504"/>
    </row>
    <row r="93" spans="1:17" ht="14.4" thickBot="1">
      <c r="A93" s="534"/>
      <c r="B93" s="543"/>
      <c r="C93" s="560"/>
      <c r="D93" s="536"/>
      <c r="E93" s="536"/>
      <c r="F93" s="536"/>
      <c r="G93" s="536"/>
      <c r="H93" s="536"/>
      <c r="I93" s="536"/>
      <c r="J93" s="536"/>
      <c r="K93" s="536"/>
      <c r="L93" s="536"/>
      <c r="M93" s="537"/>
      <c r="N93" s="1152"/>
      <c r="O93" s="1152"/>
      <c r="P93" s="2623"/>
      <c r="Q93" s="504"/>
    </row>
    <row r="94" spans="1:17" ht="14.4" thickTop="1">
      <c r="A94" s="534"/>
      <c r="B94" s="538">
        <f>B29</f>
        <v>111</v>
      </c>
      <c r="C94" s="554"/>
      <c r="D94" s="554"/>
      <c r="E94" s="554"/>
      <c r="F94" s="554"/>
      <c r="G94" s="583"/>
      <c r="H94" s="583"/>
      <c r="I94" s="583"/>
      <c r="J94" s="583"/>
      <c r="K94" s="584"/>
      <c r="L94" s="585"/>
      <c r="M94" s="586"/>
      <c r="N94" s="1151"/>
      <c r="O94" s="1151"/>
      <c r="P94" s="2623"/>
      <c r="Q94" s="504"/>
    </row>
    <row r="95" spans="1:17" ht="14.4" thickBot="1">
      <c r="A95" s="534"/>
      <c r="B95" s="543"/>
      <c r="C95" s="560"/>
      <c r="D95" s="560"/>
      <c r="E95" s="560"/>
      <c r="F95" s="560"/>
      <c r="G95" s="536"/>
      <c r="H95" s="536"/>
      <c r="I95" s="536"/>
      <c r="J95" s="536"/>
      <c r="K95" s="536"/>
      <c r="L95" s="536"/>
      <c r="M95" s="537"/>
      <c r="N95" s="1152"/>
      <c r="O95" s="1152"/>
      <c r="P95" s="2623"/>
      <c r="Q95" s="504"/>
    </row>
    <row r="96" spans="1:17" ht="14.4" thickTop="1">
      <c r="A96" s="534"/>
      <c r="B96" s="538">
        <f>B30</f>
        <v>111</v>
      </c>
      <c r="C96" s="554"/>
      <c r="D96" s="554"/>
      <c r="E96" s="554"/>
      <c r="F96" s="554"/>
      <c r="G96" s="583"/>
      <c r="H96" s="583"/>
      <c r="I96" s="583"/>
      <c r="J96" s="583"/>
      <c r="K96" s="584"/>
      <c r="L96" s="585"/>
      <c r="M96" s="586"/>
      <c r="N96" s="1151"/>
      <c r="O96" s="1151"/>
      <c r="P96" s="2623"/>
      <c r="Q96" s="504"/>
    </row>
    <row r="97" spans="1:17" ht="14.4" thickBot="1">
      <c r="A97" s="534"/>
      <c r="B97" s="543"/>
      <c r="C97" s="570"/>
      <c r="D97" s="570"/>
      <c r="E97" s="570"/>
      <c r="F97" s="570"/>
      <c r="G97" s="536"/>
      <c r="H97" s="536"/>
      <c r="I97" s="536"/>
      <c r="J97" s="536"/>
      <c r="K97" s="536"/>
      <c r="L97" s="536"/>
      <c r="M97" s="537"/>
      <c r="N97" s="1152"/>
      <c r="O97" s="1152"/>
      <c r="P97" s="2623"/>
      <c r="Q97" s="504"/>
    </row>
    <row r="98" spans="1:17" ht="14.4" thickTop="1">
      <c r="A98" s="534"/>
      <c r="B98" s="546">
        <f>B31</f>
        <v>111</v>
      </c>
      <c r="C98" s="587"/>
      <c r="D98" s="587"/>
      <c r="E98" s="587"/>
      <c r="F98" s="587"/>
      <c r="G98" s="587"/>
      <c r="H98" s="587"/>
      <c r="I98" s="587"/>
      <c r="J98" s="587"/>
      <c r="K98" s="588"/>
      <c r="L98" s="589"/>
      <c r="M98" s="590"/>
      <c r="N98" s="1151"/>
      <c r="O98" s="1151"/>
      <c r="P98" s="2623"/>
      <c r="Q98" s="504"/>
    </row>
    <row r="99" spans="1:17" ht="14.4" thickBot="1">
      <c r="A99" s="2629"/>
      <c r="B99" s="569"/>
      <c r="C99" s="591"/>
      <c r="D99" s="591"/>
      <c r="E99" s="591"/>
      <c r="F99" s="591"/>
      <c r="G99" s="591"/>
      <c r="H99" s="591"/>
      <c r="I99" s="591"/>
      <c r="J99" s="591"/>
      <c r="K99" s="591"/>
      <c r="L99" s="591"/>
      <c r="M99" s="592"/>
      <c r="N99" s="1152"/>
      <c r="O99" s="1152"/>
      <c r="P99" s="2623"/>
      <c r="Q99" s="504"/>
    </row>
    <row r="100" spans="1:17" ht="14.4">
      <c r="A100" s="527" t="s">
        <v>2552</v>
      </c>
      <c r="B100" s="528" t="s">
        <v>2601</v>
      </c>
      <c r="C100" s="2959" t="s">
        <v>3534</v>
      </c>
      <c r="D100" s="2959" t="s">
        <v>3536</v>
      </c>
      <c r="E100" s="2959" t="s">
        <v>3538</v>
      </c>
      <c r="F100" s="2959" t="s">
        <v>3540</v>
      </c>
      <c r="G100" s="2959" t="s">
        <v>3475</v>
      </c>
      <c r="H100" s="2959" t="s">
        <v>3474</v>
      </c>
      <c r="I100" s="2959" t="s">
        <v>3472</v>
      </c>
      <c r="J100" s="530"/>
      <c r="K100" s="531"/>
      <c r="L100" s="532"/>
      <c r="M100" s="533"/>
      <c r="N100" s="1151"/>
      <c r="O100" s="1151"/>
      <c r="P100" s="2623"/>
      <c r="Q100" s="504"/>
    </row>
    <row r="101" spans="1:17" ht="14.4" thickBot="1">
      <c r="A101" s="534"/>
      <c r="B101" s="543"/>
      <c r="C101" s="544">
        <v>100</v>
      </c>
      <c r="D101" s="544">
        <f t="shared" ref="D101:M101" si="22">C101-$K32</f>
        <v>92</v>
      </c>
      <c r="E101" s="544">
        <f t="shared" si="22"/>
        <v>84</v>
      </c>
      <c r="F101" s="544">
        <f t="shared" si="22"/>
        <v>76</v>
      </c>
      <c r="G101" s="544">
        <f t="shared" si="22"/>
        <v>68</v>
      </c>
      <c r="H101" s="544">
        <f t="shared" si="22"/>
        <v>60</v>
      </c>
      <c r="I101" s="544">
        <f t="shared" si="22"/>
        <v>52</v>
      </c>
      <c r="J101" s="544">
        <f t="shared" si="22"/>
        <v>44</v>
      </c>
      <c r="K101" s="544">
        <f t="shared" si="22"/>
        <v>36</v>
      </c>
      <c r="L101" s="544">
        <f t="shared" si="22"/>
        <v>28</v>
      </c>
      <c r="M101" s="544">
        <f t="shared" si="22"/>
        <v>20</v>
      </c>
      <c r="N101" s="1152"/>
      <c r="O101" s="1152"/>
      <c r="P101" s="2623"/>
      <c r="Q101" s="504"/>
    </row>
    <row r="102" spans="1:17" ht="28.2" thickTop="1">
      <c r="A102" s="534"/>
      <c r="B102" s="538" t="s">
        <v>2602</v>
      </c>
      <c r="C102" s="578" t="str">
        <f>C103&amp;"(含)"&amp;"-"&amp;D103</f>
        <v>0(含)-80000</v>
      </c>
      <c r="D102" s="578" t="str">
        <f t="shared" ref="D102:L102" si="23">D103&amp;"(含)"&amp;"-"&amp;E103</f>
        <v>80000(含)-160000</v>
      </c>
      <c r="E102" s="578" t="str">
        <f t="shared" si="23"/>
        <v>160000(含)-240000</v>
      </c>
      <c r="F102" s="578" t="str">
        <f t="shared" si="23"/>
        <v>240000(含)-320000</v>
      </c>
      <c r="G102" s="578" t="str">
        <f t="shared" si="23"/>
        <v>320000(含)-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0"/>
      <c r="O102" s="1150"/>
      <c r="P102" s="2623"/>
      <c r="Q102" s="504"/>
    </row>
    <row r="103" spans="1:17" s="471" customFormat="1">
      <c r="A103" s="593"/>
      <c r="B103" s="594"/>
      <c r="C103" s="595">
        <v>0</v>
      </c>
      <c r="D103" s="595">
        <f>C103+80000</f>
        <v>80000</v>
      </c>
      <c r="E103" s="595">
        <f>D103+80000</f>
        <v>160000</v>
      </c>
      <c r="F103" s="595">
        <f>E103+80000</f>
        <v>240000</v>
      </c>
      <c r="G103" s="595">
        <f>F103+80000</f>
        <v>320000</v>
      </c>
      <c r="H103" s="595"/>
      <c r="I103" s="595"/>
      <c r="J103" s="596"/>
      <c r="K103" s="596"/>
      <c r="L103" s="597"/>
      <c r="M103" s="598"/>
      <c r="N103" s="1153"/>
      <c r="O103" s="1153"/>
      <c r="P103" s="2624"/>
      <c r="Q103" s="559"/>
    </row>
    <row r="104" spans="1:17" s="471" customFormat="1" ht="14.4" thickBot="1">
      <c r="A104" s="553"/>
      <c r="B104" s="543"/>
      <c r="C104" s="560">
        <v>100</v>
      </c>
      <c r="D104" s="536">
        <f>C104+1</f>
        <v>101</v>
      </c>
      <c r="E104" s="536">
        <f>D104+1</f>
        <v>102</v>
      </c>
      <c r="F104" s="536">
        <f>E104+1</f>
        <v>103</v>
      </c>
      <c r="G104" s="536">
        <f>F104+1</f>
        <v>104</v>
      </c>
      <c r="H104" s="536"/>
      <c r="I104" s="536"/>
      <c r="J104" s="536"/>
      <c r="K104" s="536"/>
      <c r="L104" s="536"/>
      <c r="M104" s="536"/>
      <c r="N104" s="1152"/>
      <c r="O104" s="1152"/>
      <c r="P104" s="2624"/>
      <c r="Q104" s="559"/>
    </row>
    <row r="105" spans="1:17" ht="15" thickTop="1">
      <c r="A105" s="599"/>
      <c r="B105" s="538" t="s">
        <v>2603</v>
      </c>
      <c r="C105" s="2966" t="s">
        <v>3495</v>
      </c>
      <c r="D105" s="554"/>
      <c r="E105" s="583"/>
      <c r="F105" s="583"/>
      <c r="G105" s="583"/>
      <c r="H105" s="583"/>
      <c r="I105" s="583"/>
      <c r="J105" s="583"/>
      <c r="K105" s="584"/>
      <c r="L105" s="585"/>
      <c r="M105" s="586"/>
      <c r="N105" s="1151"/>
      <c r="O105" s="1151"/>
      <c r="P105" s="2623"/>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4">
        <f t="shared" si="24"/>
        <v>90</v>
      </c>
      <c r="N106" s="1152"/>
      <c r="O106" s="1152"/>
      <c r="P106" s="2623"/>
      <c r="Q106" s="504"/>
    </row>
    <row r="107" spans="1:17" ht="15" thickTop="1">
      <c r="A107" s="599"/>
      <c r="B107" s="538" t="s">
        <v>2604</v>
      </c>
      <c r="C107" s="554" t="s">
        <v>3441</v>
      </c>
      <c r="D107" s="554" t="s">
        <v>3443</v>
      </c>
      <c r="E107" s="583" t="s">
        <v>3436</v>
      </c>
      <c r="F107" s="583" t="s">
        <v>3430</v>
      </c>
      <c r="G107" s="583" t="s">
        <v>3432</v>
      </c>
      <c r="H107" s="583"/>
      <c r="I107" s="583"/>
      <c r="J107" s="583"/>
      <c r="K107" s="584"/>
      <c r="L107" s="585"/>
      <c r="M107" s="586"/>
      <c r="N107" s="1151"/>
      <c r="O107" s="1151"/>
      <c r="P107" s="2623"/>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4">
        <f t="shared" si="25"/>
        <v>90</v>
      </c>
      <c r="N108" s="1152"/>
      <c r="O108" s="1152"/>
      <c r="P108" s="2623"/>
      <c r="Q108" s="504"/>
    </row>
    <row r="109" spans="1:17" ht="15" thickTop="1">
      <c r="A109" s="599"/>
      <c r="B109" s="538" t="s">
        <v>2605</v>
      </c>
      <c r="C109" s="554" t="s">
        <v>3479</v>
      </c>
      <c r="D109" s="554" t="s">
        <v>3481</v>
      </c>
      <c r="E109" s="554" t="s">
        <v>3483</v>
      </c>
      <c r="F109" s="583" t="s">
        <v>3485</v>
      </c>
      <c r="G109" s="583"/>
      <c r="H109" s="583"/>
      <c r="I109" s="583"/>
      <c r="J109" s="583"/>
      <c r="K109" s="584"/>
      <c r="L109" s="585"/>
      <c r="M109" s="586"/>
      <c r="N109" s="1151"/>
      <c r="O109" s="1151"/>
      <c r="P109" s="2623"/>
      <c r="Q109" s="504"/>
    </row>
    <row r="110" spans="1:17" ht="14.4" thickBot="1">
      <c r="A110" s="534"/>
      <c r="B110" s="543"/>
      <c r="C110" s="544">
        <v>100</v>
      </c>
      <c r="D110" s="544">
        <f t="shared" ref="D110:M110" si="26">C110-$K36</f>
        <v>97</v>
      </c>
      <c r="E110" s="544">
        <f t="shared" si="26"/>
        <v>94</v>
      </c>
      <c r="F110" s="544">
        <f t="shared" si="26"/>
        <v>91</v>
      </c>
      <c r="G110" s="544">
        <f t="shared" si="26"/>
        <v>88</v>
      </c>
      <c r="H110" s="544">
        <f t="shared" si="26"/>
        <v>85</v>
      </c>
      <c r="I110" s="544">
        <f t="shared" si="26"/>
        <v>82</v>
      </c>
      <c r="J110" s="544">
        <f t="shared" si="26"/>
        <v>79</v>
      </c>
      <c r="K110" s="544">
        <f t="shared" si="26"/>
        <v>76</v>
      </c>
      <c r="L110" s="544">
        <f t="shared" si="26"/>
        <v>73</v>
      </c>
      <c r="M110" s="544">
        <f t="shared" si="26"/>
        <v>70</v>
      </c>
      <c r="N110" s="1152"/>
      <c r="O110" s="1152"/>
      <c r="P110" s="262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4"/>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4"/>
      <c r="Q113" s="559"/>
    </row>
    <row r="114" spans="1:17" ht="15" thickTop="1">
      <c r="A114" s="599"/>
      <c r="B114" s="538" t="s">
        <v>2606</v>
      </c>
      <c r="C114" s="554" t="s">
        <v>3441</v>
      </c>
      <c r="D114" s="554" t="s">
        <v>3443</v>
      </c>
      <c r="E114" s="583" t="s">
        <v>3436</v>
      </c>
      <c r="F114" s="583" t="s">
        <v>3430</v>
      </c>
      <c r="G114" s="583" t="s">
        <v>3432</v>
      </c>
      <c r="H114" s="583"/>
      <c r="I114" s="583"/>
      <c r="J114" s="583"/>
      <c r="K114" s="584"/>
      <c r="L114" s="585"/>
      <c r="M114" s="586"/>
      <c r="N114" s="1151"/>
      <c r="O114" s="1151"/>
      <c r="P114" s="2623"/>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2"/>
      <c r="O115" s="1152"/>
      <c r="P115" s="2623"/>
      <c r="Q115" s="504"/>
    </row>
    <row r="116" spans="1:17" ht="15" thickTop="1">
      <c r="A116" s="599"/>
      <c r="B116" s="538" t="s">
        <v>2607</v>
      </c>
      <c r="C116" s="2966" t="s">
        <v>3490</v>
      </c>
      <c r="D116" s="2966" t="s">
        <v>3491</v>
      </c>
      <c r="E116" s="2966" t="s">
        <v>3492</v>
      </c>
      <c r="F116" s="2966" t="s">
        <v>3493</v>
      </c>
      <c r="G116" s="2966" t="s">
        <v>3494</v>
      </c>
      <c r="H116" s="583"/>
      <c r="I116" s="583"/>
      <c r="J116" s="583"/>
      <c r="K116" s="584"/>
      <c r="L116" s="585"/>
      <c r="M116" s="586"/>
      <c r="N116" s="1151"/>
      <c r="O116" s="1151"/>
      <c r="P116" s="2623"/>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3"/>
      <c r="Q117" s="504"/>
    </row>
    <row r="118" spans="1:17" ht="15" thickTop="1">
      <c r="A118" s="599"/>
      <c r="B118" s="538" t="s">
        <v>2608</v>
      </c>
      <c r="C118" s="2967" t="s">
        <v>3489</v>
      </c>
      <c r="D118" s="2967" t="s">
        <v>3488</v>
      </c>
      <c r="E118" s="583"/>
      <c r="F118" s="583"/>
      <c r="G118" s="583"/>
      <c r="H118" s="583"/>
      <c r="I118" s="583"/>
      <c r="J118" s="583"/>
      <c r="K118" s="584"/>
      <c r="L118" s="585"/>
      <c r="M118" s="586"/>
      <c r="N118" s="1151"/>
      <c r="O118" s="1151"/>
      <c r="P118" s="2623"/>
      <c r="Q118" s="504"/>
    </row>
    <row r="119" spans="1:17" ht="14.4" thickBot="1">
      <c r="A119" s="534"/>
      <c r="B119" s="543"/>
      <c r="C119" s="544">
        <v>100</v>
      </c>
      <c r="D119" s="544">
        <f t="shared" ref="D119:M119" si="28">C119-$K40</f>
        <v>95</v>
      </c>
      <c r="E119" s="544">
        <f t="shared" si="28"/>
        <v>90</v>
      </c>
      <c r="F119" s="544">
        <f t="shared" si="28"/>
        <v>85</v>
      </c>
      <c r="G119" s="544">
        <f t="shared" si="28"/>
        <v>80</v>
      </c>
      <c r="H119" s="544">
        <f t="shared" si="28"/>
        <v>75</v>
      </c>
      <c r="I119" s="544">
        <f t="shared" si="28"/>
        <v>70</v>
      </c>
      <c r="J119" s="544">
        <f t="shared" si="28"/>
        <v>65</v>
      </c>
      <c r="K119" s="544">
        <f t="shared" si="28"/>
        <v>60</v>
      </c>
      <c r="L119" s="544">
        <f t="shared" si="28"/>
        <v>55</v>
      </c>
      <c r="M119" s="544">
        <f t="shared" si="28"/>
        <v>50</v>
      </c>
      <c r="N119" s="1152"/>
      <c r="O119" s="1152"/>
      <c r="P119" s="2623"/>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4"/>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4"/>
      <c r="Q121" s="559"/>
    </row>
    <row r="122" spans="1:17" ht="15" thickTop="1">
      <c r="A122" s="599"/>
      <c r="B122" s="538" t="s">
        <v>2609</v>
      </c>
      <c r="C122" s="2966" t="s">
        <v>3480</v>
      </c>
      <c r="D122" s="2966" t="s">
        <v>3482</v>
      </c>
      <c r="E122" s="2966" t="s">
        <v>3484</v>
      </c>
      <c r="F122" s="2967" t="s">
        <v>3486</v>
      </c>
      <c r="G122" s="583"/>
      <c r="H122" s="583"/>
      <c r="I122" s="583"/>
      <c r="J122" s="583"/>
      <c r="K122" s="584"/>
      <c r="L122" s="585"/>
      <c r="M122" s="586"/>
      <c r="N122" s="1151"/>
      <c r="O122" s="1151"/>
      <c r="P122" s="2623"/>
      <c r="Q122" s="504"/>
    </row>
    <row r="123" spans="1:17" ht="14.4" thickBot="1">
      <c r="A123" s="534"/>
      <c r="B123" s="543"/>
      <c r="C123" s="544">
        <v>100</v>
      </c>
      <c r="D123" s="544">
        <f t="shared" ref="D123:M123" si="29">C123-$K42</f>
        <v>97</v>
      </c>
      <c r="E123" s="544">
        <f t="shared" si="29"/>
        <v>94</v>
      </c>
      <c r="F123" s="544">
        <f t="shared" si="29"/>
        <v>91</v>
      </c>
      <c r="G123" s="544">
        <f t="shared" si="29"/>
        <v>88</v>
      </c>
      <c r="H123" s="544">
        <f t="shared" si="29"/>
        <v>85</v>
      </c>
      <c r="I123" s="544">
        <f t="shared" si="29"/>
        <v>82</v>
      </c>
      <c r="J123" s="544">
        <f t="shared" si="29"/>
        <v>79</v>
      </c>
      <c r="K123" s="544">
        <f t="shared" si="29"/>
        <v>76</v>
      </c>
      <c r="L123" s="544">
        <f t="shared" si="29"/>
        <v>73</v>
      </c>
      <c r="M123" s="544">
        <f t="shared" si="29"/>
        <v>70</v>
      </c>
      <c r="N123" s="1152"/>
      <c r="O123" s="1152"/>
      <c r="P123" s="2623"/>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4"/>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4"/>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4"/>
      <c r="Q127" s="559"/>
    </row>
    <row r="128" spans="1:17" ht="14.4" thickTop="1">
      <c r="A128" s="599"/>
      <c r="B128" s="538">
        <f>B45</f>
        <v>111</v>
      </c>
      <c r="C128" s="554"/>
      <c r="D128" s="554"/>
      <c r="E128" s="554"/>
      <c r="F128" s="554"/>
      <c r="G128" s="583"/>
      <c r="H128" s="583"/>
      <c r="I128" s="583"/>
      <c r="J128" s="583"/>
      <c r="K128" s="584"/>
      <c r="L128" s="585"/>
      <c r="M128" s="586"/>
      <c r="N128" s="1151"/>
      <c r="O128" s="1151"/>
      <c r="P128" s="2623"/>
      <c r="Q128" s="504"/>
    </row>
    <row r="129" spans="1:17" ht="14.4" thickBot="1">
      <c r="A129" s="534"/>
      <c r="B129" s="543"/>
      <c r="C129" s="560"/>
      <c r="D129" s="560"/>
      <c r="E129" s="560"/>
      <c r="F129" s="560"/>
      <c r="G129" s="536"/>
      <c r="H129" s="536"/>
      <c r="I129" s="536"/>
      <c r="J129" s="536"/>
      <c r="K129" s="536"/>
      <c r="L129" s="536"/>
      <c r="M129" s="537"/>
      <c r="N129" s="1152"/>
      <c r="O129" s="1152"/>
      <c r="P129" s="2623"/>
      <c r="Q129" s="504"/>
    </row>
    <row r="130" spans="1:17" ht="14.4" thickTop="1">
      <c r="A130" s="599"/>
      <c r="B130" s="546">
        <f>B46</f>
        <v>111</v>
      </c>
      <c r="C130" s="554"/>
      <c r="D130" s="554"/>
      <c r="E130" s="554"/>
      <c r="F130" s="554"/>
      <c r="G130" s="587"/>
      <c r="H130" s="587"/>
      <c r="I130" s="587"/>
      <c r="J130" s="587"/>
      <c r="K130" s="523"/>
      <c r="L130" s="524"/>
      <c r="M130" s="590"/>
      <c r="N130" s="1151"/>
      <c r="O130" s="1151"/>
      <c r="P130" s="2623"/>
      <c r="Q130" s="504"/>
    </row>
    <row r="131" spans="1:17" ht="14.4" thickBot="1">
      <c r="A131" s="2629"/>
      <c r="B131" s="569"/>
      <c r="C131" s="570"/>
      <c r="D131" s="570"/>
      <c r="E131" s="570"/>
      <c r="F131" s="570"/>
      <c r="G131" s="591"/>
      <c r="H131" s="591"/>
      <c r="I131" s="591"/>
      <c r="J131" s="591"/>
      <c r="K131" s="591"/>
      <c r="L131" s="591"/>
      <c r="M131" s="592"/>
      <c r="N131" s="1152"/>
      <c r="O131" s="1152"/>
      <c r="P131" s="2623"/>
      <c r="Q131" s="504"/>
    </row>
    <row r="136" spans="1:17" ht="15" thickBot="1">
      <c r="B136" s="2630" t="s">
        <v>2611</v>
      </c>
    </row>
    <row r="137" spans="1:17" ht="15">
      <c r="B137" s="2631" t="s">
        <v>2612</v>
      </c>
      <c r="C137" s="2632"/>
      <c r="D137" s="2632"/>
      <c r="E137" s="2632"/>
      <c r="F137" s="2632"/>
      <c r="G137" s="2633"/>
      <c r="H137" s="2634"/>
      <c r="I137" s="2635" t="s">
        <v>2613</v>
      </c>
      <c r="J137" s="2632"/>
      <c r="K137" s="2636"/>
    </row>
    <row r="138" spans="1:17" ht="15">
      <c r="B138" s="2637"/>
      <c r="C138" s="146" t="s">
        <v>2614</v>
      </c>
      <c r="D138" s="146" t="s">
        <v>2615</v>
      </c>
      <c r="E138" s="2638" t="s">
        <v>2616</v>
      </c>
      <c r="F138" s="2639" t="s">
        <v>2617</v>
      </c>
      <c r="G138" s="146" t="s">
        <v>2615</v>
      </c>
      <c r="H138" s="147" t="s">
        <v>2616</v>
      </c>
      <c r="I138" s="2640"/>
      <c r="J138" s="146" t="s">
        <v>2618</v>
      </c>
      <c r="K138" s="147" t="s">
        <v>2619</v>
      </c>
    </row>
    <row r="139" spans="1:17" ht="15">
      <c r="B139" s="1083">
        <v>6</v>
      </c>
      <c r="C139" s="1084">
        <v>96</v>
      </c>
      <c r="D139" s="2641" t="s">
        <v>2620</v>
      </c>
      <c r="E139" s="1085">
        <v>100</v>
      </c>
      <c r="F139" s="1086">
        <v>102.5</v>
      </c>
      <c r="G139" s="2641" t="s">
        <v>2620</v>
      </c>
      <c r="H139" s="1087">
        <v>105</v>
      </c>
      <c r="I139" s="2642" t="s">
        <v>2621</v>
      </c>
      <c r="J139" s="1084">
        <v>20</v>
      </c>
      <c r="K139" s="1088">
        <f>C145/(J139-2)</f>
        <v>4.0555555555555553E-3</v>
      </c>
    </row>
    <row r="140" spans="1:17" ht="15">
      <c r="B140" s="1089">
        <v>5</v>
      </c>
      <c r="C140" s="1090">
        <v>100</v>
      </c>
      <c r="D140" s="1090"/>
      <c r="E140" s="1091"/>
      <c r="F140" s="1092">
        <v>102</v>
      </c>
      <c r="G140" s="1090"/>
      <c r="H140" s="1093"/>
      <c r="I140" s="2643" t="s">
        <v>2622</v>
      </c>
      <c r="J140" s="315">
        <f>ROUNDUP((J139-1)/2,0)</f>
        <v>10</v>
      </c>
      <c r="K140" s="1094">
        <v>100</v>
      </c>
    </row>
    <row r="141" spans="1:17" ht="15">
      <c r="B141" s="1089">
        <v>4</v>
      </c>
      <c r="C141" s="1090">
        <v>102</v>
      </c>
      <c r="D141" s="1090"/>
      <c r="E141" s="1091"/>
      <c r="F141" s="1092">
        <v>101.5</v>
      </c>
      <c r="G141" s="1090"/>
      <c r="H141" s="1093"/>
      <c r="I141" s="2643" t="s">
        <v>2623</v>
      </c>
      <c r="J141" s="315">
        <v>1</v>
      </c>
      <c r="K141" s="1095">
        <f>ROUND(100+(J141-J140)*K139*100,1)</f>
        <v>96.4</v>
      </c>
    </row>
    <row r="142" spans="1:17" ht="15">
      <c r="B142" s="1089">
        <v>3</v>
      </c>
      <c r="C142" s="1090">
        <v>103</v>
      </c>
      <c r="D142" s="1090"/>
      <c r="E142" s="1091"/>
      <c r="F142" s="1092">
        <v>101</v>
      </c>
      <c r="G142" s="1090"/>
      <c r="H142" s="1093"/>
      <c r="I142" s="2643" t="s">
        <v>2624</v>
      </c>
      <c r="J142" s="315">
        <f>J139</f>
        <v>20</v>
      </c>
      <c r="K142" s="1096">
        <v>95</v>
      </c>
    </row>
    <row r="143" spans="1:17" ht="15">
      <c r="B143" s="1089">
        <v>2</v>
      </c>
      <c r="C143" s="1090">
        <v>100</v>
      </c>
      <c r="D143" s="1090"/>
      <c r="E143" s="1091"/>
      <c r="F143" s="1092">
        <v>100.5</v>
      </c>
      <c r="G143" s="1090"/>
      <c r="H143" s="1093"/>
      <c r="I143" s="2643" t="s">
        <v>2625</v>
      </c>
      <c r="J143" s="1090">
        <v>15</v>
      </c>
      <c r="K143" s="1095">
        <f>ROUND(100+(J143-J140)*K139*100,1)</f>
        <v>102</v>
      </c>
    </row>
    <row r="144" spans="1:17" ht="15">
      <c r="B144" s="1089">
        <v>1</v>
      </c>
      <c r="C144" s="1090">
        <v>98</v>
      </c>
      <c r="D144" s="2644" t="s">
        <v>2626</v>
      </c>
      <c r="E144" s="1091">
        <v>102</v>
      </c>
      <c r="F144" s="1097">
        <v>100</v>
      </c>
      <c r="G144" s="2644" t="s">
        <v>2626</v>
      </c>
      <c r="H144" s="1093">
        <v>105</v>
      </c>
      <c r="I144" s="2643" t="s">
        <v>2625</v>
      </c>
      <c r="J144" s="1090">
        <v>18</v>
      </c>
      <c r="K144" s="1095">
        <f>ROUND(100+(J144-J140)*K139*100,1)</f>
        <v>103.2</v>
      </c>
    </row>
    <row r="145" spans="2:11" ht="16.2" thickBot="1">
      <c r="B145" s="2645" t="s">
        <v>2627</v>
      </c>
      <c r="C145" s="1098">
        <f>ROUND(MAX(C139:C144)/MIN(C139:C144)-1,3)</f>
        <v>7.2999999999999995E-2</v>
      </c>
      <c r="D145" s="1099"/>
      <c r="E145" s="1099"/>
      <c r="F145" s="2646" t="s">
        <v>2628</v>
      </c>
      <c r="G145" s="2647"/>
      <c r="H145" s="2648"/>
      <c r="I145" s="2649" t="s">
        <v>2625</v>
      </c>
      <c r="J145" s="1100">
        <v>8</v>
      </c>
      <c r="K145" s="1101">
        <f>ROUND(100+(J145-J140)*K139*100,1)</f>
        <v>99.2</v>
      </c>
    </row>
    <row r="147" spans="2:11" ht="14.4">
      <c r="B147" s="2630" t="s">
        <v>2629</v>
      </c>
    </row>
    <row r="148" spans="2:11" ht="14.4">
      <c r="B148" s="2630" t="s">
        <v>2630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70" zoomScaleNormal="70" workbookViewId="0">
      <selection activeCell="M30" sqref="M30"/>
    </sheetView>
  </sheetViews>
  <sheetFormatPr defaultColWidth="9" defaultRowHeight="13.8"/>
  <cols>
    <col min="1" max="1" width="10.44140625" style="403" customWidth="1"/>
    <col min="2" max="2" width="15.77734375" style="403" customWidth="1"/>
    <col min="3" max="3" width="18.21875" style="403" customWidth="1"/>
    <col min="4" max="4" width="12.21875" style="403" customWidth="1"/>
    <col min="5" max="5" width="15.88671875" style="403" customWidth="1"/>
    <col min="6" max="6" width="12.21875" style="403" customWidth="1"/>
    <col min="7" max="7" width="15.66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2631</v>
      </c>
      <c r="C1" s="1632" t="s">
        <v>2519</v>
      </c>
      <c r="D1" s="1619" t="s">
        <v>1373</v>
      </c>
      <c r="E1" s="2650"/>
      <c r="F1" s="2579" t="s">
        <v>3512</v>
      </c>
      <c r="G1" s="1629" t="s">
        <v>2632</v>
      </c>
      <c r="H1" s="1628"/>
      <c r="I1" s="1628"/>
      <c r="J1" s="1628"/>
      <c r="K1" s="1630"/>
      <c r="L1" s="1631"/>
      <c r="M1" s="1632"/>
      <c r="N1" s="1632"/>
      <c r="O1" s="1632"/>
      <c r="P1" s="2651"/>
      <c r="Q1" s="2652"/>
      <c r="R1" s="2652"/>
      <c r="S1" s="2652"/>
      <c r="T1" s="2652"/>
      <c r="U1" s="2652"/>
      <c r="V1" s="2652"/>
      <c r="W1" s="2652"/>
      <c r="X1" s="2652"/>
      <c r="Y1" s="2652"/>
      <c r="Z1" s="2652"/>
      <c r="AA1" s="2652"/>
      <c r="AB1" s="2652"/>
      <c r="AC1" s="2653"/>
    </row>
    <row r="2" spans="1:29" s="398" customFormat="1" ht="28.5" customHeight="1" thickTop="1">
      <c r="A2" s="1615" t="s">
        <v>2319</v>
      </c>
      <c r="B2" s="1417">
        <f>IF(C2="——",ROUND(C49*D3/10000,0),ROUND(C49*D3/10000,0)-D2)</f>
        <v>0</v>
      </c>
      <c r="C2" s="2581" t="s">
        <v>70</v>
      </c>
      <c r="D2" s="1364" t="e">
        <f ca="1">SUMIF(INDIRECT("'"&amp;F2&amp;"'"&amp;"!A:A"),"承租人权益价值",INDIRECT("'"&amp;F2&amp;"'"&amp;"!c:c"))</f>
        <v>#REF!</v>
      </c>
      <c r="E2" s="2582" t="s">
        <v>2320</v>
      </c>
      <c r="F2" s="2583"/>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8" customFormat="1" ht="28.5" customHeight="1" thickBot="1">
      <c r="A3" s="247" t="s">
        <v>2321</v>
      </c>
      <c r="B3" s="609">
        <f>IF(C2="——",C49,ROUND(B2*10000/D3,0))</f>
        <v>29543</v>
      </c>
      <c r="C3" s="400" t="s">
        <v>2633</v>
      </c>
      <c r="D3" s="399">
        <f>IF(D1="",'数据-汇总表'!E3,SUMIF('数据-汇总表'!$C19:$C33,D1,'数据-汇总表'!$E19:$E33))</f>
        <v>0</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4.4">
      <c r="A4" s="401" t="s">
        <v>2634</v>
      </c>
      <c r="B4" s="402"/>
      <c r="C4" s="3205" t="s">
        <v>2635</v>
      </c>
      <c r="D4" s="3206"/>
      <c r="E4" s="3207" t="s">
        <v>2636</v>
      </c>
      <c r="F4" s="3208"/>
      <c r="G4" s="3205" t="s">
        <v>2637</v>
      </c>
      <c r="H4" s="3206"/>
      <c r="I4" s="3205" t="s">
        <v>2638</v>
      </c>
      <c r="J4" s="3206"/>
      <c r="K4" s="610" t="s">
        <v>2639</v>
      </c>
      <c r="L4" s="1129"/>
      <c r="M4" s="1130"/>
      <c r="N4" s="1130"/>
      <c r="O4" s="1130"/>
      <c r="P4" s="3209" t="s">
        <v>2640</v>
      </c>
      <c r="Q4" s="3210"/>
      <c r="R4" s="3215" t="s">
        <v>2636</v>
      </c>
      <c r="S4" s="3216"/>
      <c r="T4" s="3215" t="s">
        <v>2637</v>
      </c>
      <c r="U4" s="3216"/>
      <c r="V4" s="3231" t="s">
        <v>2638</v>
      </c>
      <c r="W4" s="3231"/>
      <c r="X4" s="1811"/>
      <c r="Y4" s="3215" t="s">
        <v>2640</v>
      </c>
      <c r="Z4" s="3216"/>
      <c r="AA4" s="3202" t="s">
        <v>2636</v>
      </c>
      <c r="AB4" s="3231" t="s">
        <v>2637</v>
      </c>
      <c r="AC4" s="3202" t="s">
        <v>2638</v>
      </c>
    </row>
    <row r="5" spans="1:29">
      <c r="A5" s="404"/>
      <c r="B5" s="405"/>
      <c r="C5" s="3250" t="s">
        <v>2531</v>
      </c>
      <c r="D5" s="3220"/>
      <c r="E5" s="3251" t="s">
        <v>2532</v>
      </c>
      <c r="F5" s="3222"/>
      <c r="G5" s="3250" t="s">
        <v>2533</v>
      </c>
      <c r="H5" s="3220"/>
      <c r="I5" s="3250" t="s">
        <v>2534</v>
      </c>
      <c r="J5" s="3220"/>
      <c r="K5" s="610"/>
      <c r="L5" s="1129"/>
      <c r="M5" s="1130"/>
      <c r="N5" s="1130"/>
      <c r="O5" s="1130"/>
      <c r="P5" s="3211"/>
      <c r="Q5" s="3212"/>
      <c r="R5" s="3217"/>
      <c r="S5" s="3218"/>
      <c r="T5" s="3217"/>
      <c r="U5" s="3218"/>
      <c r="V5" s="3231"/>
      <c r="W5" s="3231"/>
      <c r="X5" s="1811"/>
      <c r="Y5" s="3217"/>
      <c r="Z5" s="3218"/>
      <c r="AA5" s="3203"/>
      <c r="AB5" s="3231"/>
      <c r="AC5" s="3203"/>
    </row>
    <row r="6" spans="1:29" ht="15" thickBot="1">
      <c r="A6" s="406"/>
      <c r="B6" s="407"/>
      <c r="C6" s="3224" t="s">
        <v>2535</v>
      </c>
      <c r="D6" s="3225"/>
      <c r="E6" s="3226" t="s">
        <v>2535</v>
      </c>
      <c r="F6" s="3227"/>
      <c r="G6" s="3224" t="s">
        <v>2535</v>
      </c>
      <c r="H6" s="3225"/>
      <c r="I6" s="3224" t="s">
        <v>2535</v>
      </c>
      <c r="J6" s="3225"/>
      <c r="K6" s="610" t="s">
        <v>2536</v>
      </c>
      <c r="L6" s="1129"/>
      <c r="M6" s="1130"/>
      <c r="N6" s="1130"/>
      <c r="O6" s="1130"/>
      <c r="P6" s="3213"/>
      <c r="Q6" s="3214"/>
      <c r="R6" s="3217"/>
      <c r="S6" s="3218"/>
      <c r="T6" s="3229"/>
      <c r="U6" s="3230"/>
      <c r="V6" s="3231"/>
      <c r="W6" s="3231"/>
      <c r="X6" s="1811"/>
      <c r="Y6" s="3229"/>
      <c r="Z6" s="3230"/>
      <c r="AA6" s="3204"/>
      <c r="AB6" s="3231"/>
      <c r="AC6" s="3204"/>
    </row>
    <row r="7" spans="1:29" s="117" customFormat="1" ht="15" thickBot="1">
      <c r="A7" s="408" t="s">
        <v>2537</v>
      </c>
      <c r="B7" s="409"/>
      <c r="C7" s="410">
        <f>'数据-取费表'!B2</f>
        <v>43725</v>
      </c>
      <c r="D7" s="411">
        <v>100</v>
      </c>
      <c r="E7" s="412">
        <v>43709</v>
      </c>
      <c r="F7" s="413">
        <f>SUMIF(58:58,YEAR(E7)&amp;"-"&amp;MONTH(E7),59:59)</f>
        <v>100</v>
      </c>
      <c r="G7" s="412">
        <v>43709</v>
      </c>
      <c r="H7" s="411">
        <f>SUMIF(58:58,YEAR(G7)&amp;"-"&amp;MONTH(G7),59:59)</f>
        <v>100</v>
      </c>
      <c r="I7" s="412">
        <v>43709</v>
      </c>
      <c r="J7" s="411">
        <f>SUMIF(58:58,YEAR(I7)&amp;"-"&amp;MONTH(I7),59:59)</f>
        <v>100</v>
      </c>
      <c r="K7" s="611"/>
      <c r="L7" s="1131"/>
      <c r="M7" s="1132"/>
      <c r="N7" s="1132"/>
      <c r="O7" s="1132"/>
      <c r="P7" s="3232" t="s">
        <v>2538</v>
      </c>
      <c r="Q7" s="3233"/>
      <c r="R7" s="770" t="s">
        <v>17</v>
      </c>
      <c r="S7" s="771">
        <f t="shared" ref="S7:S15" si="0">F7</f>
        <v>100</v>
      </c>
      <c r="T7" s="770" t="s">
        <v>17</v>
      </c>
      <c r="U7" s="771">
        <f t="shared" ref="U7:U15" si="1">H7</f>
        <v>100</v>
      </c>
      <c r="V7" s="770" t="s">
        <v>17</v>
      </c>
      <c r="W7" s="771">
        <f t="shared" ref="W7:W15" si="2">J7</f>
        <v>100</v>
      </c>
      <c r="X7" s="772"/>
      <c r="Y7" s="3232" t="s">
        <v>2538</v>
      </c>
      <c r="Z7" s="3234"/>
      <c r="AA7" s="773">
        <f>D7/F7</f>
        <v>1</v>
      </c>
      <c r="AB7" s="773">
        <f>D7/H7</f>
        <v>1</v>
      </c>
      <c r="AC7" s="773">
        <f>D7/J7</f>
        <v>1</v>
      </c>
    </row>
    <row r="8" spans="1:29" s="117" customFormat="1" ht="15" thickBot="1">
      <c r="A8" s="408" t="s">
        <v>2539</v>
      </c>
      <c r="B8" s="409"/>
      <c r="C8" s="414" t="s">
        <v>3439</v>
      </c>
      <c r="D8" s="411">
        <v>100</v>
      </c>
      <c r="E8" s="414" t="s">
        <v>3439</v>
      </c>
      <c r="F8" s="413">
        <f>SUMIF(61:61,E8,62:62)-SUMIF(61:61,C8,62:62)+100</f>
        <v>100</v>
      </c>
      <c r="G8" s="414" t="s">
        <v>3439</v>
      </c>
      <c r="H8" s="411">
        <f>SUMIF(61:61,G8,62:62)-SUMIF(61:61,C8,62:62)+100</f>
        <v>100</v>
      </c>
      <c r="I8" s="414" t="s">
        <v>3439</v>
      </c>
      <c r="J8" s="411">
        <f>SUMIF(61:61,I8,62:62)-SUMIF(61:61,C8,62:62)+100</f>
        <v>100</v>
      </c>
      <c r="K8" s="611"/>
      <c r="L8" s="1131"/>
      <c r="M8" s="1132"/>
      <c r="N8" s="1132"/>
      <c r="O8" s="1132"/>
      <c r="P8" s="3232" t="s">
        <v>2541</v>
      </c>
      <c r="Q8" s="3234"/>
      <c r="R8" s="770" t="s">
        <v>17</v>
      </c>
      <c r="S8" s="771">
        <f t="shared" si="0"/>
        <v>100</v>
      </c>
      <c r="T8" s="770" t="s">
        <v>17</v>
      </c>
      <c r="U8" s="771">
        <f t="shared" si="1"/>
        <v>100</v>
      </c>
      <c r="V8" s="770" t="s">
        <v>17</v>
      </c>
      <c r="W8" s="771">
        <f t="shared" si="2"/>
        <v>100</v>
      </c>
      <c r="X8" s="772"/>
      <c r="Y8" s="3232" t="s">
        <v>2541</v>
      </c>
      <c r="Z8" s="3234"/>
      <c r="AA8" s="773">
        <f t="shared" ref="AA8:AA46" si="3">D8/F8</f>
        <v>1</v>
      </c>
      <c r="AB8" s="773">
        <f t="shared" ref="AB8:AB46" si="4">D8/H8</f>
        <v>1</v>
      </c>
      <c r="AC8" s="773">
        <f t="shared" ref="AC8:AC46" si="5">D8/J8</f>
        <v>1</v>
      </c>
    </row>
    <row r="9" spans="1:29" s="117" customFormat="1" ht="14.4">
      <c r="A9" s="415" t="s">
        <v>2542</v>
      </c>
      <c r="B9" s="71" t="s">
        <v>2543</v>
      </c>
      <c r="C9" s="2968" t="s">
        <v>3513</v>
      </c>
      <c r="D9" s="135">
        <v>100</v>
      </c>
      <c r="E9" s="2968" t="s">
        <v>3513</v>
      </c>
      <c r="F9" s="418">
        <f>SUMIF(63:63,E9,64:64)-SUMIF(63:63,C9,64:64)+100</f>
        <v>100</v>
      </c>
      <c r="G9" s="2968" t="s">
        <v>3513</v>
      </c>
      <c r="H9" s="135">
        <f>SUMIF(63:63,G9,64:64)-SUMIF(63:63,C9,64:64)+100</f>
        <v>100</v>
      </c>
      <c r="I9" s="2968" t="s">
        <v>3513</v>
      </c>
      <c r="J9" s="135">
        <f>SUMIF(63:63,I9,64:64)-SUMIF(63:63,C9,64:64)+100</f>
        <v>100</v>
      </c>
      <c r="K9" s="611"/>
      <c r="L9" s="1131"/>
      <c r="M9" s="1132"/>
      <c r="N9" s="1132"/>
      <c r="O9" s="1132"/>
      <c r="P9" s="3235" t="s">
        <v>2544</v>
      </c>
      <c r="Q9" s="1793" t="str">
        <f t="shared" ref="Q9:Q15" si="6">B9</f>
        <v>用途</v>
      </c>
      <c r="R9" s="770" t="s">
        <v>17</v>
      </c>
      <c r="S9" s="771">
        <f t="shared" si="0"/>
        <v>100</v>
      </c>
      <c r="T9" s="770" t="s">
        <v>17</v>
      </c>
      <c r="U9" s="771">
        <f t="shared" si="1"/>
        <v>100</v>
      </c>
      <c r="V9" s="770" t="s">
        <v>17</v>
      </c>
      <c r="W9" s="771">
        <f t="shared" si="2"/>
        <v>100</v>
      </c>
      <c r="X9" s="772"/>
      <c r="Y9" s="3024" t="s">
        <v>2545</v>
      </c>
      <c r="Z9" s="55" t="str">
        <f t="shared" ref="Z9:Z15" si="7">Q9</f>
        <v>用途</v>
      </c>
      <c r="AA9" s="773">
        <f t="shared" si="3"/>
        <v>1</v>
      </c>
      <c r="AB9" s="773">
        <f t="shared" si="4"/>
        <v>1</v>
      </c>
      <c r="AC9" s="773">
        <f t="shared" si="5"/>
        <v>1</v>
      </c>
    </row>
    <row r="10" spans="1:29" s="427" customFormat="1" ht="28.8">
      <c r="A10" s="421"/>
      <c r="B10" s="422" t="s">
        <v>2546</v>
      </c>
      <c r="C10" s="423" t="s">
        <v>3514</v>
      </c>
      <c r="D10" s="136">
        <v>100</v>
      </c>
      <c r="E10" s="423" t="s">
        <v>3514</v>
      </c>
      <c r="F10" s="425">
        <f>SUMIF(65:65,E10,66:66)-SUMIF(65:65,C10,66:66)+100</f>
        <v>100</v>
      </c>
      <c r="G10" s="423" t="s">
        <v>3514</v>
      </c>
      <c r="H10" s="136">
        <f>SUMIF(65:65,G10,66:66)-SUMIF(65:65,C10,66:66)+100</f>
        <v>100</v>
      </c>
      <c r="I10" s="423" t="s">
        <v>3514</v>
      </c>
      <c r="J10" s="136">
        <f>SUMIF(65:65,I10,66:66)-SUMIF(65:65,C10,66:66)+100</f>
        <v>100</v>
      </c>
      <c r="K10" s="612">
        <v>1</v>
      </c>
      <c r="L10" s="1134"/>
      <c r="M10" s="1135"/>
      <c r="N10" s="1135"/>
      <c r="O10" s="1135"/>
      <c r="P10" s="3235"/>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235"/>
      <c r="Q11" s="1793"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773">
        <f t="shared" si="5"/>
        <v>1</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5"/>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5"/>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5"/>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2548</v>
      </c>
      <c r="B15" s="69" t="s">
        <v>2642</v>
      </c>
      <c r="C15" s="2597" t="str">
        <f>估价对象房地状况!C4</f>
        <v>较差</v>
      </c>
      <c r="D15" s="441">
        <v>100</v>
      </c>
      <c r="E15" s="442"/>
      <c r="F15" s="443">
        <f>SUMIF(76:76,E16,77:77)-SUMIF(76:76,C16,77:77)+100</f>
        <v>104</v>
      </c>
      <c r="G15" s="444"/>
      <c r="H15" s="441">
        <f>SUMIF(76:76,G16,77:77)-SUMIF(76:76,C16,77:77)+100</f>
        <v>104</v>
      </c>
      <c r="I15" s="442"/>
      <c r="J15" s="441">
        <f>SUMIF(76:76,I16,77:77)-SUMIF(76:76,C16,77:77)+100</f>
        <v>104</v>
      </c>
      <c r="K15" s="614">
        <v>2</v>
      </c>
      <c r="L15" s="1139"/>
      <c r="M15" s="1130"/>
      <c r="N15" s="1130"/>
      <c r="O15" s="1130"/>
      <c r="P15" s="3236" t="s">
        <v>2549</v>
      </c>
      <c r="Q15" s="1808" t="str">
        <f t="shared" si="6"/>
        <v>商业繁华度</v>
      </c>
      <c r="R15" s="774" t="s">
        <v>17</v>
      </c>
      <c r="S15" s="775">
        <f t="shared" si="0"/>
        <v>104</v>
      </c>
      <c r="T15" s="774" t="s">
        <v>17</v>
      </c>
      <c r="U15" s="775">
        <f t="shared" si="1"/>
        <v>104</v>
      </c>
      <c r="V15" s="774" t="s">
        <v>17</v>
      </c>
      <c r="W15" s="775">
        <f t="shared" si="2"/>
        <v>104</v>
      </c>
      <c r="X15" s="1811"/>
      <c r="Y15" s="3238" t="s">
        <v>2549</v>
      </c>
      <c r="Z15" s="1812" t="str">
        <f t="shared" si="7"/>
        <v>商业繁华度</v>
      </c>
      <c r="AA15" s="1809">
        <f t="shared" si="3"/>
        <v>0.96153846153846156</v>
      </c>
      <c r="AB15" s="1809">
        <f t="shared" si="4"/>
        <v>0.96153846153846156</v>
      </c>
      <c r="AC15" s="1809">
        <f t="shared" si="5"/>
        <v>0.96153846153846156</v>
      </c>
    </row>
    <row r="16" spans="1:29" ht="15">
      <c r="A16" s="428"/>
      <c r="B16" s="446"/>
      <c r="C16" s="447" t="s">
        <v>3430</v>
      </c>
      <c r="D16" s="448"/>
      <c r="E16" s="447" t="s">
        <v>3443</v>
      </c>
      <c r="F16" s="449"/>
      <c r="G16" s="447" t="s">
        <v>3443</v>
      </c>
      <c r="H16" s="450"/>
      <c r="I16" s="447" t="s">
        <v>3443</v>
      </c>
      <c r="J16" s="448"/>
      <c r="K16" s="615"/>
      <c r="L16" s="1139"/>
      <c r="M16" s="1130"/>
      <c r="N16" s="1130"/>
      <c r="O16" s="1130"/>
      <c r="P16" s="3237"/>
      <c r="Q16" s="1808"/>
      <c r="R16" s="774"/>
      <c r="S16" s="775"/>
      <c r="T16" s="774"/>
      <c r="U16" s="775"/>
      <c r="V16" s="774"/>
      <c r="W16" s="775"/>
      <c r="X16" s="1811"/>
      <c r="Y16" s="3239"/>
      <c r="Z16" s="1812"/>
      <c r="AA16" s="1809">
        <v>1</v>
      </c>
      <c r="AB16" s="1809">
        <v>1</v>
      </c>
      <c r="AC16" s="1809">
        <v>1</v>
      </c>
    </row>
    <row r="17" spans="1:29" ht="15">
      <c r="A17" s="428"/>
      <c r="B17" s="451" t="s">
        <v>2089</v>
      </c>
      <c r="C17" s="2601" t="str">
        <f>估价对象房地状况!C6</f>
        <v>差</v>
      </c>
      <c r="D17" s="450">
        <v>100</v>
      </c>
      <c r="E17" s="452"/>
      <c r="F17" s="453">
        <f>SUMIF(78:78,E18,79:79)-SUMIF(78:78,C18,79:79)+100</f>
        <v>102</v>
      </c>
      <c r="G17" s="452"/>
      <c r="H17" s="455">
        <f>SUMIF(78:78,G18,79:79)-SUMIF(78:78,C18,79:79)+100</f>
        <v>102</v>
      </c>
      <c r="I17" s="452"/>
      <c r="J17" s="455">
        <f>SUMIF(78:78,I18,79:79)-SUMIF(78:78,C18,79:79)+100</f>
        <v>102</v>
      </c>
      <c r="K17" s="614">
        <v>1</v>
      </c>
      <c r="L17" s="1139"/>
      <c r="M17" s="1130"/>
      <c r="N17" s="1130"/>
      <c r="O17" s="1130"/>
      <c r="P17" s="3237"/>
      <c r="Q17" s="1808" t="str">
        <f>B17</f>
        <v>交通便捷度</v>
      </c>
      <c r="R17" s="774" t="s">
        <v>17</v>
      </c>
      <c r="S17" s="775">
        <f>F17</f>
        <v>102</v>
      </c>
      <c r="T17" s="774" t="s">
        <v>17</v>
      </c>
      <c r="U17" s="775">
        <f>H17</f>
        <v>102</v>
      </c>
      <c r="V17" s="774" t="s">
        <v>17</v>
      </c>
      <c r="W17" s="775">
        <f>J17</f>
        <v>102</v>
      </c>
      <c r="X17" s="1811"/>
      <c r="Y17" s="3239"/>
      <c r="Z17" s="1812" t="str">
        <f>Q17</f>
        <v>交通便捷度</v>
      </c>
      <c r="AA17" s="1809">
        <f t="shared" si="3"/>
        <v>0.98039215686274506</v>
      </c>
      <c r="AB17" s="1809">
        <f t="shared" si="4"/>
        <v>0.98039215686274506</v>
      </c>
      <c r="AC17" s="1809">
        <f t="shared" si="5"/>
        <v>0.98039215686274506</v>
      </c>
    </row>
    <row r="18" spans="1:29" ht="15">
      <c r="A18" s="428"/>
      <c r="B18" s="456"/>
      <c r="C18" s="2602" t="s">
        <v>3432</v>
      </c>
      <c r="D18" s="450"/>
      <c r="E18" s="2604" t="s">
        <v>3436</v>
      </c>
      <c r="F18" s="453"/>
      <c r="G18" s="2604" t="s">
        <v>3436</v>
      </c>
      <c r="H18" s="448"/>
      <c r="I18" s="2604" t="s">
        <v>3436</v>
      </c>
      <c r="J18" s="448"/>
      <c r="K18" s="615"/>
      <c r="L18" s="1139"/>
      <c r="M18" s="1130"/>
      <c r="N18" s="1130"/>
      <c r="O18" s="1130"/>
      <c r="P18" s="3237"/>
      <c r="Q18" s="1808"/>
      <c r="R18" s="774"/>
      <c r="S18" s="775"/>
      <c r="T18" s="774"/>
      <c r="U18" s="775"/>
      <c r="V18" s="774"/>
      <c r="W18" s="775"/>
      <c r="X18" s="1811"/>
      <c r="Y18" s="3239"/>
      <c r="Z18" s="1812"/>
      <c r="AA18" s="1809">
        <v>1</v>
      </c>
      <c r="AB18" s="1809">
        <v>1</v>
      </c>
      <c r="AC18" s="1809">
        <v>1</v>
      </c>
    </row>
    <row r="19" spans="1:29" ht="15">
      <c r="A19" s="428"/>
      <c r="B19" s="451" t="s">
        <v>2643</v>
      </c>
      <c r="C19" s="2601" t="str">
        <f>估价对象房地状况!C7</f>
        <v>差</v>
      </c>
      <c r="D19" s="455">
        <v>100</v>
      </c>
      <c r="E19" s="457"/>
      <c r="F19" s="458">
        <f>SUMIF(80:80,E20,81:81)-SUMIF(80:80,C20,81:81)+100</f>
        <v>102</v>
      </c>
      <c r="G19" s="457"/>
      <c r="H19" s="450">
        <f>SUMIF(80:80,G20,81:81)-SUMIF(80:80,C20,81:81)+100</f>
        <v>102</v>
      </c>
      <c r="I19" s="457"/>
      <c r="J19" s="450">
        <f>SUMIF(80:80,I20,81:81)-SUMIF(80:80,C20,81:81)+100</f>
        <v>102</v>
      </c>
      <c r="K19" s="614">
        <v>1</v>
      </c>
      <c r="L19" s="1139"/>
      <c r="M19" s="1130"/>
      <c r="N19" s="1130"/>
      <c r="O19" s="1130"/>
      <c r="P19" s="3237"/>
      <c r="Q19" s="1808" t="str">
        <f>B19</f>
        <v>公共配套设施</v>
      </c>
      <c r="R19" s="774" t="s">
        <v>17</v>
      </c>
      <c r="S19" s="775">
        <f>F19</f>
        <v>102</v>
      </c>
      <c r="T19" s="774" t="s">
        <v>17</v>
      </c>
      <c r="U19" s="775">
        <f>H19</f>
        <v>102</v>
      </c>
      <c r="V19" s="774" t="s">
        <v>17</v>
      </c>
      <c r="W19" s="775">
        <f>J19</f>
        <v>102</v>
      </c>
      <c r="X19" s="1811"/>
      <c r="Y19" s="3239"/>
      <c r="Z19" s="1812" t="str">
        <f>Q19</f>
        <v>公共配套设施</v>
      </c>
      <c r="AA19" s="1809">
        <f t="shared" si="3"/>
        <v>0.98039215686274506</v>
      </c>
      <c r="AB19" s="1809">
        <f t="shared" si="4"/>
        <v>0.98039215686274506</v>
      </c>
      <c r="AC19" s="1809">
        <f t="shared" si="5"/>
        <v>0.98039215686274506</v>
      </c>
    </row>
    <row r="20" spans="1:29" ht="15">
      <c r="A20" s="428"/>
      <c r="B20" s="456"/>
      <c r="C20" s="447" t="s">
        <v>3432</v>
      </c>
      <c r="D20" s="448"/>
      <c r="E20" s="2599" t="s">
        <v>3436</v>
      </c>
      <c r="F20" s="449"/>
      <c r="G20" s="2599" t="s">
        <v>3436</v>
      </c>
      <c r="H20" s="448"/>
      <c r="I20" s="2599" t="s">
        <v>3436</v>
      </c>
      <c r="J20" s="448"/>
      <c r="K20" s="615"/>
      <c r="L20" s="1139"/>
      <c r="M20" s="1130"/>
      <c r="N20" s="1130"/>
      <c r="O20" s="1130"/>
      <c r="P20" s="3237"/>
      <c r="Q20" s="1808"/>
      <c r="R20" s="774"/>
      <c r="S20" s="775"/>
      <c r="T20" s="774"/>
      <c r="U20" s="775"/>
      <c r="V20" s="774"/>
      <c r="W20" s="775"/>
      <c r="X20" s="1811"/>
      <c r="Y20" s="3239"/>
      <c r="Z20" s="1812"/>
      <c r="AA20" s="1809">
        <v>1</v>
      </c>
      <c r="AB20" s="1809">
        <v>1</v>
      </c>
      <c r="AC20" s="1809">
        <v>1</v>
      </c>
    </row>
    <row r="21" spans="1:29" ht="15">
      <c r="A21" s="428"/>
      <c r="B21" s="1383" t="s">
        <v>2644</v>
      </c>
      <c r="C21" s="2601" t="str">
        <f>估价对象房地状况!C8</f>
        <v>七通</v>
      </c>
      <c r="D21" s="455">
        <v>100</v>
      </c>
      <c r="E21" s="457"/>
      <c r="F21" s="458">
        <f>SUMIF(82:82,E22,83:83)-SUMIF(82:82,C22,83:83)+100</f>
        <v>100</v>
      </c>
      <c r="G21" s="457"/>
      <c r="H21" s="450">
        <f>SUMIF(82:82,G22,83:83)-SUMIF(82:82,C22,83:83)+100</f>
        <v>100</v>
      </c>
      <c r="I21" s="457"/>
      <c r="J21" s="450">
        <f>SUMIF(82:82,I22,83:83)-SUMIF(82:82,C22,83:83)+100</f>
        <v>100</v>
      </c>
      <c r="K21" s="614">
        <v>1</v>
      </c>
      <c r="L21" s="1139"/>
      <c r="M21" s="1130"/>
      <c r="N21" s="1130"/>
      <c r="O21" s="1130"/>
      <c r="P21" s="3237"/>
      <c r="Q21" s="1808" t="str">
        <f>B21</f>
        <v>基础设施水平</v>
      </c>
      <c r="R21" s="774" t="s">
        <v>17</v>
      </c>
      <c r="S21" s="775">
        <f>F21</f>
        <v>100</v>
      </c>
      <c r="T21" s="774" t="s">
        <v>17</v>
      </c>
      <c r="U21" s="775">
        <f>H21</f>
        <v>100</v>
      </c>
      <c r="V21" s="774" t="s">
        <v>17</v>
      </c>
      <c r="W21" s="775">
        <f>J21</f>
        <v>100</v>
      </c>
      <c r="X21" s="1811"/>
      <c r="Y21" s="3239"/>
      <c r="Z21" s="1812" t="str">
        <f>Q21</f>
        <v>基础设施水平</v>
      </c>
      <c r="AA21" s="1809">
        <f>D21/F21</f>
        <v>1</v>
      </c>
      <c r="AB21" s="1809">
        <f>D21/H21</f>
        <v>1</v>
      </c>
      <c r="AC21" s="1809">
        <f>D21/J21</f>
        <v>1</v>
      </c>
    </row>
    <row r="22" spans="1:29" ht="15">
      <c r="A22" s="428"/>
      <c r="B22" s="1383"/>
      <c r="C22" s="2602" t="s">
        <v>3434</v>
      </c>
      <c r="D22" s="448"/>
      <c r="E22" s="447" t="s">
        <v>3434</v>
      </c>
      <c r="F22" s="449"/>
      <c r="G22" s="447" t="s">
        <v>3434</v>
      </c>
      <c r="H22" s="448"/>
      <c r="I22" s="447" t="s">
        <v>3434</v>
      </c>
      <c r="J22" s="448"/>
      <c r="K22" s="1382"/>
      <c r="L22" s="1139"/>
      <c r="M22" s="1130"/>
      <c r="N22" s="1130"/>
      <c r="O22" s="1130"/>
      <c r="P22" s="3237"/>
      <c r="Q22" s="1808"/>
      <c r="R22" s="774"/>
      <c r="S22" s="775"/>
      <c r="T22" s="774"/>
      <c r="U22" s="775"/>
      <c r="V22" s="774"/>
      <c r="W22" s="775"/>
      <c r="X22" s="1811"/>
      <c r="Y22" s="3239"/>
      <c r="Z22" s="1812"/>
      <c r="AA22" s="1809">
        <v>1</v>
      </c>
      <c r="AB22" s="1809">
        <v>1</v>
      </c>
      <c r="AC22" s="1809">
        <v>1</v>
      </c>
    </row>
    <row r="23" spans="1:29" ht="15">
      <c r="A23" s="428"/>
      <c r="B23" s="451" t="s">
        <v>2094</v>
      </c>
      <c r="C23" s="2657" t="str">
        <f>估价对象房地状况!C9</f>
        <v>一般</v>
      </c>
      <c r="D23" s="450">
        <v>100</v>
      </c>
      <c r="E23" s="452"/>
      <c r="F23" s="453">
        <f>SUMIF(84:84,E24,85:85)-SUMIF(84:84,C24,85:85)+100</f>
        <v>100</v>
      </c>
      <c r="G23" s="452"/>
      <c r="H23" s="450">
        <f>SUMIF(84:84,G24,85:85)-SUMIF(84:84,C24,85:85)+100</f>
        <v>100</v>
      </c>
      <c r="I23" s="452"/>
      <c r="J23" s="450">
        <f>SUMIF(84:84,I24,85:85)-SUMIF(84:84,C24,85:85)+100</f>
        <v>100</v>
      </c>
      <c r="K23" s="614">
        <v>1</v>
      </c>
      <c r="L23" s="1139"/>
      <c r="M23" s="1130"/>
      <c r="N23" s="1130"/>
      <c r="O23" s="1130"/>
      <c r="P23" s="3237"/>
      <c r="Q23" s="1808" t="str">
        <f>B23</f>
        <v>自然及人文环境</v>
      </c>
      <c r="R23" s="774" t="s">
        <v>17</v>
      </c>
      <c r="S23" s="775">
        <f>F23</f>
        <v>100</v>
      </c>
      <c r="T23" s="774" t="s">
        <v>17</v>
      </c>
      <c r="U23" s="775">
        <f>H23</f>
        <v>100</v>
      </c>
      <c r="V23" s="774" t="s">
        <v>17</v>
      </c>
      <c r="W23" s="775">
        <f>J23</f>
        <v>100</v>
      </c>
      <c r="X23" s="1811"/>
      <c r="Y23" s="3239"/>
      <c r="Z23" s="1812" t="str">
        <f>Q23</f>
        <v>自然及人文环境</v>
      </c>
      <c r="AA23" s="1809">
        <f t="shared" si="3"/>
        <v>1</v>
      </c>
      <c r="AB23" s="1809">
        <f t="shared" si="4"/>
        <v>1</v>
      </c>
      <c r="AC23" s="1809">
        <f t="shared" si="5"/>
        <v>1</v>
      </c>
    </row>
    <row r="24" spans="1:29" ht="15">
      <c r="A24" s="428"/>
      <c r="B24" s="456"/>
      <c r="C24" s="447" t="str">
        <f>'[2]土地比较法-住宅、综合'!C26</f>
        <v>一般</v>
      </c>
      <c r="D24" s="448"/>
      <c r="E24" s="2599" t="s">
        <v>3436</v>
      </c>
      <c r="F24" s="449"/>
      <c r="G24" s="2599" t="s">
        <v>3436</v>
      </c>
      <c r="H24" s="448"/>
      <c r="I24" s="2599" t="s">
        <v>3436</v>
      </c>
      <c r="J24" s="448"/>
      <c r="K24" s="615"/>
      <c r="L24" s="1139"/>
      <c r="M24" s="1130"/>
      <c r="N24" s="1130"/>
      <c r="O24" s="1130"/>
      <c r="P24" s="3237"/>
      <c r="Q24" s="1808"/>
      <c r="R24" s="774"/>
      <c r="S24" s="775"/>
      <c r="T24" s="774"/>
      <c r="U24" s="775"/>
      <c r="V24" s="774"/>
      <c r="W24" s="775"/>
      <c r="X24" s="1811"/>
      <c r="Y24" s="3239"/>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7"/>
      <c r="Q25" s="1808" t="str">
        <f t="shared" ref="Q25:Q46" si="8">B25</f>
        <v>临街状况</v>
      </c>
      <c r="R25" s="774" t="s">
        <v>17</v>
      </c>
      <c r="S25" s="775">
        <f>F25</f>
        <v>100</v>
      </c>
      <c r="T25" s="774" t="s">
        <v>17</v>
      </c>
      <c r="U25" s="775">
        <f>H25</f>
        <v>100</v>
      </c>
      <c r="V25" s="774" t="s">
        <v>17</v>
      </c>
      <c r="W25" s="775">
        <f>J25</f>
        <v>100</v>
      </c>
      <c r="X25" s="1811"/>
      <c r="Y25" s="3239"/>
      <c r="Z25" s="1812" t="str">
        <f>Q25</f>
        <v>临街状况</v>
      </c>
      <c r="AA25" s="1809">
        <f t="shared" si="3"/>
        <v>1</v>
      </c>
      <c r="AB25" s="1809">
        <f t="shared" si="4"/>
        <v>1</v>
      </c>
      <c r="AC25" s="1809">
        <f t="shared" si="5"/>
        <v>1</v>
      </c>
    </row>
    <row r="26" spans="1:29" ht="15">
      <c r="A26" s="428"/>
      <c r="B26" s="1385"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7"/>
      <c r="Q26" s="1808" t="str">
        <f t="shared" si="8"/>
        <v>平面位置/可视性</v>
      </c>
      <c r="R26" s="774" t="s">
        <v>17</v>
      </c>
      <c r="S26" s="775">
        <f>F26</f>
        <v>100</v>
      </c>
      <c r="T26" s="774" t="s">
        <v>17</v>
      </c>
      <c r="U26" s="775">
        <f>H26</f>
        <v>100</v>
      </c>
      <c r="V26" s="774" t="s">
        <v>17</v>
      </c>
      <c r="W26" s="775">
        <f>J26</f>
        <v>100</v>
      </c>
      <c r="X26" s="1811"/>
      <c r="Y26" s="3239"/>
      <c r="Z26" s="1812" t="str">
        <f>Q26</f>
        <v>平面位置/可视性</v>
      </c>
      <c r="AA26" s="1809">
        <f t="shared" si="3"/>
        <v>1</v>
      </c>
      <c r="AB26" s="1809">
        <f t="shared" si="4"/>
        <v>1</v>
      </c>
      <c r="AC26" s="1809">
        <f t="shared" si="5"/>
        <v>1</v>
      </c>
    </row>
    <row r="27" spans="1:29" s="117" customFormat="1" ht="15">
      <c r="A27" s="431"/>
      <c r="B27" s="451" t="s">
        <v>2647</v>
      </c>
      <c r="C27" s="2658" t="s">
        <v>3530</v>
      </c>
      <c r="D27" s="462">
        <v>100</v>
      </c>
      <c r="E27" s="2658" t="s">
        <v>3531</v>
      </c>
      <c r="F27" s="464">
        <f>SUMIF(90:90,E27,91:91)-SUMIF(90:90,C27,91:91)+100</f>
        <v>106</v>
      </c>
      <c r="G27" s="2658" t="s">
        <v>3531</v>
      </c>
      <c r="H27" s="462">
        <f>SUMIF(90:90,G27,91:91)-SUMIF(90:90,C27,91:91)+100</f>
        <v>106</v>
      </c>
      <c r="I27" s="2658" t="s">
        <v>3531</v>
      </c>
      <c r="J27" s="462">
        <f>SUMIF(90:90,I27,91:91)-SUMIF(90:90,C27,91:91)+100</f>
        <v>106</v>
      </c>
      <c r="K27" s="612">
        <v>3</v>
      </c>
      <c r="L27" s="1131"/>
      <c r="M27" s="1132"/>
      <c r="N27" s="1132"/>
      <c r="O27" s="1132"/>
      <c r="P27" s="3237"/>
      <c r="Q27" s="1793" t="str">
        <f t="shared" si="8"/>
        <v>人流量</v>
      </c>
      <c r="R27" s="770" t="s">
        <v>17</v>
      </c>
      <c r="S27" s="771">
        <f>F27</f>
        <v>106</v>
      </c>
      <c r="T27" s="770" t="s">
        <v>17</v>
      </c>
      <c r="U27" s="771">
        <f>H27</f>
        <v>106</v>
      </c>
      <c r="V27" s="770" t="s">
        <v>17</v>
      </c>
      <c r="W27" s="771">
        <f>J27</f>
        <v>106</v>
      </c>
      <c r="X27" s="772"/>
      <c r="Y27" s="3239"/>
      <c r="Z27" s="55" t="str">
        <f>Q27</f>
        <v>人流量</v>
      </c>
      <c r="AA27" s="1809">
        <f>D27/F27</f>
        <v>0.94339622641509435</v>
      </c>
      <c r="AB27" s="1809">
        <f>D27/H27</f>
        <v>0.94339622641509435</v>
      </c>
      <c r="AC27" s="1809">
        <f>D27/J27</f>
        <v>0.94339622641509435</v>
      </c>
    </row>
    <row r="28" spans="1:29" ht="15">
      <c r="A28" s="428"/>
      <c r="B28" s="422" t="s">
        <v>2648</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37"/>
      <c r="Q28" s="1808" t="str">
        <f t="shared" si="8"/>
        <v>楼层</v>
      </c>
      <c r="R28" s="774" t="s">
        <v>17</v>
      </c>
      <c r="S28" s="775">
        <f t="shared" ref="S28:S46" si="9">F28</f>
        <v>100</v>
      </c>
      <c r="T28" s="774" t="s">
        <v>17</v>
      </c>
      <c r="U28" s="775">
        <f t="shared" ref="U28:U46" si="10">H28</f>
        <v>100</v>
      </c>
      <c r="V28" s="774" t="s">
        <v>17</v>
      </c>
      <c r="W28" s="775">
        <f t="shared" ref="W28:W46" si="11">J28</f>
        <v>100</v>
      </c>
      <c r="X28" s="1811"/>
      <c r="Y28" s="3239"/>
      <c r="Z28" s="1812" t="str">
        <f t="shared" ref="Z28:Z46" si="12">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7"/>
      <c r="Q29" s="1808">
        <f t="shared" si="8"/>
        <v>111</v>
      </c>
      <c r="R29" s="774" t="s">
        <v>17</v>
      </c>
      <c r="S29" s="775">
        <f t="shared" si="9"/>
        <v>100</v>
      </c>
      <c r="T29" s="774" t="s">
        <v>17</v>
      </c>
      <c r="U29" s="775">
        <f t="shared" si="10"/>
        <v>100</v>
      </c>
      <c r="V29" s="774" t="s">
        <v>17</v>
      </c>
      <c r="W29" s="775">
        <f t="shared" si="11"/>
        <v>100</v>
      </c>
      <c r="X29" s="1811"/>
      <c r="Y29" s="3239"/>
      <c r="Z29" s="1812">
        <f t="shared" si="12"/>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7"/>
      <c r="Q30" s="1808">
        <f t="shared" si="8"/>
        <v>111</v>
      </c>
      <c r="R30" s="774" t="s">
        <v>17</v>
      </c>
      <c r="S30" s="775">
        <f t="shared" si="9"/>
        <v>100</v>
      </c>
      <c r="T30" s="774" t="s">
        <v>17</v>
      </c>
      <c r="U30" s="775">
        <f t="shared" si="10"/>
        <v>100</v>
      </c>
      <c r="V30" s="774" t="s">
        <v>17</v>
      </c>
      <c r="W30" s="775">
        <f t="shared" si="11"/>
        <v>100</v>
      </c>
      <c r="X30" s="1811"/>
      <c r="Y30" s="3239"/>
      <c r="Z30" s="1812">
        <f t="shared" si="12"/>
        <v>111</v>
      </c>
      <c r="AA30" s="1809">
        <f t="shared" si="3"/>
        <v>1</v>
      </c>
      <c r="AB30" s="1809">
        <f t="shared" si="4"/>
        <v>1</v>
      </c>
      <c r="AC30" s="1809">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7"/>
      <c r="Q31" s="1808">
        <f t="shared" si="8"/>
        <v>111</v>
      </c>
      <c r="R31" s="774" t="s">
        <v>17</v>
      </c>
      <c r="S31" s="775">
        <f t="shared" si="9"/>
        <v>100</v>
      </c>
      <c r="T31" s="774" t="s">
        <v>17</v>
      </c>
      <c r="U31" s="775">
        <f t="shared" si="10"/>
        <v>100</v>
      </c>
      <c r="V31" s="774" t="s">
        <v>17</v>
      </c>
      <c r="W31" s="775">
        <f t="shared" si="11"/>
        <v>100</v>
      </c>
      <c r="X31" s="1811"/>
      <c r="Y31" s="3239"/>
      <c r="Z31" s="1812">
        <f t="shared" si="12"/>
        <v>111</v>
      </c>
      <c r="AA31" s="1809">
        <f t="shared" si="3"/>
        <v>1</v>
      </c>
      <c r="AB31" s="1809">
        <f t="shared" si="4"/>
        <v>1</v>
      </c>
      <c r="AC31" s="1809">
        <f t="shared" si="5"/>
        <v>1</v>
      </c>
    </row>
    <row r="32" spans="1:29" ht="15">
      <c r="A32" s="440" t="s">
        <v>2552</v>
      </c>
      <c r="B32" s="71" t="s">
        <v>2649</v>
      </c>
      <c r="C32" s="2611" t="s">
        <v>3529</v>
      </c>
      <c r="D32" s="467">
        <v>100</v>
      </c>
      <c r="E32" s="2611" t="s">
        <v>3529</v>
      </c>
      <c r="F32" s="461">
        <f>SUMIF(100:100,E32,101:101)-SUMIF(100:100,C32,101:101)+100</f>
        <v>100</v>
      </c>
      <c r="G32" s="2611" t="s">
        <v>3529</v>
      </c>
      <c r="H32" s="435">
        <f>SUMIF(100:100,G32,101:101)-SUMIF(100:100,C32,101:101)+100</f>
        <v>100</v>
      </c>
      <c r="I32" s="2611" t="s">
        <v>3529</v>
      </c>
      <c r="J32" s="467">
        <f>SUMIF(100:100,I32,101:101)-SUMIF(100:100,C32,101:101)+100</f>
        <v>100</v>
      </c>
      <c r="K32" s="612">
        <v>-7</v>
      </c>
      <c r="L32" s="1139"/>
      <c r="M32" s="1130"/>
      <c r="N32" s="1130"/>
      <c r="O32" s="1130"/>
      <c r="P32" s="3240" t="s">
        <v>2554</v>
      </c>
      <c r="Q32" s="1808" t="str">
        <f t="shared" si="8"/>
        <v>商业类型</v>
      </c>
      <c r="R32" s="774" t="s">
        <v>17</v>
      </c>
      <c r="S32" s="775">
        <f t="shared" si="9"/>
        <v>100</v>
      </c>
      <c r="T32" s="774" t="s">
        <v>17</v>
      </c>
      <c r="U32" s="775">
        <f t="shared" si="10"/>
        <v>100</v>
      </c>
      <c r="V32" s="774" t="s">
        <v>17</v>
      </c>
      <c r="W32" s="775">
        <f t="shared" si="11"/>
        <v>100</v>
      </c>
      <c r="X32" s="1811"/>
      <c r="Y32" s="3243" t="s">
        <v>2554</v>
      </c>
      <c r="Z32" s="1812" t="str">
        <f t="shared" si="12"/>
        <v>商业类型</v>
      </c>
      <c r="AA32" s="1809">
        <f t="shared" si="3"/>
        <v>1</v>
      </c>
      <c r="AB32" s="1809">
        <f t="shared" si="4"/>
        <v>1</v>
      </c>
      <c r="AC32" s="1809">
        <f t="shared" si="5"/>
        <v>1</v>
      </c>
    </row>
    <row r="33" spans="1:29" s="471" customFormat="1" ht="15">
      <c r="A33" s="468"/>
      <c r="B33" s="422" t="s">
        <v>2555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241"/>
      <c r="Q33" s="776" t="str">
        <f t="shared" si="8"/>
        <v>项目建筑规模</v>
      </c>
      <c r="R33" s="777" t="s">
        <v>17</v>
      </c>
      <c r="S33" s="778">
        <f t="shared" si="9"/>
        <v>100</v>
      </c>
      <c r="T33" s="777" t="s">
        <v>17</v>
      </c>
      <c r="U33" s="778">
        <f t="shared" si="10"/>
        <v>100</v>
      </c>
      <c r="V33" s="777" t="s">
        <v>17</v>
      </c>
      <c r="W33" s="778">
        <f t="shared" si="11"/>
        <v>100</v>
      </c>
      <c r="X33" s="779"/>
      <c r="Y33" s="3243"/>
      <c r="Z33" s="780" t="str">
        <f t="shared" si="12"/>
        <v>项目建筑规模</v>
      </c>
      <c r="AA33" s="1809">
        <f t="shared" si="3"/>
        <v>1</v>
      </c>
      <c r="AB33" s="1809">
        <f t="shared" si="4"/>
        <v>1</v>
      </c>
      <c r="AC33" s="1809">
        <f t="shared" si="5"/>
        <v>1</v>
      </c>
    </row>
    <row r="34" spans="1:29" ht="15">
      <c r="A34" s="472"/>
      <c r="B34" s="422" t="s">
        <v>2556</v>
      </c>
      <c r="C34" s="2613" t="s">
        <v>3469</v>
      </c>
      <c r="D34" s="435">
        <v>100</v>
      </c>
      <c r="E34" s="2613" t="s">
        <v>3469</v>
      </c>
      <c r="F34" s="461">
        <f>SUMIF(105:105,E34,106:106)-SUMIF(105:105,C34,106:106)+100</f>
        <v>100</v>
      </c>
      <c r="G34" s="2613" t="s">
        <v>3469</v>
      </c>
      <c r="H34" s="435">
        <f>SUMIF(105:105,G34,106:106)-SUMIF(105:105,C34,106:106)+100</f>
        <v>100</v>
      </c>
      <c r="I34" s="2613" t="s">
        <v>3469</v>
      </c>
      <c r="J34" s="435">
        <f>SUMIF(105:105,I34,106:106)-SUMIF(105:105,C34,106:106)+100</f>
        <v>100</v>
      </c>
      <c r="K34" s="612">
        <v>1</v>
      </c>
      <c r="L34" s="1139"/>
      <c r="M34" s="1130"/>
      <c r="N34" s="1130"/>
      <c r="O34" s="1130"/>
      <c r="P34" s="3241"/>
      <c r="Q34" s="1808" t="str">
        <f t="shared" si="8"/>
        <v>建筑结构</v>
      </c>
      <c r="R34" s="774" t="s">
        <v>17</v>
      </c>
      <c r="S34" s="775">
        <f t="shared" si="9"/>
        <v>100</v>
      </c>
      <c r="T34" s="774" t="s">
        <v>17</v>
      </c>
      <c r="U34" s="775">
        <f t="shared" si="10"/>
        <v>100</v>
      </c>
      <c r="V34" s="774" t="s">
        <v>17</v>
      </c>
      <c r="W34" s="775">
        <f t="shared" si="11"/>
        <v>100</v>
      </c>
      <c r="X34" s="1811"/>
      <c r="Y34" s="3243"/>
      <c r="Z34" s="1812" t="str">
        <f t="shared" si="12"/>
        <v>建筑结构</v>
      </c>
      <c r="AA34" s="1809">
        <f t="shared" si="3"/>
        <v>1</v>
      </c>
      <c r="AB34" s="1809">
        <f t="shared" si="4"/>
        <v>1</v>
      </c>
      <c r="AC34" s="1809">
        <f t="shared" si="5"/>
        <v>1</v>
      </c>
    </row>
    <row r="35" spans="1:29" ht="15">
      <c r="A35" s="472"/>
      <c r="B35" s="422" t="s">
        <v>2650</v>
      </c>
      <c r="C35" s="2607" t="s">
        <v>3479</v>
      </c>
      <c r="D35" s="435">
        <v>100</v>
      </c>
      <c r="E35" s="2607" t="s">
        <v>3479</v>
      </c>
      <c r="F35" s="461">
        <f>SUMIF(107:107,E35,108:108)-SUMIF(107:107,C35,108:108)+100</f>
        <v>100</v>
      </c>
      <c r="G35" s="2607" t="s">
        <v>3479</v>
      </c>
      <c r="H35" s="435">
        <f>SUMIF(107:107,G35,108:108)-SUMIF(107:107,C35,108:108)+100</f>
        <v>100</v>
      </c>
      <c r="I35" s="2607" t="s">
        <v>3479</v>
      </c>
      <c r="J35" s="435">
        <f>SUMIF(107:107,I35,108:108)-SUMIF(107:107,C35,108:108)+100</f>
        <v>100</v>
      </c>
      <c r="K35" s="612">
        <v>1</v>
      </c>
      <c r="L35" s="1139"/>
      <c r="M35" s="1130"/>
      <c r="N35" s="1130"/>
      <c r="O35" s="1130"/>
      <c r="P35" s="3241"/>
      <c r="Q35" s="1808" t="str">
        <f t="shared" si="8"/>
        <v>公共部分装修</v>
      </c>
      <c r="R35" s="774" t="s">
        <v>17</v>
      </c>
      <c r="S35" s="775">
        <f t="shared" si="9"/>
        <v>100</v>
      </c>
      <c r="T35" s="774" t="s">
        <v>17</v>
      </c>
      <c r="U35" s="775">
        <f t="shared" si="10"/>
        <v>100</v>
      </c>
      <c r="V35" s="774" t="s">
        <v>17</v>
      </c>
      <c r="W35" s="775">
        <f t="shared" si="11"/>
        <v>100</v>
      </c>
      <c r="X35" s="1811"/>
      <c r="Y35" s="3243"/>
      <c r="Z35" s="1812" t="str">
        <f t="shared" si="12"/>
        <v>公共部分装修</v>
      </c>
      <c r="AA35" s="1809">
        <f t="shared" si="3"/>
        <v>1</v>
      </c>
      <c r="AB35" s="1809">
        <f t="shared" si="4"/>
        <v>1</v>
      </c>
      <c r="AC35" s="1809">
        <f t="shared" si="5"/>
        <v>1</v>
      </c>
    </row>
    <row r="36" spans="1:29" ht="15">
      <c r="A36" s="472"/>
      <c r="B36" s="422" t="s">
        <v>2651</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39"/>
      <c r="M36" s="1130"/>
      <c r="N36" s="1130"/>
      <c r="O36" s="1130"/>
      <c r="P36" s="3241"/>
      <c r="Q36" s="1808" t="str">
        <f t="shared" si="8"/>
        <v>成新度</v>
      </c>
      <c r="R36" s="774" t="s">
        <v>17</v>
      </c>
      <c r="S36" s="775">
        <f t="shared" si="9"/>
        <v>100</v>
      </c>
      <c r="T36" s="774" t="s">
        <v>17</v>
      </c>
      <c r="U36" s="775">
        <f t="shared" si="10"/>
        <v>100</v>
      </c>
      <c r="V36" s="774" t="s">
        <v>17</v>
      </c>
      <c r="W36" s="775">
        <f t="shared" si="11"/>
        <v>100</v>
      </c>
      <c r="X36" s="1811"/>
      <c r="Y36" s="3243"/>
      <c r="Z36" s="1812" t="str">
        <f t="shared" si="12"/>
        <v>成新度</v>
      </c>
      <c r="AA36" s="1809">
        <f t="shared" si="3"/>
        <v>1</v>
      </c>
      <c r="AB36" s="1809">
        <f t="shared" si="4"/>
        <v>1</v>
      </c>
      <c r="AC36" s="1809">
        <f t="shared" si="5"/>
        <v>1</v>
      </c>
    </row>
    <row r="37" spans="1:29" s="117" customFormat="1" ht="15">
      <c r="A37" s="473"/>
      <c r="B37" s="422" t="s">
        <v>2652</v>
      </c>
      <c r="C37" s="2607" t="s">
        <v>3449</v>
      </c>
      <c r="D37" s="136">
        <v>100</v>
      </c>
      <c r="E37" s="2607" t="s">
        <v>3449</v>
      </c>
      <c r="F37" s="461">
        <f>SUMIF(112:112,E37,113:113)-SUMIF(112:112,C37,113:113)+100</f>
        <v>100</v>
      </c>
      <c r="G37" s="2607" t="s">
        <v>3449</v>
      </c>
      <c r="H37" s="435">
        <f>SUMIF(112:112,G37,113:113)-SUMIF(112:112,C37,113:113)+100</f>
        <v>100</v>
      </c>
      <c r="I37" s="2607" t="s">
        <v>3449</v>
      </c>
      <c r="J37" s="435">
        <f>SUMIF(112:112,I37,113:113)-SUMIF(112:112,C37,113:113)+100</f>
        <v>100</v>
      </c>
      <c r="K37" s="612">
        <v>1</v>
      </c>
      <c r="L37" s="1131"/>
      <c r="M37" s="1132"/>
      <c r="N37" s="1132"/>
      <c r="O37" s="1132"/>
      <c r="P37" s="3241"/>
      <c r="Q37" s="1793" t="str">
        <f t="shared" si="8"/>
        <v>市政基础设施</v>
      </c>
      <c r="R37" s="770" t="s">
        <v>17</v>
      </c>
      <c r="S37" s="771">
        <f t="shared" si="9"/>
        <v>100</v>
      </c>
      <c r="T37" s="770" t="s">
        <v>17</v>
      </c>
      <c r="U37" s="771">
        <f t="shared" si="10"/>
        <v>100</v>
      </c>
      <c r="V37" s="770" t="s">
        <v>17</v>
      </c>
      <c r="W37" s="771">
        <f t="shared" si="11"/>
        <v>100</v>
      </c>
      <c r="X37" s="772"/>
      <c r="Y37" s="3243"/>
      <c r="Z37" s="55" t="str">
        <f t="shared" si="12"/>
        <v>市政基础设施</v>
      </c>
      <c r="AA37" s="773">
        <f t="shared" si="3"/>
        <v>1</v>
      </c>
      <c r="AB37" s="773">
        <f t="shared" si="4"/>
        <v>1</v>
      </c>
      <c r="AC37" s="773">
        <f t="shared" si="5"/>
        <v>1</v>
      </c>
    </row>
    <row r="38" spans="1:29" ht="15">
      <c r="A38" s="472"/>
      <c r="B38" s="422" t="s">
        <v>2653</v>
      </c>
      <c r="C38" s="2607" t="s">
        <v>3528</v>
      </c>
      <c r="D38" s="435">
        <v>100</v>
      </c>
      <c r="E38" s="2607" t="s">
        <v>3528</v>
      </c>
      <c r="F38" s="461">
        <f>SUMIF(114:114,E38,115:115)-SUMIF(114:114,C38,115:115)+100</f>
        <v>100</v>
      </c>
      <c r="G38" s="2607" t="s">
        <v>3528</v>
      </c>
      <c r="H38" s="435">
        <f>SUMIF(114:114,G38,115:115)-SUMIF(114:114,C38,115:115)+100</f>
        <v>100</v>
      </c>
      <c r="I38" s="2607" t="s">
        <v>3528</v>
      </c>
      <c r="J38" s="435">
        <f>SUMIF(114:114,I38,115:115)-SUMIF(114:114,C38,115:115)+100</f>
        <v>100</v>
      </c>
      <c r="K38" s="612">
        <v>5</v>
      </c>
      <c r="L38" s="1139"/>
      <c r="M38" s="1130"/>
      <c r="N38" s="1130"/>
      <c r="O38" s="1130"/>
      <c r="P38" s="3241" t="s">
        <v>2554</v>
      </c>
      <c r="Q38" s="1808" t="str">
        <f t="shared" si="8"/>
        <v>业态</v>
      </c>
      <c r="R38" s="774" t="s">
        <v>17</v>
      </c>
      <c r="S38" s="775">
        <f t="shared" si="9"/>
        <v>100</v>
      </c>
      <c r="T38" s="774" t="s">
        <v>17</v>
      </c>
      <c r="U38" s="775">
        <f t="shared" si="10"/>
        <v>100</v>
      </c>
      <c r="V38" s="774" t="s">
        <v>17</v>
      </c>
      <c r="W38" s="775">
        <f t="shared" si="11"/>
        <v>100</v>
      </c>
      <c r="X38" s="1811"/>
      <c r="Y38" s="3243" t="s">
        <v>2554</v>
      </c>
      <c r="Z38" s="1812" t="str">
        <f t="shared" si="12"/>
        <v>业态</v>
      </c>
      <c r="AA38" s="1809">
        <f t="shared" si="3"/>
        <v>1</v>
      </c>
      <c r="AB38" s="1809">
        <f t="shared" si="4"/>
        <v>1</v>
      </c>
      <c r="AC38" s="1809">
        <f t="shared" si="5"/>
        <v>1</v>
      </c>
    </row>
    <row r="39" spans="1:29" ht="15">
      <c r="A39" s="472"/>
      <c r="B39" s="422" t="s">
        <v>2654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9"/>
      <c r="M39" s="1130"/>
      <c r="N39" s="1130"/>
      <c r="O39" s="1130"/>
      <c r="P39" s="3241"/>
      <c r="Q39" s="1808" t="str">
        <f t="shared" si="8"/>
        <v>层高</v>
      </c>
      <c r="R39" s="774" t="s">
        <v>17</v>
      </c>
      <c r="S39" s="775">
        <f t="shared" si="9"/>
        <v>100</v>
      </c>
      <c r="T39" s="774" t="s">
        <v>17</v>
      </c>
      <c r="U39" s="775">
        <f t="shared" si="10"/>
        <v>100</v>
      </c>
      <c r="V39" s="774" t="s">
        <v>17</v>
      </c>
      <c r="W39" s="775">
        <f t="shared" si="11"/>
        <v>100</v>
      </c>
      <c r="X39" s="1811"/>
      <c r="Y39" s="3243"/>
      <c r="Z39" s="1812" t="str">
        <f t="shared" si="12"/>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1"/>
      <c r="Q40" s="1808" t="str">
        <f t="shared" si="8"/>
        <v>单套建筑面积</v>
      </c>
      <c r="R40" s="774" t="s">
        <v>17</v>
      </c>
      <c r="S40" s="775">
        <f t="shared" si="9"/>
        <v>100</v>
      </c>
      <c r="T40" s="774" t="s">
        <v>17</v>
      </c>
      <c r="U40" s="775">
        <f t="shared" si="10"/>
        <v>100</v>
      </c>
      <c r="V40" s="774" t="s">
        <v>17</v>
      </c>
      <c r="W40" s="775">
        <f t="shared" si="11"/>
        <v>100</v>
      </c>
      <c r="X40" s="1811"/>
      <c r="Y40" s="3243"/>
      <c r="Z40" s="1812" t="str">
        <f t="shared" si="12"/>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41"/>
      <c r="Q41" s="776" t="str">
        <f t="shared" si="8"/>
        <v>进深比</v>
      </c>
      <c r="R41" s="777" t="s">
        <v>17</v>
      </c>
      <c r="S41" s="778">
        <f t="shared" si="9"/>
        <v>100</v>
      </c>
      <c r="T41" s="777" t="s">
        <v>17</v>
      </c>
      <c r="U41" s="778">
        <f t="shared" si="10"/>
        <v>100</v>
      </c>
      <c r="V41" s="777" t="s">
        <v>17</v>
      </c>
      <c r="W41" s="778">
        <f t="shared" si="11"/>
        <v>100</v>
      </c>
      <c r="X41" s="779"/>
      <c r="Y41" s="3243"/>
      <c r="Z41" s="780" t="str">
        <f t="shared" si="12"/>
        <v>进深比</v>
      </c>
      <c r="AA41" s="1809">
        <f t="shared" si="3"/>
        <v>1</v>
      </c>
      <c r="AB41" s="1809">
        <f t="shared" si="4"/>
        <v>1</v>
      </c>
      <c r="AC41" s="1809">
        <f t="shared" si="5"/>
        <v>1</v>
      </c>
    </row>
    <row r="42" spans="1:29" ht="15">
      <c r="A42" s="472"/>
      <c r="B42" s="422" t="s">
        <v>2657</v>
      </c>
      <c r="C42" s="2607" t="s">
        <v>3485</v>
      </c>
      <c r="D42" s="435">
        <v>100</v>
      </c>
      <c r="E42" s="2607" t="s">
        <v>3485</v>
      </c>
      <c r="F42" s="461">
        <f>SUMIF(122:122,E42,123:123)-SUMIF(122:122,C42,123:123)+100</f>
        <v>100</v>
      </c>
      <c r="G42" s="2607" t="s">
        <v>3485</v>
      </c>
      <c r="H42" s="435">
        <f>SUMIF(122:122,G42,123:123)-SUMIF(122:122,C42,123:123)+100</f>
        <v>100</v>
      </c>
      <c r="I42" s="2607" t="s">
        <v>3485</v>
      </c>
      <c r="J42" s="435">
        <f>SUMIF(122:122,I42,123:123)-SUMIF(122:122,C42,123:123)+100</f>
        <v>100</v>
      </c>
      <c r="K42" s="612">
        <v>2</v>
      </c>
      <c r="L42" s="1139"/>
      <c r="M42" s="1130"/>
      <c r="N42" s="1130"/>
      <c r="O42" s="1130"/>
      <c r="P42" s="3241"/>
      <c r="Q42" s="1808" t="str">
        <f t="shared" si="8"/>
        <v>内部装修</v>
      </c>
      <c r="R42" s="774" t="s">
        <v>17</v>
      </c>
      <c r="S42" s="775">
        <f t="shared" si="9"/>
        <v>100</v>
      </c>
      <c r="T42" s="774" t="s">
        <v>17</v>
      </c>
      <c r="U42" s="775">
        <f t="shared" si="10"/>
        <v>100</v>
      </c>
      <c r="V42" s="774" t="s">
        <v>17</v>
      </c>
      <c r="W42" s="775">
        <f t="shared" si="11"/>
        <v>100</v>
      </c>
      <c r="X42" s="1811"/>
      <c r="Y42" s="3243"/>
      <c r="Z42" s="1812" t="str">
        <f t="shared" si="12"/>
        <v>内部装修</v>
      </c>
      <c r="AA42" s="1809">
        <f t="shared" si="3"/>
        <v>1</v>
      </c>
      <c r="AB42" s="1809">
        <f t="shared" si="4"/>
        <v>1</v>
      </c>
      <c r="AC42" s="1809">
        <f t="shared" si="5"/>
        <v>1</v>
      </c>
    </row>
    <row r="43" spans="1:29" ht="28.8">
      <c r="A43" s="472"/>
      <c r="B43" s="422" t="s">
        <v>2565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9"/>
      <c r="M43" s="1130"/>
      <c r="N43" s="1130"/>
      <c r="O43" s="1130"/>
      <c r="P43" s="3241"/>
      <c r="Q43" s="1808" t="str">
        <f t="shared" si="8"/>
        <v>内部装修维护情况</v>
      </c>
      <c r="R43" s="774" t="s">
        <v>17</v>
      </c>
      <c r="S43" s="775">
        <f t="shared" si="9"/>
        <v>100</v>
      </c>
      <c r="T43" s="774" t="s">
        <v>17</v>
      </c>
      <c r="U43" s="775">
        <f t="shared" si="10"/>
        <v>100</v>
      </c>
      <c r="V43" s="774" t="s">
        <v>17</v>
      </c>
      <c r="W43" s="775">
        <f t="shared" si="11"/>
        <v>100</v>
      </c>
      <c r="X43" s="1811"/>
      <c r="Y43" s="3243"/>
      <c r="Z43" s="1812" t="str">
        <f t="shared" si="12"/>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1"/>
      <c r="Q44" s="1793">
        <f t="shared" si="8"/>
        <v>111</v>
      </c>
      <c r="R44" s="770" t="s">
        <v>17</v>
      </c>
      <c r="S44" s="771">
        <f t="shared" si="9"/>
        <v>100</v>
      </c>
      <c r="T44" s="770" t="s">
        <v>17</v>
      </c>
      <c r="U44" s="771">
        <f t="shared" si="10"/>
        <v>100</v>
      </c>
      <c r="V44" s="770" t="s">
        <v>17</v>
      </c>
      <c r="W44" s="771">
        <f t="shared" si="11"/>
        <v>100</v>
      </c>
      <c r="X44" s="772"/>
      <c r="Y44" s="3243"/>
      <c r="Z44" s="55">
        <f t="shared" si="12"/>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1"/>
      <c r="Q45" s="1808">
        <f t="shared" si="8"/>
        <v>111</v>
      </c>
      <c r="R45" s="774" t="s">
        <v>17</v>
      </c>
      <c r="S45" s="775">
        <f t="shared" si="9"/>
        <v>100</v>
      </c>
      <c r="T45" s="774" t="s">
        <v>17</v>
      </c>
      <c r="U45" s="775">
        <f t="shared" si="10"/>
        <v>100</v>
      </c>
      <c r="V45" s="774" t="s">
        <v>17</v>
      </c>
      <c r="W45" s="775">
        <f t="shared" si="11"/>
        <v>100</v>
      </c>
      <c r="X45" s="1811"/>
      <c r="Y45" s="3243"/>
      <c r="Z45" s="1812">
        <f t="shared" si="12"/>
        <v>111</v>
      </c>
      <c r="AA45" s="1809">
        <f t="shared" si="3"/>
        <v>1</v>
      </c>
      <c r="AB45" s="1809">
        <f t="shared" si="4"/>
        <v>1</v>
      </c>
      <c r="AC45" s="1809">
        <f t="shared" si="5"/>
        <v>1</v>
      </c>
    </row>
    <row r="46" spans="1:29" ht="15.6"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2"/>
      <c r="Q46" s="1808">
        <f t="shared" si="8"/>
        <v>111</v>
      </c>
      <c r="R46" s="774" t="s">
        <v>17</v>
      </c>
      <c r="S46" s="775">
        <f t="shared" si="9"/>
        <v>100</v>
      </c>
      <c r="T46" s="774" t="s">
        <v>17</v>
      </c>
      <c r="U46" s="775">
        <f t="shared" si="10"/>
        <v>100</v>
      </c>
      <c r="V46" s="774" t="s">
        <v>17</v>
      </c>
      <c r="W46" s="775">
        <f t="shared" si="11"/>
        <v>100</v>
      </c>
      <c r="X46" s="1811"/>
      <c r="Y46" s="3244"/>
      <c r="Z46" s="1812">
        <f t="shared" si="12"/>
        <v>111</v>
      </c>
      <c r="AA46" s="1809">
        <f t="shared" si="3"/>
        <v>1</v>
      </c>
      <c r="AB46" s="1809">
        <f t="shared" si="4"/>
        <v>1</v>
      </c>
      <c r="AC46" s="1809">
        <f t="shared" si="5"/>
        <v>1</v>
      </c>
    </row>
    <row r="47" spans="1:29" ht="14.4">
      <c r="A47" s="479" t="s">
        <v>2566</v>
      </c>
      <c r="B47" s="480"/>
      <c r="C47" s="1406" t="s">
        <v>1</v>
      </c>
      <c r="D47" s="1407"/>
      <c r="E47" s="1408">
        <f>ROUND(33000*C50,0)</f>
        <v>31350</v>
      </c>
      <c r="F47" s="1409"/>
      <c r="G47" s="1410">
        <f>ROUND(38000*C50,0)</f>
        <v>36100</v>
      </c>
      <c r="H47" s="1411"/>
      <c r="I47" s="1408">
        <f>ROUND(36000*C50,0)</f>
        <v>34200</v>
      </c>
      <c r="J47" s="1411"/>
      <c r="K47" s="783"/>
      <c r="L47" s="1142"/>
      <c r="M47" s="1143"/>
      <c r="N47" s="1130"/>
      <c r="O47" s="1143"/>
      <c r="P47" s="3245" t="str">
        <f>A47</f>
        <v>成交单价（元/平方米）</v>
      </c>
      <c r="Q47" s="3245"/>
      <c r="R47" s="3231">
        <f>E47</f>
        <v>31350</v>
      </c>
      <c r="S47" s="3231"/>
      <c r="T47" s="3231">
        <f>G47</f>
        <v>36100</v>
      </c>
      <c r="U47" s="3231"/>
      <c r="V47" s="3231">
        <f>I47</f>
        <v>34200</v>
      </c>
      <c r="W47" s="3231"/>
      <c r="X47" s="759"/>
      <c r="Y47" s="781"/>
      <c r="Z47" s="759"/>
      <c r="AA47" s="759"/>
      <c r="AB47" s="759"/>
      <c r="AC47" s="759"/>
    </row>
    <row r="48" spans="1:29" ht="15" thickBot="1">
      <c r="A48" s="486" t="s">
        <v>2658</v>
      </c>
      <c r="B48" s="487"/>
      <c r="C48" s="1412">
        <f>R49</f>
        <v>29543</v>
      </c>
      <c r="D48" s="1413"/>
      <c r="E48" s="1414">
        <f>R48</f>
        <v>27334</v>
      </c>
      <c r="F48" s="1414"/>
      <c r="G48" s="1412">
        <f>T48</f>
        <v>31475</v>
      </c>
      <c r="H48" s="1413"/>
      <c r="I48" s="1414">
        <f>V48</f>
        <v>29819</v>
      </c>
      <c r="J48" s="1413"/>
      <c r="K48" s="784"/>
      <c r="L48" s="1142"/>
      <c r="M48" s="1143"/>
      <c r="N48" s="1130"/>
      <c r="O48" s="1143"/>
      <c r="P48" s="3245" t="str">
        <f>A48</f>
        <v>比较价值（元/平方米）</v>
      </c>
      <c r="Q48" s="3245"/>
      <c r="R48" s="3246">
        <f>IF(F1="售价",ROUND(PRODUCT(R47,AA7:AA46),0),ROUND(PRODUCT(R47,AA7:AA46),1))</f>
        <v>27334</v>
      </c>
      <c r="S48" s="3246"/>
      <c r="T48" s="3246">
        <f>IF(F1="售价",ROUND(PRODUCT(T47,AB7:AB46),0),ROUND(PRODUCT(T47,AB7:AB46),1))</f>
        <v>31475</v>
      </c>
      <c r="U48" s="3246"/>
      <c r="V48" s="3246">
        <f>IF(F1="售价",ROUND(PRODUCT(V47,AC7:AC46),0),ROUND(PRODUCT(V47,AC7:AC46),1))</f>
        <v>29819</v>
      </c>
      <c r="W48" s="3246"/>
      <c r="X48" s="759"/>
      <c r="Y48" s="759"/>
      <c r="Z48" s="759"/>
      <c r="AA48" s="759"/>
      <c r="AB48" s="759"/>
      <c r="AC48" s="759"/>
    </row>
    <row r="49" spans="1:29" ht="15" thickBot="1">
      <c r="A49" s="492" t="s">
        <v>2659</v>
      </c>
      <c r="B49" s="493"/>
      <c r="C49" s="1416">
        <f>R49</f>
        <v>29543</v>
      </c>
      <c r="D49" s="1416"/>
      <c r="E49" s="1416"/>
      <c r="F49" s="1416"/>
      <c r="G49" s="1416"/>
      <c r="H49" s="1416"/>
      <c r="I49" s="1416"/>
      <c r="J49" s="1416"/>
      <c r="K49" s="785"/>
      <c r="L49" s="1142"/>
      <c r="M49" s="1143"/>
      <c r="N49" s="1130"/>
      <c r="O49" s="1143"/>
      <c r="P49" s="3247" t="str">
        <f>A49</f>
        <v>估价对象XX用房的比较价值（楼面单价，元/平方米）</v>
      </c>
      <c r="Q49" s="3248"/>
      <c r="R49" s="3249">
        <f>IF(F1="售价",ROUND(AVERAGE(R48:V48),0),ROUND(AVERAGE(R48:V48),1))</f>
        <v>29543</v>
      </c>
      <c r="S49" s="3249"/>
      <c r="T49" s="3249"/>
      <c r="U49" s="3249"/>
      <c r="V49" s="3249"/>
      <c r="W49" s="3249"/>
      <c r="X49" s="759"/>
      <c r="Y49" s="759"/>
      <c r="Z49" s="759"/>
      <c r="AA49" s="759"/>
      <c r="AB49" s="759"/>
      <c r="AC49" s="759"/>
    </row>
    <row r="50" spans="1:29">
      <c r="A50" s="1143"/>
      <c r="B50" s="1143"/>
      <c r="C50" s="1143">
        <v>0.95</v>
      </c>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2660</v>
      </c>
      <c r="D52" s="498"/>
      <c r="E52" s="499">
        <f>IF(E47&lt;E48,E48/E47-1,E47/E48-1)</f>
        <v>0.14692324577449334</v>
      </c>
      <c r="F52" s="500" t="str">
        <f>IF(OR(E52&gt;=0.3,E52&lt;=-0.3),"超过30%","")</f>
        <v/>
      </c>
      <c r="G52" s="499">
        <f>IF(G47&lt;G48,G48/G47-1,G47/G48-1)</f>
        <v>0.14694201747418578</v>
      </c>
      <c r="H52" s="500" t="str">
        <f>IF(OR(G52&gt;=0.3,G52&lt;=-0.3),"超过30%","")</f>
        <v/>
      </c>
      <c r="I52" s="499">
        <f>IF(I47&lt;I48,I48/I47-1,I47/I48-1)</f>
        <v>0.14691974915322437</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2661</v>
      </c>
      <c r="D53" s="501"/>
      <c r="E53" s="499">
        <f>IF(E48&lt;G48,G48/E48-1,E48/G48-1)</f>
        <v>0.15149630496817146</v>
      </c>
      <c r="F53" s="500" t="str">
        <f>IF(OR(E53&gt;=0.2,E53&lt;=-0.2),"超过20%","")</f>
        <v/>
      </c>
      <c r="G53" s="499">
        <f>IF(G48&lt;I48,I48/G48-1,G48/I48-1)</f>
        <v>5.5535061537945518E-2</v>
      </c>
      <c r="H53" s="500" t="str">
        <f>IF(OR(G53&gt;=0.2,G53&lt;=-0.2),"超过20%","")</f>
        <v/>
      </c>
      <c r="I53" s="499">
        <f>IF(I48&lt;E48,E48/I48-1,I48/E48-1)</f>
        <v>9.0912416770322579E-2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2662</v>
      </c>
      <c r="D54" s="501"/>
      <c r="E54" s="499">
        <f>IF(E47&lt;G47,G47/E47-1,E47/G47-1)</f>
        <v>0.1515151515151516</v>
      </c>
      <c r="F54" s="500" t="str">
        <f>IF(OR(E54&gt;=0.3,E54&lt;=-0.3),"超过30%","")</f>
        <v/>
      </c>
      <c r="G54" s="499">
        <f>IF(G47&lt;I47,I47/G47-1,G47/I47-1)</f>
        <v>5.555555555555558E-2</v>
      </c>
      <c r="H54" s="500" t="str">
        <f>IF(OR(G54&gt;=0.3,G54&lt;=-0.3),"超过30%","")</f>
        <v/>
      </c>
      <c r="I54" s="499">
        <f>IF(I47&lt;E47,E47/I47-1,I47/E47-1)</f>
        <v>9.0909090909090828E-2</v>
      </c>
      <c r="J54" s="500" t="str">
        <f>IF(OR(I54&gt;=0.3,I54&lt;=-0.3),"超过30%","")</f>
        <v/>
      </c>
      <c r="K54" s="1147"/>
      <c r="L54" s="1148"/>
      <c r="M54" s="1144"/>
      <c r="N54" s="1144"/>
      <c r="O54" s="1144"/>
      <c r="P54" s="2659"/>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9"/>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2.2" thickBot="1">
      <c r="A57" s="763" t="s">
        <v>2663</v>
      </c>
      <c r="B57" s="759"/>
      <c r="C57" s="764"/>
      <c r="D57" s="764"/>
      <c r="E57" s="764"/>
      <c r="F57" s="765"/>
      <c r="G57" s="765"/>
      <c r="H57" s="764"/>
      <c r="I57" s="764"/>
      <c r="J57" s="764"/>
      <c r="K57" s="766"/>
      <c r="L57" s="1160"/>
      <c r="M57" s="1158"/>
      <c r="N57" s="1158"/>
      <c r="O57" s="1158"/>
      <c r="P57" s="2660"/>
      <c r="Q57" s="2661"/>
      <c r="R57" s="759"/>
      <c r="S57" s="759"/>
      <c r="T57" s="759"/>
      <c r="U57" s="759"/>
      <c r="V57" s="759"/>
      <c r="W57" s="759"/>
      <c r="X57" s="759"/>
      <c r="Y57" s="759"/>
      <c r="Z57" s="759"/>
      <c r="AA57" s="759"/>
      <c r="AB57" s="759"/>
      <c r="AC57" s="759"/>
    </row>
    <row r="58" spans="1:29" s="508" customFormat="1" ht="14.4">
      <c r="A58" s="505" t="s">
        <v>2537</v>
      </c>
      <c r="B58" s="506"/>
      <c r="C58" s="1572" t="str">
        <f>YEAR(C7)&amp;"-"&amp;MONTH(C7)</f>
        <v>2019-9</v>
      </c>
      <c r="D58" s="1573">
        <f>EDATE(C58,-1)</f>
        <v>43678</v>
      </c>
      <c r="E58" s="1573">
        <f t="shared" ref="E58:N58" si="13">EDATE(D58,-1)</f>
        <v>43647</v>
      </c>
      <c r="F58" s="1573">
        <f t="shared" si="13"/>
        <v>43617</v>
      </c>
      <c r="G58" s="1573">
        <f t="shared" si="13"/>
        <v>43586</v>
      </c>
      <c r="H58" s="1573">
        <f t="shared" si="13"/>
        <v>43556</v>
      </c>
      <c r="I58" s="1573">
        <f t="shared" si="13"/>
        <v>43525</v>
      </c>
      <c r="J58" s="1573">
        <f t="shared" si="13"/>
        <v>43497</v>
      </c>
      <c r="K58" s="1573">
        <f t="shared" si="13"/>
        <v>43466</v>
      </c>
      <c r="L58" s="1573">
        <f t="shared" si="13"/>
        <v>43435</v>
      </c>
      <c r="M58" s="1573">
        <f t="shared" si="13"/>
        <v>43405</v>
      </c>
      <c r="N58" s="1573">
        <f t="shared" si="13"/>
        <v>43374</v>
      </c>
      <c r="O58" s="1573">
        <f>EDATE(N58,-1)</f>
        <v>43344</v>
      </c>
      <c r="P58" s="1568"/>
    </row>
    <row r="59" spans="1:29" s="117" customFormat="1">
      <c r="A59" s="509"/>
      <c r="B59" s="510"/>
      <c r="C59" s="1571">
        <v>100</v>
      </c>
      <c r="D59" s="512"/>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4.4">
      <c r="A61" s="521" t="s">
        <v>2539</v>
      </c>
      <c r="B61" s="510"/>
      <c r="C61" s="522" t="s">
        <v>2641</v>
      </c>
      <c r="D61" s="523"/>
      <c r="E61" s="523"/>
      <c r="F61" s="523"/>
      <c r="G61" s="523"/>
      <c r="H61" s="523"/>
      <c r="I61" s="523"/>
      <c r="J61" s="523"/>
      <c r="K61" s="523"/>
      <c r="L61" s="524"/>
      <c r="M61" s="525"/>
      <c r="N61" s="1150"/>
      <c r="O61" s="1150"/>
      <c r="P61" s="2622"/>
      <c r="Q61" s="504"/>
    </row>
    <row r="62" spans="1:29" s="117" customFormat="1" ht="14.4" thickBot="1">
      <c r="A62" s="521"/>
      <c r="B62" s="510"/>
      <c r="C62" s="511">
        <v>100</v>
      </c>
      <c r="D62" s="512"/>
      <c r="E62" s="512"/>
      <c r="F62" s="512"/>
      <c r="G62" s="512"/>
      <c r="H62" s="512"/>
      <c r="I62" s="512"/>
      <c r="J62" s="512"/>
      <c r="K62" s="512"/>
      <c r="L62" s="512"/>
      <c r="M62" s="514"/>
      <c r="N62" s="1150"/>
      <c r="O62" s="1150"/>
      <c r="P62" s="2621"/>
      <c r="Q62" s="504"/>
    </row>
    <row r="63" spans="1:29" ht="14.4">
      <c r="A63" s="527" t="s">
        <v>2577</v>
      </c>
      <c r="B63" s="528" t="s">
        <v>2543</v>
      </c>
      <c r="C63" s="529" t="str">
        <f>C9</f>
        <v>商业</v>
      </c>
      <c r="D63" s="530"/>
      <c r="E63" s="530"/>
      <c r="F63" s="530"/>
      <c r="G63" s="530"/>
      <c r="H63" s="530"/>
      <c r="I63" s="530"/>
      <c r="J63" s="530"/>
      <c r="K63" s="531"/>
      <c r="L63" s="532"/>
      <c r="M63" s="533"/>
      <c r="N63" s="1151"/>
      <c r="O63" s="1151"/>
      <c r="P63" s="2623"/>
      <c r="Q63" s="504"/>
    </row>
    <row r="64" spans="1:29" ht="14.4" thickBot="1">
      <c r="A64" s="534"/>
      <c r="B64" s="535"/>
      <c r="C64" s="536">
        <v>100</v>
      </c>
      <c r="D64" s="536"/>
      <c r="E64" s="536"/>
      <c r="F64" s="536"/>
      <c r="G64" s="536"/>
      <c r="H64" s="536"/>
      <c r="I64" s="536"/>
      <c r="J64" s="536"/>
      <c r="K64" s="536"/>
      <c r="L64" s="536"/>
      <c r="M64" s="537"/>
      <c r="N64" s="1152"/>
      <c r="O64" s="1152"/>
      <c r="P64" s="2623"/>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3"/>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3"/>
      <c r="Q66" s="504"/>
    </row>
    <row r="67" spans="1:17" ht="15" thickTop="1">
      <c r="A67" s="534"/>
      <c r="B67" s="546" t="s">
        <v>2547</v>
      </c>
      <c r="C67" s="547" t="str">
        <f>C68&amp;"（含）"&amp;"-"&amp;D68</f>
        <v>0（含）-1</v>
      </c>
      <c r="D67" s="547" t="str">
        <f t="shared" ref="D67:L67" si="14">D68&amp;"（含）"&amp;"-"&amp;E68</f>
        <v>1（含）-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2"/>
      <c r="O67" s="1152"/>
      <c r="P67" s="2623"/>
      <c r="Q67" s="504"/>
    </row>
    <row r="68" spans="1:17">
      <c r="A68" s="534"/>
      <c r="B68" s="548"/>
      <c r="C68" s="549">
        <v>0</v>
      </c>
      <c r="D68" s="549">
        <v>1</v>
      </c>
      <c r="E68" s="549"/>
      <c r="F68" s="549"/>
      <c r="G68" s="549"/>
      <c r="H68" s="549"/>
      <c r="I68" s="549"/>
      <c r="J68" s="549"/>
      <c r="K68" s="550"/>
      <c r="L68" s="551"/>
      <c r="M68" s="552"/>
      <c r="N68" s="1151"/>
      <c r="O68" s="1151"/>
      <c r="P68" s="2623"/>
      <c r="Q68" s="504"/>
    </row>
    <row r="69" spans="1:17" ht="14.4"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2"/>
      <c r="O69" s="1152"/>
      <c r="P69" s="2623"/>
      <c r="Q69" s="504"/>
    </row>
    <row r="70" spans="1:17" s="471" customFormat="1" ht="14.4" thickTop="1">
      <c r="A70" s="553"/>
      <c r="B70" s="538">
        <f>B12</f>
        <v>111</v>
      </c>
      <c r="C70" s="554"/>
      <c r="D70" s="554"/>
      <c r="E70" s="554"/>
      <c r="F70" s="554"/>
      <c r="G70" s="554"/>
      <c r="H70" s="555"/>
      <c r="I70" s="555"/>
      <c r="J70" s="555"/>
      <c r="K70" s="555"/>
      <c r="L70" s="556"/>
      <c r="M70" s="557"/>
      <c r="N70" s="1153"/>
      <c r="O70" s="1153"/>
      <c r="P70" s="2624"/>
      <c r="Q70" s="559"/>
    </row>
    <row r="71" spans="1:17" s="471" customFormat="1" ht="14.4" thickBot="1">
      <c r="A71" s="553"/>
      <c r="B71" s="543"/>
      <c r="C71" s="560"/>
      <c r="D71" s="536"/>
      <c r="E71" s="536"/>
      <c r="F71" s="536"/>
      <c r="G71" s="536"/>
      <c r="H71" s="536"/>
      <c r="I71" s="536"/>
      <c r="J71" s="536"/>
      <c r="K71" s="536"/>
      <c r="L71" s="536"/>
      <c r="M71" s="537"/>
      <c r="N71" s="1152"/>
      <c r="O71" s="1152"/>
      <c r="P71" s="2624"/>
      <c r="Q71" s="559"/>
    </row>
    <row r="72" spans="1:17" s="471" customFormat="1" ht="14.4" thickTop="1">
      <c r="A72" s="553"/>
      <c r="B72" s="538">
        <f>B13</f>
        <v>111</v>
      </c>
      <c r="C72" s="554"/>
      <c r="D72" s="554"/>
      <c r="E72" s="554"/>
      <c r="F72" s="554"/>
      <c r="G72" s="554"/>
      <c r="H72" s="555"/>
      <c r="I72" s="555"/>
      <c r="J72" s="555"/>
      <c r="K72" s="555"/>
      <c r="L72" s="556"/>
      <c r="M72" s="557"/>
      <c r="N72" s="1153"/>
      <c r="O72" s="1153"/>
      <c r="P72" s="2625"/>
      <c r="Q72" s="561"/>
    </row>
    <row r="73" spans="1:17" s="471" customFormat="1" ht="14.4" thickBot="1">
      <c r="A73" s="553"/>
      <c r="B73" s="543"/>
      <c r="C73" s="560"/>
      <c r="D73" s="536"/>
      <c r="E73" s="536"/>
      <c r="F73" s="536"/>
      <c r="G73" s="560"/>
      <c r="H73" s="562"/>
      <c r="I73" s="562"/>
      <c r="J73" s="562"/>
      <c r="K73" s="562"/>
      <c r="L73" s="562"/>
      <c r="M73" s="563"/>
      <c r="N73" s="1153"/>
      <c r="O73" s="1153"/>
      <c r="P73" s="2624"/>
      <c r="Q73" s="559"/>
    </row>
    <row r="74" spans="1:17" s="471" customFormat="1" ht="14.4" thickTop="1">
      <c r="A74" s="553"/>
      <c r="B74" s="546">
        <f>B14</f>
        <v>111</v>
      </c>
      <c r="C74" s="554"/>
      <c r="D74" s="554"/>
      <c r="E74" s="554"/>
      <c r="F74" s="554"/>
      <c r="G74" s="523"/>
      <c r="H74" s="564"/>
      <c r="I74" s="564"/>
      <c r="J74" s="564"/>
      <c r="K74" s="564"/>
      <c r="L74" s="565"/>
      <c r="M74" s="566"/>
      <c r="N74" s="1153"/>
      <c r="O74" s="1153"/>
      <c r="P74" s="2626"/>
      <c r="Q74" s="559"/>
    </row>
    <row r="75" spans="1:17" s="471" customFormat="1" ht="14.4" thickBot="1">
      <c r="A75" s="568"/>
      <c r="B75" s="569"/>
      <c r="C75" s="570"/>
      <c r="D75" s="570"/>
      <c r="E75" s="570"/>
      <c r="F75" s="570"/>
      <c r="G75" s="570"/>
      <c r="H75" s="571"/>
      <c r="I75" s="571"/>
      <c r="J75" s="571"/>
      <c r="K75" s="571"/>
      <c r="L75" s="571"/>
      <c r="M75" s="572"/>
      <c r="N75" s="1153"/>
      <c r="O75" s="1153"/>
      <c r="P75" s="2624"/>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7"/>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3"/>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23"/>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3"/>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3"/>
      <c r="Q81" s="504"/>
    </row>
    <row r="82" spans="1:17" ht="15" thickTop="1">
      <c r="A82" s="534"/>
      <c r="B82" s="546" t="s">
        <v>2644</v>
      </c>
      <c r="C82" s="660" t="s">
        <v>2664</v>
      </c>
      <c r="D82" s="660" t="s">
        <v>2665</v>
      </c>
      <c r="E82" s="660" t="s">
        <v>2666</v>
      </c>
      <c r="F82" s="660" t="s">
        <v>2667</v>
      </c>
      <c r="G82" s="660" t="s">
        <v>2668</v>
      </c>
      <c r="H82" s="539"/>
      <c r="I82" s="539"/>
      <c r="J82" s="539"/>
      <c r="K82" s="539"/>
      <c r="L82" s="539"/>
      <c r="M82" s="1381"/>
      <c r="N82" s="1152"/>
      <c r="O82" s="1152"/>
      <c r="P82" s="2623"/>
      <c r="Q82" s="504"/>
    </row>
    <row r="83" spans="1:17" ht="14.4" thickBot="1">
      <c r="A83" s="534"/>
      <c r="B83" s="546"/>
      <c r="C83" s="544">
        <v>100</v>
      </c>
      <c r="D83" s="544">
        <f>C83-$K21</f>
        <v>99</v>
      </c>
      <c r="E83" s="544">
        <f>D83-$K21</f>
        <v>98</v>
      </c>
      <c r="F83" s="544">
        <f>E83-$K21</f>
        <v>97</v>
      </c>
      <c r="G83" s="544">
        <f>F83-$K21</f>
        <v>96</v>
      </c>
      <c r="H83" s="660"/>
      <c r="I83" s="660"/>
      <c r="J83" s="660"/>
      <c r="K83" s="660"/>
      <c r="L83" s="660"/>
      <c r="M83" s="450"/>
      <c r="N83" s="1152"/>
      <c r="O83" s="1152"/>
      <c r="P83" s="2623"/>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3"/>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3"/>
      <c r="Q85" s="504"/>
    </row>
    <row r="86" spans="1:17" s="117" customFormat="1" ht="15" thickTop="1">
      <c r="A86" s="579"/>
      <c r="B86" s="538" t="s">
        <v>2669</v>
      </c>
      <c r="C86" s="554"/>
      <c r="D86" s="554"/>
      <c r="E86" s="554"/>
      <c r="F86" s="554"/>
      <c r="G86" s="554"/>
      <c r="H86" s="554"/>
      <c r="I86" s="554"/>
      <c r="J86" s="554"/>
      <c r="K86" s="554"/>
      <c r="L86" s="580"/>
      <c r="M86" s="581"/>
      <c r="N86" s="1150"/>
      <c r="O86" s="1150"/>
      <c r="P86" s="2623"/>
      <c r="Q86" s="504"/>
    </row>
    <row r="87" spans="1:17" s="117" customFormat="1" ht="14.4"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2"/>
      <c r="O87" s="1152"/>
      <c r="P87" s="2623"/>
      <c r="Q87" s="504"/>
    </row>
    <row r="88" spans="1:17" s="117" customFormat="1" ht="14.4" thickTop="1">
      <c r="A88" s="579"/>
      <c r="B88" s="538" t="str">
        <f>B26</f>
        <v>平面位置/可视性</v>
      </c>
      <c r="C88" s="554"/>
      <c r="D88" s="554"/>
      <c r="E88" s="554"/>
      <c r="F88" s="2628"/>
      <c r="G88" s="554"/>
      <c r="H88" s="554"/>
      <c r="I88" s="554"/>
      <c r="J88" s="554"/>
      <c r="K88" s="554"/>
      <c r="L88" s="554"/>
      <c r="M88" s="581"/>
      <c r="N88" s="1150"/>
      <c r="O88" s="1150"/>
      <c r="P88" s="2623"/>
      <c r="Q88" s="504"/>
    </row>
    <row r="89" spans="1:17" s="117" customFormat="1" ht="14.4" thickBot="1">
      <c r="A89" s="579"/>
      <c r="B89" s="543"/>
      <c r="C89" s="560"/>
      <c r="D89" s="536"/>
      <c r="E89" s="536"/>
      <c r="F89" s="536"/>
      <c r="G89" s="536"/>
      <c r="H89" s="536"/>
      <c r="I89" s="536"/>
      <c r="J89" s="536"/>
      <c r="K89" s="536"/>
      <c r="L89" s="536"/>
      <c r="M89" s="536"/>
      <c r="N89" s="1152"/>
      <c r="O89" s="1152"/>
      <c r="P89" s="2623"/>
      <c r="Q89" s="504"/>
    </row>
    <row r="90" spans="1:17" s="471" customFormat="1" ht="15" thickTop="1">
      <c r="A90" s="553"/>
      <c r="B90" s="538" t="str">
        <f>B27</f>
        <v>人流量</v>
      </c>
      <c r="C90" s="2966" t="s">
        <v>3515</v>
      </c>
      <c r="D90" s="2966" t="s">
        <v>3516</v>
      </c>
      <c r="E90" s="2966" t="s">
        <v>3517</v>
      </c>
      <c r="F90" s="2966" t="s">
        <v>3518</v>
      </c>
      <c r="G90" s="554"/>
      <c r="H90" s="555"/>
      <c r="I90" s="555"/>
      <c r="J90" s="555"/>
      <c r="K90" s="555"/>
      <c r="L90" s="556"/>
      <c r="M90" s="557"/>
      <c r="N90" s="1153"/>
      <c r="O90" s="1153"/>
      <c r="P90" s="2624"/>
      <c r="Q90" s="559"/>
    </row>
    <row r="91" spans="1:17" s="471" customFormat="1" ht="14.4" thickBot="1">
      <c r="A91" s="553"/>
      <c r="B91" s="543"/>
      <c r="C91" s="582">
        <v>100</v>
      </c>
      <c r="D91" s="544">
        <f>C91-$K27</f>
        <v>97</v>
      </c>
      <c r="E91" s="544">
        <f t="shared" ref="E91:M91" si="17">D91-$K27</f>
        <v>94</v>
      </c>
      <c r="F91" s="544">
        <f t="shared" si="17"/>
        <v>91</v>
      </c>
      <c r="G91" s="544">
        <f t="shared" si="17"/>
        <v>88</v>
      </c>
      <c r="H91" s="544">
        <f t="shared" si="17"/>
        <v>85</v>
      </c>
      <c r="I91" s="544">
        <f t="shared" si="17"/>
        <v>82</v>
      </c>
      <c r="J91" s="544">
        <f t="shared" si="17"/>
        <v>79</v>
      </c>
      <c r="K91" s="544">
        <f t="shared" si="17"/>
        <v>76</v>
      </c>
      <c r="L91" s="544">
        <f t="shared" si="17"/>
        <v>73</v>
      </c>
      <c r="M91" s="544">
        <f t="shared" si="17"/>
        <v>70</v>
      </c>
      <c r="N91" s="1153"/>
      <c r="O91" s="1153"/>
      <c r="P91" s="2624"/>
      <c r="Q91" s="559"/>
    </row>
    <row r="92" spans="1:17" ht="15" thickTop="1">
      <c r="A92" s="534"/>
      <c r="B92" s="538" t="str">
        <f>B28</f>
        <v>楼层</v>
      </c>
      <c r="C92" s="554">
        <v>1</v>
      </c>
      <c r="D92" s="554">
        <v>2</v>
      </c>
      <c r="E92" s="554">
        <v>3</v>
      </c>
      <c r="F92" s="2974" t="s">
        <v>3519</v>
      </c>
      <c r="G92" s="554"/>
      <c r="H92" s="554"/>
      <c r="I92" s="554"/>
      <c r="J92" s="554"/>
      <c r="K92" s="554"/>
      <c r="L92" s="580"/>
      <c r="M92" s="581"/>
      <c r="N92" s="1151"/>
      <c r="O92" s="1151"/>
      <c r="P92" s="2623"/>
      <c r="Q92" s="504"/>
    </row>
    <row r="93" spans="1:17" ht="14.4" thickBot="1">
      <c r="A93" s="534"/>
      <c r="B93" s="543"/>
      <c r="C93" s="536">
        <v>100</v>
      </c>
      <c r="D93" s="536">
        <v>70</v>
      </c>
      <c r="E93" s="536">
        <v>60</v>
      </c>
      <c r="F93" s="536"/>
      <c r="G93" s="536"/>
      <c r="H93" s="536"/>
      <c r="I93" s="536"/>
      <c r="J93" s="536"/>
      <c r="K93" s="536"/>
      <c r="L93" s="536"/>
      <c r="M93" s="537"/>
      <c r="N93" s="1152"/>
      <c r="O93" s="1152"/>
      <c r="P93" s="2623"/>
      <c r="Q93" s="504"/>
    </row>
    <row r="94" spans="1:17" ht="14.4" thickTop="1">
      <c r="A94" s="534"/>
      <c r="B94" s="538">
        <f>B29</f>
        <v>111</v>
      </c>
      <c r="C94" s="554"/>
      <c r="D94" s="554"/>
      <c r="E94" s="554"/>
      <c r="F94" s="554"/>
      <c r="G94" s="583"/>
      <c r="H94" s="583"/>
      <c r="I94" s="583"/>
      <c r="J94" s="583"/>
      <c r="K94" s="584"/>
      <c r="L94" s="585"/>
      <c r="M94" s="586"/>
      <c r="N94" s="1151"/>
      <c r="O94" s="1151"/>
      <c r="P94" s="2623"/>
      <c r="Q94" s="504"/>
    </row>
    <row r="95" spans="1:17" ht="14.4" thickBot="1">
      <c r="A95" s="534"/>
      <c r="B95" s="543"/>
      <c r="C95" s="560"/>
      <c r="D95" s="536"/>
      <c r="E95" s="536"/>
      <c r="F95" s="536"/>
      <c r="G95" s="536"/>
      <c r="H95" s="536"/>
      <c r="I95" s="536"/>
      <c r="J95" s="536"/>
      <c r="K95" s="536"/>
      <c r="L95" s="536"/>
      <c r="M95" s="537"/>
      <c r="N95" s="1152"/>
      <c r="O95" s="1152"/>
      <c r="P95" s="2623"/>
      <c r="Q95" s="504"/>
    </row>
    <row r="96" spans="1:17" ht="14.4" thickTop="1">
      <c r="A96" s="534"/>
      <c r="B96" s="538">
        <f>B30</f>
        <v>111</v>
      </c>
      <c r="C96" s="554"/>
      <c r="D96" s="554"/>
      <c r="E96" s="554"/>
      <c r="F96" s="554"/>
      <c r="G96" s="583"/>
      <c r="H96" s="583"/>
      <c r="I96" s="583"/>
      <c r="J96" s="583"/>
      <c r="K96" s="584"/>
      <c r="L96" s="585"/>
      <c r="M96" s="586"/>
      <c r="N96" s="1151"/>
      <c r="O96" s="1151"/>
      <c r="P96" s="2623"/>
      <c r="Q96" s="504"/>
    </row>
    <row r="97" spans="1:17" ht="14.4" thickBot="1">
      <c r="A97" s="534"/>
      <c r="B97" s="543"/>
      <c r="C97" s="560"/>
      <c r="D97" s="536"/>
      <c r="E97" s="536"/>
      <c r="F97" s="536"/>
      <c r="G97" s="536"/>
      <c r="H97" s="536"/>
      <c r="I97" s="536"/>
      <c r="J97" s="536"/>
      <c r="K97" s="536"/>
      <c r="L97" s="536"/>
      <c r="M97" s="537"/>
      <c r="N97" s="1152"/>
      <c r="O97" s="1152"/>
      <c r="P97" s="2623"/>
      <c r="Q97" s="504"/>
    </row>
    <row r="98" spans="1:17" ht="14.4" thickTop="1">
      <c r="A98" s="534"/>
      <c r="B98" s="546">
        <f>B31</f>
        <v>111</v>
      </c>
      <c r="C98" s="554"/>
      <c r="D98" s="554"/>
      <c r="E98" s="554"/>
      <c r="F98" s="554"/>
      <c r="G98" s="587"/>
      <c r="H98" s="587"/>
      <c r="I98" s="587"/>
      <c r="J98" s="587"/>
      <c r="K98" s="588"/>
      <c r="L98" s="589"/>
      <c r="M98" s="590"/>
      <c r="N98" s="1151"/>
      <c r="O98" s="1151"/>
      <c r="P98" s="2623"/>
      <c r="Q98" s="504"/>
    </row>
    <row r="99" spans="1:17" ht="14.4" thickBot="1">
      <c r="A99" s="2629"/>
      <c r="B99" s="569"/>
      <c r="C99" s="570"/>
      <c r="D99" s="570"/>
      <c r="E99" s="570"/>
      <c r="F99" s="570"/>
      <c r="G99" s="591"/>
      <c r="H99" s="591"/>
      <c r="I99" s="591"/>
      <c r="J99" s="591"/>
      <c r="K99" s="591"/>
      <c r="L99" s="591"/>
      <c r="M99" s="592"/>
      <c r="N99" s="1152"/>
      <c r="O99" s="1152"/>
      <c r="P99" s="2623"/>
      <c r="Q99" s="504"/>
    </row>
    <row r="100" spans="1:17" ht="28.8">
      <c r="A100" s="527" t="s">
        <v>2552</v>
      </c>
      <c r="B100" s="528" t="s">
        <v>2670</v>
      </c>
      <c r="C100" s="2959" t="s">
        <v>3520</v>
      </c>
      <c r="D100" s="2959" t="s">
        <v>3521</v>
      </c>
      <c r="E100" s="2959"/>
      <c r="F100" s="530"/>
      <c r="G100" s="530"/>
      <c r="H100" s="530"/>
      <c r="I100" s="530"/>
      <c r="J100" s="530"/>
      <c r="K100" s="531"/>
      <c r="L100" s="532"/>
      <c r="M100" s="533"/>
      <c r="N100" s="1151"/>
      <c r="O100" s="1151"/>
      <c r="P100" s="2623"/>
      <c r="Q100" s="504"/>
    </row>
    <row r="101" spans="1:17" ht="14.4" thickBot="1">
      <c r="A101" s="534"/>
      <c r="B101" s="543"/>
      <c r="C101" s="544">
        <v>100</v>
      </c>
      <c r="D101" s="544">
        <f t="shared" ref="D101:M101" si="18">C101-$K32</f>
        <v>107</v>
      </c>
      <c r="E101" s="544">
        <f t="shared" si="18"/>
        <v>114</v>
      </c>
      <c r="F101" s="544">
        <f t="shared" si="18"/>
        <v>121</v>
      </c>
      <c r="G101" s="544">
        <f t="shared" si="18"/>
        <v>128</v>
      </c>
      <c r="H101" s="544">
        <f t="shared" si="18"/>
        <v>135</v>
      </c>
      <c r="I101" s="544">
        <f t="shared" si="18"/>
        <v>142</v>
      </c>
      <c r="J101" s="544">
        <f t="shared" si="18"/>
        <v>149</v>
      </c>
      <c r="K101" s="544">
        <f t="shared" si="18"/>
        <v>156</v>
      </c>
      <c r="L101" s="544">
        <f t="shared" si="18"/>
        <v>163</v>
      </c>
      <c r="M101" s="545">
        <f t="shared" si="18"/>
        <v>170</v>
      </c>
      <c r="N101" s="1152"/>
      <c r="O101" s="1152"/>
      <c r="P101" s="2623"/>
      <c r="Q101" s="504"/>
    </row>
    <row r="102" spans="1:17" ht="15" thickTop="1">
      <c r="A102" s="534"/>
      <c r="B102" s="538" t="s">
        <v>2602</v>
      </c>
      <c r="C102" s="578" t="str">
        <f>C103&amp;"(含)"&amp;"-"&amp;D103</f>
        <v>0(含)-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0"/>
      <c r="O102" s="1150"/>
      <c r="P102" s="2623"/>
      <c r="Q102" s="504"/>
    </row>
    <row r="103" spans="1:17" s="471" customFormat="1">
      <c r="A103" s="593"/>
      <c r="B103" s="594"/>
      <c r="C103" s="595">
        <v>0</v>
      </c>
      <c r="D103" s="595"/>
      <c r="E103" s="595"/>
      <c r="F103" s="595"/>
      <c r="G103" s="595"/>
      <c r="H103" s="595"/>
      <c r="I103" s="595"/>
      <c r="J103" s="596"/>
      <c r="K103" s="596"/>
      <c r="L103" s="597"/>
      <c r="M103" s="598"/>
      <c r="N103" s="1153"/>
      <c r="O103" s="1153"/>
      <c r="P103" s="2624"/>
      <c r="Q103" s="559"/>
    </row>
    <row r="104" spans="1:17" s="471" customFormat="1" ht="14.4" thickBot="1">
      <c r="A104" s="553"/>
      <c r="B104" s="543"/>
      <c r="C104" s="560">
        <v>100</v>
      </c>
      <c r="D104" s="536"/>
      <c r="E104" s="536"/>
      <c r="F104" s="536"/>
      <c r="G104" s="536"/>
      <c r="H104" s="536"/>
      <c r="I104" s="536"/>
      <c r="J104" s="536"/>
      <c r="K104" s="536"/>
      <c r="L104" s="536"/>
      <c r="M104" s="537"/>
      <c r="N104" s="1152"/>
      <c r="O104" s="1152"/>
      <c r="P104" s="2624"/>
      <c r="Q104" s="559"/>
    </row>
    <row r="105" spans="1:17" ht="15" thickTop="1">
      <c r="A105" s="599"/>
      <c r="B105" s="538" t="s">
        <v>2603</v>
      </c>
      <c r="C105" s="2966" t="s">
        <v>3522</v>
      </c>
      <c r="D105" s="554"/>
      <c r="E105" s="583"/>
      <c r="F105" s="583"/>
      <c r="G105" s="583"/>
      <c r="H105" s="583"/>
      <c r="I105" s="583"/>
      <c r="J105" s="583"/>
      <c r="K105" s="584"/>
      <c r="L105" s="585"/>
      <c r="M105" s="586"/>
      <c r="N105" s="1151"/>
      <c r="O105" s="1151"/>
      <c r="P105" s="2623"/>
      <c r="Q105" s="504"/>
    </row>
    <row r="106" spans="1:17" ht="14.4" thickBot="1">
      <c r="A106" s="534"/>
      <c r="B106" s="543"/>
      <c r="C106" s="544">
        <v>100</v>
      </c>
      <c r="D106" s="544">
        <f t="shared" ref="D106:M106" si="20">C106-$K34</f>
        <v>99</v>
      </c>
      <c r="E106" s="544">
        <f t="shared" si="20"/>
        <v>98</v>
      </c>
      <c r="F106" s="544">
        <f t="shared" si="20"/>
        <v>97</v>
      </c>
      <c r="G106" s="544">
        <f t="shared" si="20"/>
        <v>96</v>
      </c>
      <c r="H106" s="544">
        <f t="shared" si="20"/>
        <v>95</v>
      </c>
      <c r="I106" s="544">
        <f t="shared" si="20"/>
        <v>94</v>
      </c>
      <c r="J106" s="544">
        <f t="shared" si="20"/>
        <v>93</v>
      </c>
      <c r="K106" s="544">
        <f t="shared" si="20"/>
        <v>92</v>
      </c>
      <c r="L106" s="544">
        <f t="shared" si="20"/>
        <v>91</v>
      </c>
      <c r="M106" s="545">
        <f t="shared" si="20"/>
        <v>90</v>
      </c>
      <c r="N106" s="1152"/>
      <c r="O106" s="1152"/>
      <c r="P106" s="2623"/>
      <c r="Q106" s="504"/>
    </row>
    <row r="107" spans="1:17" ht="15" thickTop="1">
      <c r="A107" s="599"/>
      <c r="B107" s="538" t="s">
        <v>2605</v>
      </c>
      <c r="C107" s="2966" t="s">
        <v>3523</v>
      </c>
      <c r="D107" s="554"/>
      <c r="E107" s="554"/>
      <c r="F107" s="583"/>
      <c r="G107" s="583"/>
      <c r="H107" s="583"/>
      <c r="I107" s="583"/>
      <c r="J107" s="583"/>
      <c r="K107" s="584"/>
      <c r="L107" s="585"/>
      <c r="M107" s="586"/>
      <c r="N107" s="1151"/>
      <c r="O107" s="1151"/>
      <c r="P107" s="2623"/>
      <c r="Q107" s="504"/>
    </row>
    <row r="108" spans="1:17" ht="14.4" thickBot="1">
      <c r="A108" s="534"/>
      <c r="B108" s="543"/>
      <c r="C108" s="544">
        <v>100</v>
      </c>
      <c r="D108" s="544">
        <f t="shared" ref="D108:M108" si="21">C108-$K35</f>
        <v>99</v>
      </c>
      <c r="E108" s="544">
        <f t="shared" si="21"/>
        <v>98</v>
      </c>
      <c r="F108" s="544">
        <f t="shared" si="21"/>
        <v>97</v>
      </c>
      <c r="G108" s="544">
        <f t="shared" si="21"/>
        <v>96</v>
      </c>
      <c r="H108" s="544">
        <f t="shared" si="21"/>
        <v>95</v>
      </c>
      <c r="I108" s="544">
        <f t="shared" si="21"/>
        <v>94</v>
      </c>
      <c r="J108" s="544">
        <f t="shared" si="21"/>
        <v>93</v>
      </c>
      <c r="K108" s="544">
        <f t="shared" si="21"/>
        <v>92</v>
      </c>
      <c r="L108" s="544">
        <f t="shared" si="21"/>
        <v>91</v>
      </c>
      <c r="M108" s="545">
        <f t="shared" si="21"/>
        <v>90</v>
      </c>
      <c r="N108" s="1152"/>
      <c r="O108" s="1152"/>
      <c r="P108" s="262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3"/>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3"/>
      <c r="Q110" s="504"/>
    </row>
    <row r="111" spans="1:17" ht="14.4" thickBot="1">
      <c r="A111" s="534"/>
      <c r="B111" s="543"/>
      <c r="C111" s="582">
        <v>100</v>
      </c>
      <c r="D111" s="544">
        <f>C111+$K36</f>
        <v>101</v>
      </c>
      <c r="E111" s="544">
        <f t="shared" ref="E111:M111" si="22">D111+$K36</f>
        <v>102</v>
      </c>
      <c r="F111" s="544">
        <f t="shared" si="22"/>
        <v>103</v>
      </c>
      <c r="G111" s="544">
        <f t="shared" si="22"/>
        <v>104</v>
      </c>
      <c r="H111" s="544">
        <f t="shared" si="22"/>
        <v>105</v>
      </c>
      <c r="I111" s="544">
        <f t="shared" si="22"/>
        <v>106</v>
      </c>
      <c r="J111" s="544">
        <f t="shared" si="22"/>
        <v>107</v>
      </c>
      <c r="K111" s="544">
        <f t="shared" si="22"/>
        <v>108</v>
      </c>
      <c r="L111" s="544">
        <f t="shared" si="22"/>
        <v>109</v>
      </c>
      <c r="M111" s="544">
        <f t="shared" si="22"/>
        <v>110</v>
      </c>
      <c r="N111" s="1152"/>
      <c r="O111" s="1152"/>
      <c r="P111" s="2623"/>
      <c r="Q111" s="504"/>
    </row>
    <row r="112" spans="1:17" s="471" customFormat="1" ht="15" thickTop="1">
      <c r="A112" s="593"/>
      <c r="B112" s="538" t="s">
        <v>2607</v>
      </c>
      <c r="C112" s="2966" t="s">
        <v>3524</v>
      </c>
      <c r="D112" s="554"/>
      <c r="E112" s="554"/>
      <c r="F112" s="554"/>
      <c r="G112" s="554"/>
      <c r="H112" s="583"/>
      <c r="I112" s="583"/>
      <c r="J112" s="583"/>
      <c r="K112" s="584"/>
      <c r="L112" s="585"/>
      <c r="M112" s="586"/>
      <c r="N112" s="1153"/>
      <c r="O112" s="1153"/>
      <c r="P112" s="2624"/>
      <c r="Q112" s="559"/>
    </row>
    <row r="113" spans="1:17" s="471" customFormat="1" ht="14.4" thickBot="1">
      <c r="A113" s="553"/>
      <c r="B113" s="543"/>
      <c r="C113" s="544">
        <v>100</v>
      </c>
      <c r="D113" s="544">
        <f>C113-$K37</f>
        <v>99</v>
      </c>
      <c r="E113" s="544">
        <f t="shared" ref="E113:M113" si="23">D113-$K37</f>
        <v>98</v>
      </c>
      <c r="F113" s="544">
        <f t="shared" si="23"/>
        <v>97</v>
      </c>
      <c r="G113" s="544">
        <f t="shared" si="23"/>
        <v>96</v>
      </c>
      <c r="H113" s="544">
        <f t="shared" si="23"/>
        <v>95</v>
      </c>
      <c r="I113" s="544">
        <f t="shared" si="23"/>
        <v>94</v>
      </c>
      <c r="J113" s="544">
        <f t="shared" si="23"/>
        <v>93</v>
      </c>
      <c r="K113" s="544">
        <f t="shared" si="23"/>
        <v>92</v>
      </c>
      <c r="L113" s="544">
        <f t="shared" si="23"/>
        <v>91</v>
      </c>
      <c r="M113" s="544">
        <f t="shared" si="23"/>
        <v>90</v>
      </c>
      <c r="N113" s="1153"/>
      <c r="O113" s="1153"/>
      <c r="P113" s="2624"/>
      <c r="Q113" s="559"/>
    </row>
    <row r="114" spans="1:17" ht="15" thickTop="1">
      <c r="A114" s="599"/>
      <c r="B114" s="538" t="s">
        <v>2671</v>
      </c>
      <c r="C114" s="2966" t="s">
        <v>3525</v>
      </c>
      <c r="D114" s="554"/>
      <c r="E114" s="583"/>
      <c r="F114" s="583"/>
      <c r="G114" s="583"/>
      <c r="H114" s="583"/>
      <c r="I114" s="583"/>
      <c r="J114" s="583"/>
      <c r="K114" s="584"/>
      <c r="L114" s="585"/>
      <c r="M114" s="586"/>
      <c r="N114" s="1151"/>
      <c r="O114" s="1151"/>
      <c r="P114" s="2623"/>
      <c r="Q114" s="504"/>
    </row>
    <row r="115" spans="1:17" ht="14.4" thickBot="1">
      <c r="A115" s="534"/>
      <c r="B115" s="543"/>
      <c r="C115" s="544">
        <v>100</v>
      </c>
      <c r="D115" s="544">
        <f t="shared" ref="D115:M115" si="24">C115-$K38</f>
        <v>95</v>
      </c>
      <c r="E115" s="544">
        <f t="shared" si="24"/>
        <v>90</v>
      </c>
      <c r="F115" s="544">
        <f t="shared" si="24"/>
        <v>85</v>
      </c>
      <c r="G115" s="544">
        <f t="shared" si="24"/>
        <v>80</v>
      </c>
      <c r="H115" s="544">
        <f t="shared" si="24"/>
        <v>75</v>
      </c>
      <c r="I115" s="544">
        <f t="shared" si="24"/>
        <v>70</v>
      </c>
      <c r="J115" s="544">
        <f t="shared" si="24"/>
        <v>65</v>
      </c>
      <c r="K115" s="544">
        <f t="shared" si="24"/>
        <v>60</v>
      </c>
      <c r="L115" s="544">
        <f t="shared" si="24"/>
        <v>55</v>
      </c>
      <c r="M115" s="545">
        <f t="shared" si="24"/>
        <v>50</v>
      </c>
      <c r="N115" s="1152"/>
      <c r="O115" s="1152"/>
      <c r="P115" s="2623"/>
      <c r="Q115" s="504"/>
    </row>
    <row r="116" spans="1:17" ht="15" thickTop="1">
      <c r="A116" s="599"/>
      <c r="B116" s="538" t="s">
        <v>2672</v>
      </c>
      <c r="C116" s="2966" t="s">
        <v>3526</v>
      </c>
      <c r="D116" s="554"/>
      <c r="E116" s="554"/>
      <c r="F116" s="554"/>
      <c r="G116" s="554"/>
      <c r="H116" s="583"/>
      <c r="I116" s="583"/>
      <c r="J116" s="583"/>
      <c r="K116" s="584"/>
      <c r="L116" s="585"/>
      <c r="M116" s="586"/>
      <c r="N116" s="1151"/>
      <c r="O116" s="1151"/>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3"/>
      <c r="Q117" s="504"/>
    </row>
    <row r="118" spans="1:17" ht="15" thickTop="1">
      <c r="A118" s="599"/>
      <c r="B118" s="538" t="s">
        <v>2673</v>
      </c>
      <c r="C118" s="627"/>
      <c r="D118" s="627"/>
      <c r="E118" s="627"/>
      <c r="F118" s="627"/>
      <c r="G118" s="627"/>
      <c r="H118" s="555"/>
      <c r="I118" s="555"/>
      <c r="J118" s="555"/>
      <c r="K118" s="555"/>
      <c r="L118" s="556"/>
      <c r="M118" s="557"/>
      <c r="N118" s="1151"/>
      <c r="O118" s="1151"/>
      <c r="P118" s="2623"/>
      <c r="Q118" s="504"/>
    </row>
    <row r="119" spans="1:17" ht="14.4" thickBot="1">
      <c r="A119" s="534"/>
      <c r="B119" s="543"/>
      <c r="C119" s="560"/>
      <c r="D119" s="536"/>
      <c r="E119" s="536"/>
      <c r="F119" s="536"/>
      <c r="G119" s="536"/>
      <c r="H119" s="536"/>
      <c r="I119" s="536"/>
      <c r="J119" s="536"/>
      <c r="K119" s="536"/>
      <c r="L119" s="536"/>
      <c r="M119" s="537"/>
      <c r="N119" s="1152"/>
      <c r="O119" s="1152"/>
      <c r="P119" s="2623"/>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4"/>
      <c r="Q120" s="559"/>
    </row>
    <row r="121" spans="1:17" s="471" customFormat="1" ht="14.4"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3"/>
      <c r="O121" s="1153"/>
      <c r="P121" s="2624"/>
      <c r="Q121" s="559"/>
    </row>
    <row r="122" spans="1:17" ht="15" thickTop="1">
      <c r="A122" s="599"/>
      <c r="B122" s="538" t="s">
        <v>2609</v>
      </c>
      <c r="C122" s="2966" t="s">
        <v>3527</v>
      </c>
      <c r="D122" s="554"/>
      <c r="E122" s="554"/>
      <c r="F122" s="583"/>
      <c r="G122" s="583"/>
      <c r="H122" s="583"/>
      <c r="I122" s="583"/>
      <c r="J122" s="583"/>
      <c r="K122" s="584"/>
      <c r="L122" s="585"/>
      <c r="M122" s="586"/>
      <c r="N122" s="1151"/>
      <c r="O122" s="1151"/>
      <c r="P122" s="2623"/>
      <c r="Q122" s="504"/>
    </row>
    <row r="123" spans="1:17" ht="14.4" thickBot="1">
      <c r="A123" s="534"/>
      <c r="B123" s="543"/>
      <c r="C123" s="544">
        <v>100</v>
      </c>
      <c r="D123" s="544">
        <f t="shared" ref="D123:M123" si="26">C123-$K42</f>
        <v>98</v>
      </c>
      <c r="E123" s="544">
        <f t="shared" si="26"/>
        <v>96</v>
      </c>
      <c r="F123" s="544">
        <f t="shared" si="26"/>
        <v>94</v>
      </c>
      <c r="G123" s="544">
        <f t="shared" si="26"/>
        <v>92</v>
      </c>
      <c r="H123" s="544">
        <f t="shared" si="26"/>
        <v>90</v>
      </c>
      <c r="I123" s="544">
        <f t="shared" si="26"/>
        <v>88</v>
      </c>
      <c r="J123" s="544">
        <f t="shared" si="26"/>
        <v>86</v>
      </c>
      <c r="K123" s="544">
        <f t="shared" si="26"/>
        <v>84</v>
      </c>
      <c r="L123" s="544">
        <f t="shared" si="26"/>
        <v>82</v>
      </c>
      <c r="M123" s="545">
        <f t="shared" si="26"/>
        <v>80</v>
      </c>
      <c r="N123" s="1152"/>
      <c r="O123" s="1152"/>
      <c r="P123" s="2623"/>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4"/>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4"/>
      <c r="Q127" s="559"/>
    </row>
    <row r="128" spans="1:17" ht="14.4" thickTop="1">
      <c r="A128" s="599"/>
      <c r="B128" s="538">
        <f>B45</f>
        <v>111</v>
      </c>
      <c r="C128" s="554"/>
      <c r="D128" s="554"/>
      <c r="E128" s="554"/>
      <c r="F128" s="554"/>
      <c r="G128" s="583"/>
      <c r="H128" s="583"/>
      <c r="I128" s="583"/>
      <c r="J128" s="583"/>
      <c r="K128" s="584"/>
      <c r="L128" s="585"/>
      <c r="M128" s="586"/>
      <c r="N128" s="1151"/>
      <c r="O128" s="1151"/>
      <c r="P128" s="2623"/>
      <c r="Q128" s="504"/>
    </row>
    <row r="129" spans="1:17" ht="14.4" thickBot="1">
      <c r="A129" s="534"/>
      <c r="B129" s="543"/>
      <c r="C129" s="560"/>
      <c r="D129" s="536"/>
      <c r="E129" s="536"/>
      <c r="F129" s="536"/>
      <c r="G129" s="536"/>
      <c r="H129" s="536"/>
      <c r="I129" s="536"/>
      <c r="J129" s="536"/>
      <c r="K129" s="536"/>
      <c r="L129" s="536"/>
      <c r="M129" s="537"/>
      <c r="N129" s="1152"/>
      <c r="O129" s="1152"/>
      <c r="P129" s="2623"/>
      <c r="Q129" s="504"/>
    </row>
    <row r="130" spans="1:17" ht="14.4" thickTop="1">
      <c r="A130" s="599"/>
      <c r="B130" s="546">
        <f>B46</f>
        <v>111</v>
      </c>
      <c r="C130" s="554"/>
      <c r="D130" s="554"/>
      <c r="E130" s="554"/>
      <c r="F130" s="554"/>
      <c r="G130" s="587"/>
      <c r="H130" s="587"/>
      <c r="I130" s="587"/>
      <c r="J130" s="587"/>
      <c r="K130" s="523"/>
      <c r="L130" s="524"/>
      <c r="M130" s="590"/>
      <c r="N130" s="1151"/>
      <c r="O130" s="1151"/>
      <c r="P130" s="2623"/>
      <c r="Q130" s="504"/>
    </row>
    <row r="131" spans="1:17" ht="14.4" thickBot="1">
      <c r="A131" s="2629"/>
      <c r="B131" s="569"/>
      <c r="C131" s="570"/>
      <c r="D131" s="570"/>
      <c r="E131" s="570"/>
      <c r="F131" s="570"/>
      <c r="G131" s="591"/>
      <c r="H131" s="591"/>
      <c r="I131" s="591"/>
      <c r="J131" s="591"/>
      <c r="K131" s="591"/>
      <c r="L131" s="591"/>
      <c r="M131" s="592"/>
      <c r="N131" s="1152"/>
      <c r="O131" s="1152"/>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1606</v>
      </c>
    </row>
    <row r="2" spans="1:1">
      <c r="A2" s="1943"/>
    </row>
    <row r="3" spans="1:1" ht="17.399999999999999">
      <c r="A3" s="1944" t="str">
        <f>项目基本情况!B5&amp;"："</f>
        <v>中国信达资产管理股份有限公司北京市分公司：</v>
      </c>
    </row>
    <row r="4" spans="1:1" ht="52.2">
      <c r="A4" s="1945" t="str">
        <f>"受贵公司委托，我公司对"&amp;项目基本情况!S1&amp;"进行了预评估。"</f>
        <v>受贵公司委托，我公司对天津市滨海新区中心渔港经济区鲤鱼门路以东、海湾一道以南4-1、4-2#地块出让国有建设用地使用权及在建建筑物房地产抵押价值进行了预评估。</v>
      </c>
    </row>
    <row r="5" spans="1:1" ht="17.399999999999999">
      <c r="A5" s="1946" t="s">
        <v>1607</v>
      </c>
    </row>
    <row r="6" spans="1:1" ht="17.399999999999999">
      <c r="A6" s="1947" t="s">
        <v>1608</v>
      </c>
    </row>
    <row r="7" spans="1:1" ht="87">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中心渔港经济区鲤鱼门路以东、海湾一道以南4-1、4-2#地块出让国有建设用地使用权及在建建筑物房地产，为天津海滨投资发展有限公司所有。根据《国有土地使用证》[]，估价对象（分摊）出让国有建设用地使用权面积为3741.59平方米。根据《房屋所有权证》[]、《测绘报告》[]，估价对象建筑面积为14966.35平方米。</v>
      </c>
    </row>
    <row r="8" spans="1:1" ht="54.6">
      <c r="A8" s="1948" t="s">
        <v>1609</v>
      </c>
    </row>
    <row r="9" spans="1:1" ht="17.399999999999999">
      <c r="A9" s="1947" t="s">
        <v>1610</v>
      </c>
    </row>
    <row r="10" spans="1:1" ht="104.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中心渔港经济区鲤鱼门路以东、海湾一道以南4-1、4-2#地块出让国有建设用地使用权及在建建筑物房地产,属天津海滨投资发展有限公司开发建设的居住项目，该项目尚在开发建设中。根据《国有土地使用证》[]，估价对象（分摊）出让国有建设用地使用权面积为3741.59平方米。根据《房屋所有权证》[]、《测绘报告》[]，估价对象规划建筑面积为14966.35平方米。</v>
      </c>
    </row>
    <row r="11" spans="1:1" ht="72">
      <c r="A11" s="1948" t="s">
        <v>1611</v>
      </c>
    </row>
    <row r="12" spans="1:1" ht="17.399999999999999">
      <c r="A12" s="1946" t="s">
        <v>1612</v>
      </c>
    </row>
    <row r="13" spans="1:1" ht="38.25" customHeight="1">
      <c r="A13" s="1949" t="str">
        <f>IF(项目基本情况!B8="抵押",IF(项目基本情况!B5=项目基本情况!B6,定义!C51,定义!B51),定义!D51)</f>
        <v>天津海滨投资发展有限公司拟使用天津市滨海新区中心渔港经济区鲤鱼门路以东、海湾一道以南4-1、4-2#地块出让国有建设用地使用权及在建建筑物房地产作为抵押担保物，向中国信达资产管理股份有限公司北京市分公司办理贷款手续。中国信达资产管理股份有限公司北京市分公司特委托北京康正宏基房地产评估有限公司对上述抵押物进行评估。本次评估为确定房地产抵押贷款额度提供参考依据而评估房地产抵押价值。</v>
      </c>
    </row>
    <row r="14" spans="1:1" ht="17.399999999999999">
      <c r="A14" s="1950" t="s">
        <v>1613</v>
      </c>
    </row>
    <row r="15" spans="1:1" ht="17.399999999999999">
      <c r="A15" s="1951" t="str">
        <f>TEXT(项目基本情况!D3,"yyyy年m月d日;;")&amp;IF(项目基本情况!D3=项目基本情况!B3,"（评估专业人员实地查勘之日）","")</f>
        <v>2019年9月17日（评估专业人员实地查勘之日）</v>
      </c>
    </row>
    <row r="16" spans="1:1" ht="17.399999999999999">
      <c r="A16" s="1950" t="s">
        <v>1614</v>
      </c>
    </row>
    <row r="17" spans="1:1" ht="69.599999999999994">
      <c r="A17" s="1945" t="s">
        <v>1615</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17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5" t="str">
        <f>IF(项目基本情况!B9="房地产市场价值","——",IF(项目基本情况!E9="——","",定义!C57))</f>
        <v/>
      </c>
    </row>
    <row r="23" spans="1:1" ht="17.399999999999999">
      <c r="A23" s="1950" t="s">
        <v>1604</v>
      </c>
    </row>
    <row r="24" spans="1:1" ht="17.399999999999999">
      <c r="A24" s="1952" t="str">
        <f>"本次评估采用的主估价方法为"&amp;结果表!K4&amp;"和"&amp;结果表!L4&amp;"。"</f>
        <v>本次评估采用的主估价方法为成本法和假设开发法。</v>
      </c>
    </row>
    <row r="25" spans="1:1" ht="17.399999999999999">
      <c r="A25" s="1952"/>
    </row>
    <row r="26" spans="1:1" ht="17.399999999999999">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662" t="s">
        <v>2675</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7" t="e">
        <f ca="1">IF(C2="——",ROUND(C50*D3/10000,0),ROUND(C50*D3/10000,0)-D2)</f>
        <v>#DIV/0!</v>
      </c>
      <c r="C2" s="2581"/>
      <c r="D2" s="1364" t="e">
        <f ca="1">SUMIF(INDIRECT("'"&amp;F2&amp;"'"&amp;"!A:A"),"承租人权益价值",INDIRECT("'"&amp;F2&amp;"'"&amp;"!c:c"))</f>
        <v>#REF!</v>
      </c>
      <c r="E2" s="2582" t="s">
        <v>2320</v>
      </c>
      <c r="F2" s="2583"/>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14966.349999999999</v>
      </c>
      <c r="E3" s="2656"/>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4.4">
      <c r="A4" s="401" t="s">
        <v>2634</v>
      </c>
      <c r="B4" s="402"/>
      <c r="C4" s="3205" t="s">
        <v>2635</v>
      </c>
      <c r="D4" s="3206"/>
      <c r="E4" s="3207" t="s">
        <v>2636</v>
      </c>
      <c r="F4" s="3208"/>
      <c r="G4" s="3205" t="s">
        <v>2637</v>
      </c>
      <c r="H4" s="3206"/>
      <c r="I4" s="3205" t="s">
        <v>2638</v>
      </c>
      <c r="J4" s="3206"/>
      <c r="K4" s="610" t="s">
        <v>2639</v>
      </c>
      <c r="L4" s="1129"/>
      <c r="M4" s="1130"/>
      <c r="N4" s="1130"/>
      <c r="O4" s="1130"/>
      <c r="P4" s="3258" t="s">
        <v>2640</v>
      </c>
      <c r="Q4" s="3259"/>
      <c r="R4" s="3262" t="s">
        <v>2636</v>
      </c>
      <c r="S4" s="3263"/>
      <c r="T4" s="3262" t="s">
        <v>2637</v>
      </c>
      <c r="U4" s="3263"/>
      <c r="V4" s="3264" t="s">
        <v>2638</v>
      </c>
      <c r="W4" s="3264"/>
      <c r="X4" s="2663"/>
      <c r="Y4" s="3262" t="s">
        <v>2640</v>
      </c>
      <c r="Z4" s="3263"/>
      <c r="AA4" s="3266" t="s">
        <v>2636</v>
      </c>
      <c r="AB4" s="3266" t="s">
        <v>2637</v>
      </c>
      <c r="AC4" s="3255" t="s">
        <v>2638</v>
      </c>
    </row>
    <row r="5" spans="1:29">
      <c r="A5" s="404"/>
      <c r="B5" s="405"/>
      <c r="C5" s="3250" t="s">
        <v>2531</v>
      </c>
      <c r="D5" s="3220"/>
      <c r="E5" s="3251" t="s">
        <v>2532</v>
      </c>
      <c r="F5" s="3222"/>
      <c r="G5" s="3250" t="s">
        <v>2533</v>
      </c>
      <c r="H5" s="3220"/>
      <c r="I5" s="3250" t="s">
        <v>2534</v>
      </c>
      <c r="J5" s="3220"/>
      <c r="K5" s="610"/>
      <c r="L5" s="1129"/>
      <c r="M5" s="1130"/>
      <c r="N5" s="1130"/>
      <c r="O5" s="1130"/>
      <c r="P5" s="3260"/>
      <c r="Q5" s="3212"/>
      <c r="R5" s="3217"/>
      <c r="S5" s="3218"/>
      <c r="T5" s="3217"/>
      <c r="U5" s="3218"/>
      <c r="V5" s="3231"/>
      <c r="W5" s="3231"/>
      <c r="X5" s="1811"/>
      <c r="Y5" s="3217"/>
      <c r="Z5" s="3218"/>
      <c r="AA5" s="3203"/>
      <c r="AB5" s="3203"/>
      <c r="AC5" s="3256"/>
    </row>
    <row r="6" spans="1:29" ht="15" thickBot="1">
      <c r="A6" s="406"/>
      <c r="B6" s="407"/>
      <c r="C6" s="3224" t="s">
        <v>2535</v>
      </c>
      <c r="D6" s="3225"/>
      <c r="E6" s="3226" t="s">
        <v>2535</v>
      </c>
      <c r="F6" s="3227"/>
      <c r="G6" s="3224" t="s">
        <v>2535</v>
      </c>
      <c r="H6" s="3225"/>
      <c r="I6" s="3224" t="s">
        <v>2535</v>
      </c>
      <c r="J6" s="3225"/>
      <c r="K6" s="610" t="s">
        <v>2536</v>
      </c>
      <c r="L6" s="1129"/>
      <c r="M6" s="1130"/>
      <c r="N6" s="1130"/>
      <c r="O6" s="1130"/>
      <c r="P6" s="3261"/>
      <c r="Q6" s="3214"/>
      <c r="R6" s="3217"/>
      <c r="S6" s="3218"/>
      <c r="T6" s="3229"/>
      <c r="U6" s="3230"/>
      <c r="V6" s="3231"/>
      <c r="W6" s="3231"/>
      <c r="X6" s="1811"/>
      <c r="Y6" s="3229"/>
      <c r="Z6" s="3230"/>
      <c r="AA6" s="3204"/>
      <c r="AB6" s="3204"/>
      <c r="AC6" s="3257"/>
    </row>
    <row r="7" spans="1:29" s="117" customFormat="1" ht="15" thickBot="1">
      <c r="A7" s="408" t="s">
        <v>2537</v>
      </c>
      <c r="B7" s="409"/>
      <c r="C7" s="410">
        <f>'数据-取费表'!B2</f>
        <v>43725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5" t="s">
        <v>2538</v>
      </c>
      <c r="Q7" s="3233"/>
      <c r="R7" s="770" t="s">
        <v>17</v>
      </c>
      <c r="S7" s="771">
        <f t="shared" ref="S7:S15" si="0">F7</f>
        <v>0</v>
      </c>
      <c r="T7" s="770" t="s">
        <v>17</v>
      </c>
      <c r="U7" s="771">
        <f t="shared" ref="U7:U15" si="1">H7</f>
        <v>0</v>
      </c>
      <c r="V7" s="770" t="s">
        <v>17</v>
      </c>
      <c r="W7" s="771">
        <f t="shared" ref="W7:W15" si="2">J7</f>
        <v>0</v>
      </c>
      <c r="X7" s="772"/>
      <c r="Y7" s="3232" t="s">
        <v>2538</v>
      </c>
      <c r="Z7" s="3234"/>
      <c r="AA7" s="773" t="e">
        <f>D7/F7</f>
        <v>#DIV/0!</v>
      </c>
      <c r="AB7" s="773" t="e">
        <f>D7/H7</f>
        <v>#DIV/0!</v>
      </c>
      <c r="AC7" s="2664" t="e">
        <f>D7/J7</f>
        <v>#DIV/0!</v>
      </c>
    </row>
    <row r="8" spans="1:29" s="117" customFormat="1" ht="1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5" t="s">
        <v>2541</v>
      </c>
      <c r="Q8" s="3234"/>
      <c r="R8" s="770" t="s">
        <v>17</v>
      </c>
      <c r="S8" s="771">
        <f t="shared" si="0"/>
        <v>0</v>
      </c>
      <c r="T8" s="770" t="s">
        <v>17</v>
      </c>
      <c r="U8" s="771">
        <f t="shared" si="1"/>
        <v>0</v>
      </c>
      <c r="V8" s="770" t="s">
        <v>17</v>
      </c>
      <c r="W8" s="771">
        <f t="shared" si="2"/>
        <v>0</v>
      </c>
      <c r="X8" s="772"/>
      <c r="Y8" s="3232" t="s">
        <v>2541</v>
      </c>
      <c r="Z8" s="3234"/>
      <c r="AA8" s="773" t="e">
        <f t="shared" ref="AA8:AA47" si="3">D8/F8</f>
        <v>#DIV/0!</v>
      </c>
      <c r="AB8" s="773" t="e">
        <f t="shared" ref="AB8:AB47" si="4">D8/H8</f>
        <v>#DIV/0!</v>
      </c>
      <c r="AC8" s="2664" t="e">
        <f t="shared" ref="AC8:AC47" si="5">D8/J8</f>
        <v>#DIV/0!</v>
      </c>
    </row>
    <row r="9" spans="1:29" s="117" customFormat="1" ht="14.4">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5" t="s">
        <v>2544</v>
      </c>
      <c r="Q9" s="1793" t="str">
        <f t="shared" ref="Q9:Q15" si="6">B9</f>
        <v>用途</v>
      </c>
      <c r="R9" s="770" t="s">
        <v>17</v>
      </c>
      <c r="S9" s="771">
        <f t="shared" si="0"/>
        <v>100</v>
      </c>
      <c r="T9" s="770" t="s">
        <v>17</v>
      </c>
      <c r="U9" s="771">
        <f t="shared" si="1"/>
        <v>100</v>
      </c>
      <c r="V9" s="770" t="s">
        <v>17</v>
      </c>
      <c r="W9" s="771">
        <f t="shared" si="2"/>
        <v>100</v>
      </c>
      <c r="X9" s="772"/>
      <c r="Y9" s="3024" t="s">
        <v>2545</v>
      </c>
      <c r="Z9" s="55" t="str">
        <f t="shared" ref="Z9:Z15" si="7">Q9</f>
        <v>用途</v>
      </c>
      <c r="AA9" s="773">
        <f t="shared" si="3"/>
        <v>1</v>
      </c>
      <c r="AB9" s="773">
        <f t="shared" si="4"/>
        <v>1</v>
      </c>
      <c r="AC9" s="2664">
        <f t="shared" si="5"/>
        <v>1</v>
      </c>
    </row>
    <row r="10" spans="1:29" s="427" customFormat="1" ht="28.8">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5"/>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64">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5"/>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64" t="e">
        <f t="shared" si="5"/>
        <v>#N/A</v>
      </c>
    </row>
    <row r="12" spans="1:29" s="117" customFormat="1" ht="15">
      <c r="A12" s="431"/>
      <c r="B12" s="2594">
        <v>111</v>
      </c>
      <c r="C12" s="432"/>
      <c r="D12" s="433">
        <v>100</v>
      </c>
      <c r="E12" s="432"/>
      <c r="F12" s="136">
        <f>SUMIF(71:71,E12,72:72)-SUMIF(71:71,C12,72:72)+100</f>
        <v>100</v>
      </c>
      <c r="G12" s="2665"/>
      <c r="H12" s="136">
        <f>SUMIF(71:71,G12,72:72)-SUMIF(71:71,C12,72:72)+100</f>
        <v>100</v>
      </c>
      <c r="I12" s="432"/>
      <c r="J12" s="136">
        <f>SUMIF(71:71,I12,72:72)-SUMIF(71:71,C12,72:72)+100</f>
        <v>100</v>
      </c>
      <c r="K12" s="613"/>
      <c r="L12" s="1131"/>
      <c r="M12" s="1132"/>
      <c r="N12" s="1132"/>
      <c r="O12" s="1132"/>
      <c r="P12" s="3235"/>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64">
        <f>D12/J12</f>
        <v>1</v>
      </c>
    </row>
    <row r="13" spans="1:29" ht="15">
      <c r="A13" s="428"/>
      <c r="B13" s="2594">
        <v>111</v>
      </c>
      <c r="C13" s="434"/>
      <c r="D13" s="435">
        <v>100</v>
      </c>
      <c r="E13" s="432"/>
      <c r="F13" s="136">
        <f>SUMIF(73:73,E13,74:74)-SUMIF(73:73,C13,74:74)+100</f>
        <v>100</v>
      </c>
      <c r="G13" s="2665"/>
      <c r="H13" s="435">
        <f>SUMIF(73:73,G13,74:74)-SUMIF(73:73,C13,74:74)+100</f>
        <v>100</v>
      </c>
      <c r="I13" s="432"/>
      <c r="J13" s="435">
        <f>SUMIF(73:73,I13,74:74)-SUMIF(73:73,C13,74:74)+100</f>
        <v>100</v>
      </c>
      <c r="K13" s="613"/>
      <c r="L13" s="1139"/>
      <c r="M13" s="1130"/>
      <c r="N13" s="1130"/>
      <c r="O13" s="1130"/>
      <c r="P13" s="3235"/>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64">
        <f t="shared" si="5"/>
        <v>1</v>
      </c>
    </row>
    <row r="14" spans="1:29" ht="15.6" thickBot="1">
      <c r="A14" s="436"/>
      <c r="B14" s="2596">
        <v>111</v>
      </c>
      <c r="C14" s="437"/>
      <c r="D14" s="438">
        <v>100</v>
      </c>
      <c r="E14" s="628"/>
      <c r="F14" s="438">
        <f>SUMIF(75:75,E14,76:76)-SUMIF(75:75,C14,76:76)+100</f>
        <v>100</v>
      </c>
      <c r="G14" s="2665"/>
      <c r="H14" s="438">
        <f>SUMIF(75:75,G14,76:76)-SUMIF(75:75,C14,76:76)+100</f>
        <v>100</v>
      </c>
      <c r="I14" s="432"/>
      <c r="J14" s="438">
        <f>SUMIF(75:75,I14,76:76)-SUMIF(75:75,C14,76:76)+100</f>
        <v>100</v>
      </c>
      <c r="K14" s="613"/>
      <c r="L14" s="1139"/>
      <c r="M14" s="1130"/>
      <c r="N14" s="1130"/>
      <c r="O14" s="1130"/>
      <c r="P14" s="3235"/>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64">
        <f t="shared" si="5"/>
        <v>1</v>
      </c>
    </row>
    <row r="15" spans="1:29" ht="15">
      <c r="A15" s="440" t="s">
        <v>2548</v>
      </c>
      <c r="B15" s="629" t="s">
        <v>2676</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6" t="s">
        <v>2549</v>
      </c>
      <c r="Q15" s="1808" t="str">
        <f t="shared" si="6"/>
        <v>办公集聚程度</v>
      </c>
      <c r="R15" s="774" t="s">
        <v>17</v>
      </c>
      <c r="S15" s="775">
        <f t="shared" si="0"/>
        <v>100</v>
      </c>
      <c r="T15" s="774" t="s">
        <v>17</v>
      </c>
      <c r="U15" s="775">
        <f t="shared" si="1"/>
        <v>100</v>
      </c>
      <c r="V15" s="774" t="s">
        <v>17</v>
      </c>
      <c r="W15" s="775">
        <f t="shared" si="2"/>
        <v>100</v>
      </c>
      <c r="X15" s="1811"/>
      <c r="Y15" s="3238" t="s">
        <v>2549</v>
      </c>
      <c r="Z15" s="1812" t="str">
        <f t="shared" si="7"/>
        <v>办公集聚程度</v>
      </c>
      <c r="AA15" s="1809">
        <f t="shared" si="3"/>
        <v>1</v>
      </c>
      <c r="AB15" s="1809">
        <f t="shared" si="4"/>
        <v>1</v>
      </c>
      <c r="AC15" s="2667">
        <f t="shared" si="5"/>
        <v>1</v>
      </c>
    </row>
    <row r="16" spans="1:29" ht="15">
      <c r="A16" s="428"/>
      <c r="B16" s="630"/>
      <c r="C16" s="2605"/>
      <c r="D16" s="448"/>
      <c r="E16" s="447"/>
      <c r="F16" s="448"/>
      <c r="G16" s="2605"/>
      <c r="H16" s="450"/>
      <c r="I16" s="447"/>
      <c r="J16" s="448"/>
      <c r="K16" s="615"/>
      <c r="L16" s="1139"/>
      <c r="M16" s="1130"/>
      <c r="N16" s="1130"/>
      <c r="O16" s="1130"/>
      <c r="P16" s="3237"/>
      <c r="Q16" s="1808"/>
      <c r="R16" s="774"/>
      <c r="S16" s="775"/>
      <c r="T16" s="774"/>
      <c r="U16" s="775"/>
      <c r="V16" s="774"/>
      <c r="W16" s="775"/>
      <c r="X16" s="1811"/>
      <c r="Y16" s="3239"/>
      <c r="Z16" s="1812"/>
      <c r="AA16" s="1809">
        <v>1</v>
      </c>
      <c r="AB16" s="1809">
        <v>1</v>
      </c>
      <c r="AC16" s="2667">
        <v>1</v>
      </c>
    </row>
    <row r="17" spans="1:29" ht="15">
      <c r="A17" s="428"/>
      <c r="B17" s="631" t="s">
        <v>2089</v>
      </c>
      <c r="C17" s="2668" t="str">
        <f>估价对象房地状况!C6</f>
        <v>差</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7"/>
      <c r="Q17" s="1808" t="str">
        <f>B17</f>
        <v>交通便捷度</v>
      </c>
      <c r="R17" s="774" t="s">
        <v>17</v>
      </c>
      <c r="S17" s="775">
        <f>F17</f>
        <v>100</v>
      </c>
      <c r="T17" s="774" t="s">
        <v>17</v>
      </c>
      <c r="U17" s="775">
        <f>H17</f>
        <v>100</v>
      </c>
      <c r="V17" s="774" t="s">
        <v>17</v>
      </c>
      <c r="W17" s="775">
        <f>J17</f>
        <v>100</v>
      </c>
      <c r="X17" s="1811"/>
      <c r="Y17" s="3239"/>
      <c r="Z17" s="1812" t="str">
        <f>Q17</f>
        <v>交通便捷度</v>
      </c>
      <c r="AA17" s="1809">
        <f t="shared" si="3"/>
        <v>1</v>
      </c>
      <c r="AB17" s="1809">
        <f t="shared" si="4"/>
        <v>1</v>
      </c>
      <c r="AC17" s="2667">
        <f t="shared" si="5"/>
        <v>1</v>
      </c>
    </row>
    <row r="18" spans="1:29" ht="15">
      <c r="A18" s="428"/>
      <c r="B18" s="632"/>
      <c r="C18" s="2669"/>
      <c r="D18" s="450"/>
      <c r="E18" s="2603"/>
      <c r="F18" s="450"/>
      <c r="G18" s="2604"/>
      <c r="H18" s="448"/>
      <c r="I18" s="2604"/>
      <c r="J18" s="448"/>
      <c r="K18" s="615"/>
      <c r="L18" s="1139"/>
      <c r="M18" s="1130"/>
      <c r="N18" s="1130"/>
      <c r="O18" s="1130"/>
      <c r="P18" s="3237"/>
      <c r="Q18" s="1808"/>
      <c r="R18" s="774"/>
      <c r="S18" s="775"/>
      <c r="T18" s="774"/>
      <c r="U18" s="775"/>
      <c r="V18" s="774"/>
      <c r="W18" s="775"/>
      <c r="X18" s="1811"/>
      <c r="Y18" s="3239"/>
      <c r="Z18" s="1812"/>
      <c r="AA18" s="1809">
        <v>1</v>
      </c>
      <c r="AB18" s="1809">
        <v>1</v>
      </c>
      <c r="AC18" s="2667">
        <v>1</v>
      </c>
    </row>
    <row r="19" spans="1:29" ht="15">
      <c r="A19" s="428"/>
      <c r="B19" s="631" t="s">
        <v>2677</v>
      </c>
      <c r="C19" s="2668" t="str">
        <f>估价对象房地状况!C7</f>
        <v>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7"/>
      <c r="Q19" s="1808" t="str">
        <f>B19</f>
        <v>公共配套设施</v>
      </c>
      <c r="R19" s="774" t="s">
        <v>17</v>
      </c>
      <c r="S19" s="775">
        <f>F19</f>
        <v>100</v>
      </c>
      <c r="T19" s="774" t="s">
        <v>17</v>
      </c>
      <c r="U19" s="775">
        <f>H19</f>
        <v>100</v>
      </c>
      <c r="V19" s="774" t="s">
        <v>17</v>
      </c>
      <c r="W19" s="775">
        <f>J19</f>
        <v>100</v>
      </c>
      <c r="X19" s="1811"/>
      <c r="Y19" s="3239"/>
      <c r="Z19" s="1812" t="str">
        <f>Q19</f>
        <v>公共配套设施</v>
      </c>
      <c r="AA19" s="1809">
        <f t="shared" si="3"/>
        <v>1</v>
      </c>
      <c r="AB19" s="1809">
        <f t="shared" si="4"/>
        <v>1</v>
      </c>
      <c r="AC19" s="2667">
        <f t="shared" si="5"/>
        <v>1</v>
      </c>
    </row>
    <row r="20" spans="1:29" ht="15">
      <c r="A20" s="428"/>
      <c r="B20" s="632"/>
      <c r="C20" s="2605"/>
      <c r="D20" s="448"/>
      <c r="E20" s="2598"/>
      <c r="F20" s="448"/>
      <c r="G20" s="2599"/>
      <c r="H20" s="448"/>
      <c r="I20" s="2599"/>
      <c r="J20" s="448"/>
      <c r="K20" s="615"/>
      <c r="L20" s="1139"/>
      <c r="M20" s="1130"/>
      <c r="N20" s="1130"/>
      <c r="O20" s="1130"/>
      <c r="P20" s="3237"/>
      <c r="Q20" s="1808"/>
      <c r="R20" s="774"/>
      <c r="S20" s="775"/>
      <c r="T20" s="774"/>
      <c r="U20" s="775"/>
      <c r="V20" s="774"/>
      <c r="W20" s="775"/>
      <c r="X20" s="1811"/>
      <c r="Y20" s="3239"/>
      <c r="Z20" s="1812"/>
      <c r="AA20" s="1809">
        <v>1</v>
      </c>
      <c r="AB20" s="1809">
        <v>1</v>
      </c>
      <c r="AC20" s="2667">
        <v>1</v>
      </c>
    </row>
    <row r="21" spans="1:29" ht="15">
      <c r="A21" s="428"/>
      <c r="B21" s="633" t="s">
        <v>2678</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7"/>
      <c r="Q21" s="1808" t="str">
        <f>B21</f>
        <v>基础设施水平</v>
      </c>
      <c r="R21" s="774" t="s">
        <v>17</v>
      </c>
      <c r="S21" s="775">
        <f>F21</f>
        <v>100</v>
      </c>
      <c r="T21" s="774" t="s">
        <v>17</v>
      </c>
      <c r="U21" s="775">
        <f>H21</f>
        <v>100</v>
      </c>
      <c r="V21" s="774" t="s">
        <v>17</v>
      </c>
      <c r="W21" s="775">
        <f>J21</f>
        <v>100</v>
      </c>
      <c r="X21" s="1811"/>
      <c r="Y21" s="3239"/>
      <c r="Z21" s="1812" t="str">
        <f>Q21</f>
        <v>基础设施水平</v>
      </c>
      <c r="AA21" s="1809">
        <f>D21/F21</f>
        <v>1</v>
      </c>
      <c r="AB21" s="1809">
        <f>D21/H21</f>
        <v>1</v>
      </c>
      <c r="AC21" s="2667">
        <f>D21/J21</f>
        <v>1</v>
      </c>
    </row>
    <row r="22" spans="1:29" ht="15">
      <c r="A22" s="428"/>
      <c r="B22" s="633"/>
      <c r="C22" s="2669"/>
      <c r="D22" s="448"/>
      <c r="E22" s="447"/>
      <c r="F22" s="448"/>
      <c r="G22" s="2605"/>
      <c r="H22" s="448"/>
      <c r="I22" s="2605"/>
      <c r="J22" s="448"/>
      <c r="K22" s="1382"/>
      <c r="L22" s="1139"/>
      <c r="M22" s="1130"/>
      <c r="N22" s="1130"/>
      <c r="O22" s="1130"/>
      <c r="P22" s="3237"/>
      <c r="Q22" s="1808"/>
      <c r="R22" s="774"/>
      <c r="S22" s="775"/>
      <c r="T22" s="774"/>
      <c r="U22" s="775"/>
      <c r="V22" s="774"/>
      <c r="W22" s="775"/>
      <c r="X22" s="1811"/>
      <c r="Y22" s="3239"/>
      <c r="Z22" s="1812"/>
      <c r="AA22" s="1809">
        <v>1</v>
      </c>
      <c r="AB22" s="1809">
        <v>1</v>
      </c>
      <c r="AC22" s="2667">
        <v>1</v>
      </c>
    </row>
    <row r="23" spans="1:29" ht="15">
      <c r="A23" s="428"/>
      <c r="B23" s="631" t="s">
        <v>2679</v>
      </c>
      <c r="C23" s="2668"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7"/>
      <c r="Q23" s="1808" t="str">
        <f>B23</f>
        <v>环境质量</v>
      </c>
      <c r="R23" s="774" t="s">
        <v>17</v>
      </c>
      <c r="S23" s="775">
        <f>F23</f>
        <v>100</v>
      </c>
      <c r="T23" s="774" t="s">
        <v>17</v>
      </c>
      <c r="U23" s="775">
        <f>H23</f>
        <v>100</v>
      </c>
      <c r="V23" s="774" t="s">
        <v>17</v>
      </c>
      <c r="W23" s="775">
        <f>J23</f>
        <v>100</v>
      </c>
      <c r="X23" s="1811"/>
      <c r="Y23" s="3239"/>
      <c r="Z23" s="1812" t="str">
        <f>Q23</f>
        <v>环境质量</v>
      </c>
      <c r="AA23" s="1809">
        <f t="shared" si="3"/>
        <v>1</v>
      </c>
      <c r="AB23" s="1809">
        <f t="shared" si="4"/>
        <v>1</v>
      </c>
      <c r="AC23" s="2667">
        <f t="shared" si="5"/>
        <v>1</v>
      </c>
    </row>
    <row r="24" spans="1:29" ht="15">
      <c r="A24" s="428"/>
      <c r="B24" s="633"/>
      <c r="C24" s="2605"/>
      <c r="D24" s="448"/>
      <c r="E24" s="2598"/>
      <c r="F24" s="448"/>
      <c r="G24" s="2599"/>
      <c r="H24" s="448"/>
      <c r="I24" s="2599"/>
      <c r="J24" s="448"/>
      <c r="K24" s="615"/>
      <c r="L24" s="1139"/>
      <c r="M24" s="1130"/>
      <c r="N24" s="1130"/>
      <c r="O24" s="1130"/>
      <c r="P24" s="3237"/>
      <c r="Q24" s="1808"/>
      <c r="R24" s="774"/>
      <c r="S24" s="775"/>
      <c r="T24" s="774"/>
      <c r="U24" s="775"/>
      <c r="V24" s="774"/>
      <c r="W24" s="775"/>
      <c r="X24" s="1811"/>
      <c r="Y24" s="3239"/>
      <c r="Z24" s="1812"/>
      <c r="AA24" s="1809">
        <v>1</v>
      </c>
      <c r="AB24" s="1809">
        <v>1</v>
      </c>
      <c r="AC24" s="2667">
        <v>1</v>
      </c>
    </row>
    <row r="25" spans="1:29" ht="28.8">
      <c r="A25" s="404"/>
      <c r="B25" s="631" t="s">
        <v>2680</v>
      </c>
      <c r="C25" s="2609"/>
      <c r="D25" s="435">
        <v>100</v>
      </c>
      <c r="E25" s="434"/>
      <c r="F25" s="435">
        <f>SUMIF(87:87,E26,88:88)-SUMIF(87:87,C26,88:88)+100</f>
        <v>100</v>
      </c>
      <c r="G25" s="2609"/>
      <c r="H25" s="435">
        <f>SUMIF(87:87,G26,88:88)-SUMIF(87:87,C26,88:88)+100</f>
        <v>100</v>
      </c>
      <c r="I25" s="434"/>
      <c r="J25" s="435">
        <f>SUMIF(87:87,I26,88:88)-SUMIF(87:87,C26,88:88)+100</f>
        <v>100</v>
      </c>
      <c r="K25" s="614"/>
      <c r="L25" s="1139"/>
      <c r="M25" s="1130"/>
      <c r="N25" s="1130"/>
      <c r="O25" s="1130"/>
      <c r="P25" s="3237"/>
      <c r="Q25" s="1808" t="str">
        <f>B25</f>
        <v>毗邻道路的类型与等级</v>
      </c>
      <c r="R25" s="774" t="s">
        <v>17</v>
      </c>
      <c r="S25" s="775">
        <f>F25</f>
        <v>100</v>
      </c>
      <c r="T25" s="774" t="s">
        <v>17</v>
      </c>
      <c r="U25" s="775">
        <f>H25</f>
        <v>100</v>
      </c>
      <c r="V25" s="774" t="s">
        <v>17</v>
      </c>
      <c r="W25" s="775">
        <f>J25</f>
        <v>100</v>
      </c>
      <c r="X25" s="1811"/>
      <c r="Y25" s="3239"/>
      <c r="Z25" s="1812" t="str">
        <f>Q25</f>
        <v>毗邻道路的类型与等级</v>
      </c>
      <c r="AA25" s="1809">
        <f t="shared" si="3"/>
        <v>1</v>
      </c>
      <c r="AB25" s="1809">
        <f t="shared" si="4"/>
        <v>1</v>
      </c>
      <c r="AC25" s="2667">
        <f t="shared" si="5"/>
        <v>1</v>
      </c>
    </row>
    <row r="26" spans="1:29" ht="15">
      <c r="A26" s="404"/>
      <c r="B26" s="632"/>
      <c r="C26" s="634"/>
      <c r="D26" s="435"/>
      <c r="E26" s="616"/>
      <c r="F26" s="435"/>
      <c r="G26" s="634"/>
      <c r="H26" s="435"/>
      <c r="I26" s="616"/>
      <c r="J26" s="435"/>
      <c r="K26" s="615"/>
      <c r="L26" s="1139"/>
      <c r="M26" s="1130"/>
      <c r="N26" s="1130"/>
      <c r="O26" s="1130"/>
      <c r="P26" s="3237"/>
      <c r="Q26" s="1808"/>
      <c r="R26" s="774"/>
      <c r="S26" s="775"/>
      <c r="T26" s="774"/>
      <c r="U26" s="775"/>
      <c r="V26" s="774"/>
      <c r="W26" s="775"/>
      <c r="X26" s="1811"/>
      <c r="Y26" s="3239"/>
      <c r="Z26" s="1812"/>
      <c r="AA26" s="1809">
        <v>1</v>
      </c>
      <c r="AB26" s="1809">
        <v>1</v>
      </c>
      <c r="AC26" s="2667">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7"/>
      <c r="Q27" s="1808" t="str">
        <f t="shared" ref="Q27:Q47" si="8">B27</f>
        <v>楼层</v>
      </c>
      <c r="R27" s="774" t="s">
        <v>17</v>
      </c>
      <c r="S27" s="775">
        <f>F27</f>
        <v>100</v>
      </c>
      <c r="T27" s="774" t="s">
        <v>17</v>
      </c>
      <c r="U27" s="775">
        <f>H27</f>
        <v>100</v>
      </c>
      <c r="V27" s="774" t="s">
        <v>17</v>
      </c>
      <c r="W27" s="775">
        <f>J27</f>
        <v>100</v>
      </c>
      <c r="X27" s="1811"/>
      <c r="Y27" s="3239"/>
      <c r="Z27" s="1812" t="str">
        <f>Q27</f>
        <v>楼层</v>
      </c>
      <c r="AA27" s="1809">
        <f t="shared" si="3"/>
        <v>1</v>
      </c>
      <c r="AB27" s="1809">
        <f t="shared" si="4"/>
        <v>1</v>
      </c>
      <c r="AC27" s="2667">
        <f t="shared" si="5"/>
        <v>1</v>
      </c>
    </row>
    <row r="28" spans="1:29" s="117" customFormat="1" ht="15">
      <c r="A28" s="431"/>
      <c r="B28" s="631" t="s">
        <v>2681</v>
      </c>
      <c r="C28" s="2670"/>
      <c r="D28" s="462">
        <v>100</v>
      </c>
      <c r="E28" s="2658"/>
      <c r="F28" s="462">
        <f>SUMIF(91:91,E28,92:92)-SUMIF(91:91,C28,92:92)+100</f>
        <v>100</v>
      </c>
      <c r="G28" s="2670"/>
      <c r="H28" s="462">
        <f>SUMIF(91:91,G28,92:92)-SUMIF(91:91,C28,92:92)+100</f>
        <v>100</v>
      </c>
      <c r="I28" s="2658"/>
      <c r="J28" s="462">
        <f>SUMIF(91:91,I28,92:92)-SUMIF(91:91,C28,92:92)+100</f>
        <v>100</v>
      </c>
      <c r="K28" s="612"/>
      <c r="L28" s="1131"/>
      <c r="M28" s="1132"/>
      <c r="N28" s="1132"/>
      <c r="O28" s="1132"/>
      <c r="P28" s="3237"/>
      <c r="Q28" s="1793" t="str">
        <f t="shared" si="8"/>
        <v>朝向</v>
      </c>
      <c r="R28" s="770" t="s">
        <v>17</v>
      </c>
      <c r="S28" s="771">
        <f>F28</f>
        <v>100</v>
      </c>
      <c r="T28" s="770" t="s">
        <v>17</v>
      </c>
      <c r="U28" s="771">
        <f>H28</f>
        <v>100</v>
      </c>
      <c r="V28" s="770" t="s">
        <v>17</v>
      </c>
      <c r="W28" s="771">
        <f>J28</f>
        <v>100</v>
      </c>
      <c r="X28" s="772"/>
      <c r="Y28" s="3239"/>
      <c r="Z28" s="55" t="str">
        <f>Q28</f>
        <v>朝向</v>
      </c>
      <c r="AA28" s="1809">
        <f>D28/F28</f>
        <v>1</v>
      </c>
      <c r="AB28" s="1809">
        <f>D28/H28</f>
        <v>1</v>
      </c>
      <c r="AC28" s="2667">
        <f>D28/J28</f>
        <v>1</v>
      </c>
    </row>
    <row r="29" spans="1:29" ht="15">
      <c r="A29" s="428"/>
      <c r="B29" s="2671">
        <v>111</v>
      </c>
      <c r="C29" s="2609"/>
      <c r="D29" s="435">
        <v>100</v>
      </c>
      <c r="E29" s="432"/>
      <c r="F29" s="435">
        <f>SUMIF(93:93,E29,94:94)-SUMIF(93:93,C29,94:94)+100</f>
        <v>100</v>
      </c>
      <c r="G29" s="2665"/>
      <c r="H29" s="435">
        <f>SUMIF(93:93,G29,94:94)-SUMIF(93:93,C29,94:94)+100</f>
        <v>100</v>
      </c>
      <c r="I29" s="432"/>
      <c r="J29" s="435">
        <f>SUMIF(93:93,I29,94:94)-SUMIF(93:93,C29,94:94)+100</f>
        <v>100</v>
      </c>
      <c r="K29" s="613"/>
      <c r="L29" s="1139"/>
      <c r="M29" s="1130"/>
      <c r="N29" s="1130"/>
      <c r="O29" s="1130"/>
      <c r="P29" s="3237"/>
      <c r="Q29" s="1808">
        <f t="shared" si="8"/>
        <v>111</v>
      </c>
      <c r="R29" s="774" t="s">
        <v>17</v>
      </c>
      <c r="S29" s="775">
        <f t="shared" ref="S29:S47" si="9">F29</f>
        <v>100</v>
      </c>
      <c r="T29" s="774" t="s">
        <v>17</v>
      </c>
      <c r="U29" s="775">
        <f t="shared" ref="U29:U47" si="10">H29</f>
        <v>100</v>
      </c>
      <c r="V29" s="774" t="s">
        <v>17</v>
      </c>
      <c r="W29" s="775">
        <f t="shared" ref="W29:W47" si="11">J29</f>
        <v>100</v>
      </c>
      <c r="X29" s="1811"/>
      <c r="Y29" s="3239"/>
      <c r="Z29" s="1812">
        <f t="shared" ref="Z29:Z47" si="12">Q29</f>
        <v>111</v>
      </c>
      <c r="AA29" s="1809">
        <f t="shared" si="3"/>
        <v>1</v>
      </c>
      <c r="AB29" s="1809">
        <f t="shared" si="4"/>
        <v>1</v>
      </c>
      <c r="AC29" s="2667">
        <f t="shared" si="5"/>
        <v>1</v>
      </c>
    </row>
    <row r="30" spans="1:29" ht="15">
      <c r="A30" s="428"/>
      <c r="B30" s="2671">
        <v>111</v>
      </c>
      <c r="C30" s="2609"/>
      <c r="D30" s="435">
        <v>100</v>
      </c>
      <c r="E30" s="432"/>
      <c r="F30" s="435">
        <f>SUMIF(95:95,E30,96:96)-SUMIF(95:95,C30,96:96)+100</f>
        <v>100</v>
      </c>
      <c r="G30" s="2665"/>
      <c r="H30" s="435">
        <f>SUMIF(95:95,G30,96:96)-SUMIF(95:95,C30,96:96)+100</f>
        <v>100</v>
      </c>
      <c r="I30" s="432"/>
      <c r="J30" s="435">
        <f>SUMIF(95:95,I30,96:96)-SUMIF(95:95,C30,96:96)+100</f>
        <v>100</v>
      </c>
      <c r="K30" s="613"/>
      <c r="L30" s="1139"/>
      <c r="M30" s="1130"/>
      <c r="N30" s="1130"/>
      <c r="O30" s="1130"/>
      <c r="P30" s="3237"/>
      <c r="Q30" s="1808">
        <f t="shared" si="8"/>
        <v>111</v>
      </c>
      <c r="R30" s="774" t="s">
        <v>17</v>
      </c>
      <c r="S30" s="775">
        <f t="shared" si="9"/>
        <v>100</v>
      </c>
      <c r="T30" s="774" t="s">
        <v>17</v>
      </c>
      <c r="U30" s="775">
        <f t="shared" si="10"/>
        <v>100</v>
      </c>
      <c r="V30" s="774" t="s">
        <v>17</v>
      </c>
      <c r="W30" s="775">
        <f t="shared" si="11"/>
        <v>100</v>
      </c>
      <c r="X30" s="1811"/>
      <c r="Y30" s="3239"/>
      <c r="Z30" s="1812">
        <f t="shared" si="12"/>
        <v>111</v>
      </c>
      <c r="AA30" s="1809">
        <f t="shared" si="3"/>
        <v>1</v>
      </c>
      <c r="AB30" s="1809">
        <f t="shared" si="4"/>
        <v>1</v>
      </c>
      <c r="AC30" s="2667">
        <f t="shared" si="5"/>
        <v>1</v>
      </c>
    </row>
    <row r="31" spans="1:29" ht="15">
      <c r="A31" s="428"/>
      <c r="B31" s="2671">
        <v>111</v>
      </c>
      <c r="C31" s="2609"/>
      <c r="D31" s="435">
        <v>100</v>
      </c>
      <c r="E31" s="432"/>
      <c r="F31" s="435">
        <f>SUMIF(97:97,E31,98:98)-SUMIF(97:97,C31,98:98)+100</f>
        <v>100</v>
      </c>
      <c r="G31" s="2665"/>
      <c r="H31" s="435">
        <f>SUMIF(97:97,G31,98:98)-SUMIF(97:97,C31,98:98)+100</f>
        <v>100</v>
      </c>
      <c r="I31" s="432"/>
      <c r="J31" s="435">
        <f>SUMIF(97:97,I31,98:98)-SUMIF(97:97,C31,98:98)+100</f>
        <v>100</v>
      </c>
      <c r="K31" s="613"/>
      <c r="L31" s="1139"/>
      <c r="M31" s="1130"/>
      <c r="N31" s="1130"/>
      <c r="O31" s="1130"/>
      <c r="P31" s="3237"/>
      <c r="Q31" s="1808">
        <f t="shared" si="8"/>
        <v>111</v>
      </c>
      <c r="R31" s="774" t="s">
        <v>17</v>
      </c>
      <c r="S31" s="775">
        <f t="shared" si="9"/>
        <v>100</v>
      </c>
      <c r="T31" s="774" t="s">
        <v>17</v>
      </c>
      <c r="U31" s="775">
        <f t="shared" si="10"/>
        <v>100</v>
      </c>
      <c r="V31" s="774" t="s">
        <v>17</v>
      </c>
      <c r="W31" s="775">
        <f t="shared" si="11"/>
        <v>100</v>
      </c>
      <c r="X31" s="1811"/>
      <c r="Y31" s="3239"/>
      <c r="Z31" s="1812">
        <f t="shared" si="12"/>
        <v>111</v>
      </c>
      <c r="AA31" s="1809">
        <f t="shared" si="3"/>
        <v>1</v>
      </c>
      <c r="AB31" s="1809">
        <f t="shared" si="4"/>
        <v>1</v>
      </c>
      <c r="AC31" s="2667">
        <f t="shared" si="5"/>
        <v>1</v>
      </c>
    </row>
    <row r="32" spans="1:29" ht="15.6" thickBot="1">
      <c r="A32" s="436"/>
      <c r="B32" s="635">
        <v>111</v>
      </c>
      <c r="C32" s="2610"/>
      <c r="D32" s="438">
        <v>100</v>
      </c>
      <c r="E32" s="628"/>
      <c r="F32" s="438">
        <f>SUMIF(99:99,E32,100:100)-SUMIF(99:99,C32,100:100)+100</f>
        <v>100</v>
      </c>
      <c r="G32" s="2665"/>
      <c r="H32" s="438">
        <f>SUMIF(99:99,G32,100:100)-SUMIF(99:99,C32,100:100)+100</f>
        <v>100</v>
      </c>
      <c r="I32" s="432"/>
      <c r="J32" s="438">
        <f>SUMIF(99:99,I32,100:100)-SUMIF(99:99,C32,100:100)+100</f>
        <v>100</v>
      </c>
      <c r="K32" s="613"/>
      <c r="L32" s="1139"/>
      <c r="M32" s="1130"/>
      <c r="N32" s="1130"/>
      <c r="O32" s="1130"/>
      <c r="P32" s="3237"/>
      <c r="Q32" s="1808">
        <f t="shared" si="8"/>
        <v>111</v>
      </c>
      <c r="R32" s="774" t="s">
        <v>17</v>
      </c>
      <c r="S32" s="775">
        <f t="shared" si="9"/>
        <v>100</v>
      </c>
      <c r="T32" s="774" t="s">
        <v>17</v>
      </c>
      <c r="U32" s="775">
        <f t="shared" si="10"/>
        <v>100</v>
      </c>
      <c r="V32" s="774" t="s">
        <v>17</v>
      </c>
      <c r="W32" s="775">
        <f t="shared" si="11"/>
        <v>100</v>
      </c>
      <c r="X32" s="1811"/>
      <c r="Y32" s="3239"/>
      <c r="Z32" s="1812">
        <f t="shared" si="12"/>
        <v>111</v>
      </c>
      <c r="AA32" s="1809">
        <f t="shared" si="3"/>
        <v>1</v>
      </c>
      <c r="AB32" s="1809">
        <f t="shared" si="4"/>
        <v>1</v>
      </c>
      <c r="AC32" s="2667">
        <f t="shared" si="5"/>
        <v>1</v>
      </c>
    </row>
    <row r="33" spans="1:29" ht="15">
      <c r="A33" s="440" t="s">
        <v>2552</v>
      </c>
      <c r="B33" s="71" t="s">
        <v>2682</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9"/>
      <c r="M33" s="1130"/>
      <c r="N33" s="1130"/>
      <c r="O33" s="1130"/>
      <c r="P33" s="3240" t="s">
        <v>2554</v>
      </c>
      <c r="Q33" s="1808" t="str">
        <f t="shared" si="8"/>
        <v>建筑类型</v>
      </c>
      <c r="R33" s="774" t="s">
        <v>17</v>
      </c>
      <c r="S33" s="775">
        <f t="shared" si="9"/>
        <v>100</v>
      </c>
      <c r="T33" s="774" t="s">
        <v>17</v>
      </c>
      <c r="U33" s="775">
        <f t="shared" si="10"/>
        <v>100</v>
      </c>
      <c r="V33" s="774" t="s">
        <v>17</v>
      </c>
      <c r="W33" s="775">
        <f t="shared" si="11"/>
        <v>100</v>
      </c>
      <c r="X33" s="1811"/>
      <c r="Y33" s="3243" t="s">
        <v>2554</v>
      </c>
      <c r="Z33" s="1812" t="str">
        <f t="shared" si="12"/>
        <v>建筑类型</v>
      </c>
      <c r="AA33" s="1809">
        <f t="shared" si="3"/>
        <v>1</v>
      </c>
      <c r="AB33" s="1809">
        <f t="shared" si="4"/>
        <v>1</v>
      </c>
      <c r="AC33" s="2667">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41"/>
      <c r="Q34" s="776" t="str">
        <f t="shared" si="8"/>
        <v>项目建筑规模</v>
      </c>
      <c r="R34" s="777" t="s">
        <v>17</v>
      </c>
      <c r="S34" s="778" t="e">
        <f t="shared" si="9"/>
        <v>#N/A</v>
      </c>
      <c r="T34" s="777" t="s">
        <v>17</v>
      </c>
      <c r="U34" s="778" t="e">
        <f t="shared" si="10"/>
        <v>#N/A</v>
      </c>
      <c r="V34" s="777" t="s">
        <v>17</v>
      </c>
      <c r="W34" s="778" t="e">
        <f t="shared" si="11"/>
        <v>#N/A</v>
      </c>
      <c r="X34" s="779"/>
      <c r="Y34" s="3243"/>
      <c r="Z34" s="780" t="str">
        <f t="shared" si="12"/>
        <v>项目建筑规模</v>
      </c>
      <c r="AA34" s="1809" t="e">
        <f t="shared" si="3"/>
        <v>#N/A</v>
      </c>
      <c r="AB34" s="1809" t="e">
        <f t="shared" si="4"/>
        <v>#N/A</v>
      </c>
      <c r="AC34" s="2667"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41"/>
      <c r="Q35" s="1808" t="str">
        <f t="shared" si="8"/>
        <v>建筑结构</v>
      </c>
      <c r="R35" s="774" t="s">
        <v>17</v>
      </c>
      <c r="S35" s="775">
        <f t="shared" si="9"/>
        <v>100</v>
      </c>
      <c r="T35" s="774" t="s">
        <v>17</v>
      </c>
      <c r="U35" s="775">
        <f t="shared" si="10"/>
        <v>100</v>
      </c>
      <c r="V35" s="774" t="s">
        <v>17</v>
      </c>
      <c r="W35" s="775">
        <f t="shared" si="11"/>
        <v>100</v>
      </c>
      <c r="X35" s="1811"/>
      <c r="Y35" s="3243"/>
      <c r="Z35" s="1812" t="str">
        <f t="shared" si="12"/>
        <v>建筑结构</v>
      </c>
      <c r="AA35" s="1809">
        <f t="shared" si="3"/>
        <v>1</v>
      </c>
      <c r="AB35" s="1809">
        <f t="shared" si="4"/>
        <v>1</v>
      </c>
      <c r="AC35" s="2667">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41"/>
      <c r="Q36" s="1808" t="str">
        <f t="shared" si="8"/>
        <v>公共部分装修</v>
      </c>
      <c r="R36" s="774" t="s">
        <v>17</v>
      </c>
      <c r="S36" s="775">
        <f t="shared" si="9"/>
        <v>100</v>
      </c>
      <c r="T36" s="774" t="s">
        <v>17</v>
      </c>
      <c r="U36" s="775">
        <f t="shared" si="10"/>
        <v>100</v>
      </c>
      <c r="V36" s="774" t="s">
        <v>17</v>
      </c>
      <c r="W36" s="775">
        <f t="shared" si="11"/>
        <v>100</v>
      </c>
      <c r="X36" s="1811"/>
      <c r="Y36" s="3243"/>
      <c r="Z36" s="1812" t="str">
        <f t="shared" si="12"/>
        <v>公共部分装修</v>
      </c>
      <c r="AA36" s="1809">
        <f t="shared" si="3"/>
        <v>1</v>
      </c>
      <c r="AB36" s="1809">
        <f t="shared" si="4"/>
        <v>1</v>
      </c>
      <c r="AC36" s="2667">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41"/>
      <c r="Q37" s="1808" t="str">
        <f t="shared" si="8"/>
        <v>成新度</v>
      </c>
      <c r="R37" s="774" t="s">
        <v>17</v>
      </c>
      <c r="S37" s="775" t="e">
        <f t="shared" si="9"/>
        <v>#N/A</v>
      </c>
      <c r="T37" s="774" t="s">
        <v>17</v>
      </c>
      <c r="U37" s="775" t="e">
        <f t="shared" si="10"/>
        <v>#N/A</v>
      </c>
      <c r="V37" s="774" t="s">
        <v>17</v>
      </c>
      <c r="W37" s="775" t="e">
        <f t="shared" si="11"/>
        <v>#N/A</v>
      </c>
      <c r="X37" s="1811"/>
      <c r="Y37" s="3243"/>
      <c r="Z37" s="1812" t="str">
        <f t="shared" si="12"/>
        <v>成新度</v>
      </c>
      <c r="AA37" s="1809" t="e">
        <f t="shared" si="3"/>
        <v>#N/A</v>
      </c>
      <c r="AB37" s="1809" t="e">
        <f t="shared" si="4"/>
        <v>#N/A</v>
      </c>
      <c r="AC37" s="2667"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1"/>
      <c r="Q38" s="1793" t="str">
        <f t="shared" si="8"/>
        <v>写字楼等级</v>
      </c>
      <c r="R38" s="770" t="s">
        <v>17</v>
      </c>
      <c r="S38" s="771">
        <f t="shared" si="9"/>
        <v>100</v>
      </c>
      <c r="T38" s="770" t="s">
        <v>17</v>
      </c>
      <c r="U38" s="771">
        <f t="shared" si="10"/>
        <v>100</v>
      </c>
      <c r="V38" s="770" t="s">
        <v>17</v>
      </c>
      <c r="W38" s="771">
        <f t="shared" si="11"/>
        <v>100</v>
      </c>
      <c r="X38" s="772"/>
      <c r="Y38" s="3243"/>
      <c r="Z38" s="55" t="str">
        <f t="shared" si="12"/>
        <v>写字楼等级</v>
      </c>
      <c r="AA38" s="773">
        <f t="shared" si="3"/>
        <v>1</v>
      </c>
      <c r="AB38" s="773">
        <f t="shared" si="4"/>
        <v>1</v>
      </c>
      <c r="AC38" s="2664">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1" t="s">
        <v>2554</v>
      </c>
      <c r="Q39" s="1808" t="str">
        <f t="shared" si="8"/>
        <v>物业管理</v>
      </c>
      <c r="R39" s="774" t="s">
        <v>17</v>
      </c>
      <c r="S39" s="775">
        <f t="shared" si="9"/>
        <v>100</v>
      </c>
      <c r="T39" s="774" t="s">
        <v>17</v>
      </c>
      <c r="U39" s="775">
        <f t="shared" si="10"/>
        <v>100</v>
      </c>
      <c r="V39" s="774" t="s">
        <v>17</v>
      </c>
      <c r="W39" s="775">
        <f t="shared" si="11"/>
        <v>100</v>
      </c>
      <c r="X39" s="1811"/>
      <c r="Y39" s="3243" t="s">
        <v>2554</v>
      </c>
      <c r="Z39" s="1812" t="str">
        <f t="shared" si="12"/>
        <v>物业管理</v>
      </c>
      <c r="AA39" s="1809">
        <f t="shared" si="3"/>
        <v>1</v>
      </c>
      <c r="AB39" s="1809">
        <f t="shared" si="4"/>
        <v>1</v>
      </c>
      <c r="AC39" s="2667">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41"/>
      <c r="Q40" s="1808" t="str">
        <f t="shared" si="8"/>
        <v>市政基础设施</v>
      </c>
      <c r="R40" s="774" t="s">
        <v>17</v>
      </c>
      <c r="S40" s="775">
        <f t="shared" si="9"/>
        <v>100</v>
      </c>
      <c r="T40" s="774" t="s">
        <v>17</v>
      </c>
      <c r="U40" s="775">
        <f t="shared" si="10"/>
        <v>100</v>
      </c>
      <c r="V40" s="774" t="s">
        <v>17</v>
      </c>
      <c r="W40" s="775">
        <f t="shared" si="11"/>
        <v>100</v>
      </c>
      <c r="X40" s="1811"/>
      <c r="Y40" s="3243"/>
      <c r="Z40" s="1812" t="str">
        <f t="shared" si="12"/>
        <v>市政基础设施</v>
      </c>
      <c r="AA40" s="1809">
        <f t="shared" si="3"/>
        <v>1</v>
      </c>
      <c r="AB40" s="1809">
        <f t="shared" si="4"/>
        <v>1</v>
      </c>
      <c r="AC40" s="2667">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1"/>
      <c r="Q41" s="1808" t="str">
        <f t="shared" si="8"/>
        <v>层高</v>
      </c>
      <c r="R41" s="774" t="s">
        <v>17</v>
      </c>
      <c r="S41" s="775">
        <f t="shared" si="9"/>
        <v>100</v>
      </c>
      <c r="T41" s="774" t="s">
        <v>17</v>
      </c>
      <c r="U41" s="775">
        <f t="shared" si="10"/>
        <v>100</v>
      </c>
      <c r="V41" s="774" t="s">
        <v>17</v>
      </c>
      <c r="W41" s="775">
        <f t="shared" si="11"/>
        <v>100</v>
      </c>
      <c r="X41" s="1811"/>
      <c r="Y41" s="3243"/>
      <c r="Z41" s="1812" t="str">
        <f t="shared" si="12"/>
        <v>层高</v>
      </c>
      <c r="AA41" s="1809">
        <f t="shared" si="3"/>
        <v>1</v>
      </c>
      <c r="AB41" s="1809">
        <f t="shared" si="4"/>
        <v>1</v>
      </c>
      <c r="AC41" s="2667">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1"/>
      <c r="Q42" s="776" t="str">
        <f t="shared" si="8"/>
        <v>单套建筑面积</v>
      </c>
      <c r="R42" s="777" t="s">
        <v>17</v>
      </c>
      <c r="S42" s="778">
        <f t="shared" si="9"/>
        <v>100</v>
      </c>
      <c r="T42" s="777" t="s">
        <v>17</v>
      </c>
      <c r="U42" s="778">
        <f t="shared" si="10"/>
        <v>100</v>
      </c>
      <c r="V42" s="777" t="s">
        <v>17</v>
      </c>
      <c r="W42" s="778">
        <f t="shared" si="11"/>
        <v>100</v>
      </c>
      <c r="X42" s="779"/>
      <c r="Y42" s="3243"/>
      <c r="Z42" s="780" t="str">
        <f t="shared" si="12"/>
        <v>单套建筑面积</v>
      </c>
      <c r="AA42" s="1809">
        <f t="shared" si="3"/>
        <v>1</v>
      </c>
      <c r="AB42" s="1809">
        <f t="shared" si="4"/>
        <v>1</v>
      </c>
      <c r="AC42" s="2667">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41"/>
      <c r="Q43" s="1808" t="str">
        <f t="shared" si="8"/>
        <v>内部装修</v>
      </c>
      <c r="R43" s="774" t="s">
        <v>17</v>
      </c>
      <c r="S43" s="775">
        <f t="shared" si="9"/>
        <v>100</v>
      </c>
      <c r="T43" s="774" t="s">
        <v>17</v>
      </c>
      <c r="U43" s="775">
        <f t="shared" si="10"/>
        <v>100</v>
      </c>
      <c r="V43" s="774" t="s">
        <v>17</v>
      </c>
      <c r="W43" s="775">
        <f t="shared" si="11"/>
        <v>100</v>
      </c>
      <c r="X43" s="1811"/>
      <c r="Y43" s="3243"/>
      <c r="Z43" s="1812" t="str">
        <f t="shared" si="12"/>
        <v>内部装修</v>
      </c>
      <c r="AA43" s="1809">
        <f t="shared" si="3"/>
        <v>1</v>
      </c>
      <c r="AB43" s="1809">
        <f t="shared" si="4"/>
        <v>1</v>
      </c>
      <c r="AC43" s="2667">
        <f t="shared" si="5"/>
        <v>1</v>
      </c>
    </row>
    <row r="44" spans="1:29" ht="28.8">
      <c r="A44" s="472"/>
      <c r="B44" s="422" t="s">
        <v>2565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9"/>
      <c r="M44" s="1130"/>
      <c r="N44" s="1130"/>
      <c r="O44" s="1130"/>
      <c r="P44" s="3241"/>
      <c r="Q44" s="1808" t="str">
        <f t="shared" si="8"/>
        <v>内部装修维护情况</v>
      </c>
      <c r="R44" s="774" t="s">
        <v>17</v>
      </c>
      <c r="S44" s="775">
        <f t="shared" si="9"/>
        <v>100</v>
      </c>
      <c r="T44" s="774" t="s">
        <v>17</v>
      </c>
      <c r="U44" s="775">
        <f t="shared" si="10"/>
        <v>100</v>
      </c>
      <c r="V44" s="774" t="s">
        <v>17</v>
      </c>
      <c r="W44" s="775">
        <f t="shared" si="11"/>
        <v>100</v>
      </c>
      <c r="X44" s="1811"/>
      <c r="Y44" s="3243"/>
      <c r="Z44" s="1812" t="str">
        <f t="shared" si="12"/>
        <v>内部装修维护情况</v>
      </c>
      <c r="AA44" s="1809">
        <f t="shared" si="3"/>
        <v>1</v>
      </c>
      <c r="AB44" s="1809">
        <f t="shared" si="4"/>
        <v>1</v>
      </c>
      <c r="AC44" s="266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1"/>
      <c r="Q45" s="1793">
        <f t="shared" si="8"/>
        <v>111</v>
      </c>
      <c r="R45" s="770" t="s">
        <v>17</v>
      </c>
      <c r="S45" s="771">
        <f t="shared" si="9"/>
        <v>100</v>
      </c>
      <c r="T45" s="770" t="s">
        <v>17</v>
      </c>
      <c r="U45" s="771">
        <f t="shared" si="10"/>
        <v>100</v>
      </c>
      <c r="V45" s="770" t="s">
        <v>17</v>
      </c>
      <c r="W45" s="771">
        <f t="shared" si="11"/>
        <v>100</v>
      </c>
      <c r="X45" s="772"/>
      <c r="Y45" s="3243"/>
      <c r="Z45" s="55">
        <f t="shared" si="12"/>
        <v>111</v>
      </c>
      <c r="AA45" s="773">
        <f t="shared" si="3"/>
        <v>1</v>
      </c>
      <c r="AB45" s="773">
        <f t="shared" si="4"/>
        <v>1</v>
      </c>
      <c r="AC45" s="266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1"/>
      <c r="Q46" s="1808">
        <f t="shared" si="8"/>
        <v>111</v>
      </c>
      <c r="R46" s="774" t="s">
        <v>17</v>
      </c>
      <c r="S46" s="775">
        <f t="shared" si="9"/>
        <v>100</v>
      </c>
      <c r="T46" s="774" t="s">
        <v>17</v>
      </c>
      <c r="U46" s="775">
        <f t="shared" si="10"/>
        <v>100</v>
      </c>
      <c r="V46" s="774" t="s">
        <v>17</v>
      </c>
      <c r="W46" s="775">
        <f t="shared" si="11"/>
        <v>100</v>
      </c>
      <c r="X46" s="1811"/>
      <c r="Y46" s="3243"/>
      <c r="Z46" s="1812">
        <f t="shared" si="12"/>
        <v>111</v>
      </c>
      <c r="AA46" s="1809">
        <f t="shared" si="3"/>
        <v>1</v>
      </c>
      <c r="AB46" s="1809">
        <f t="shared" si="4"/>
        <v>1</v>
      </c>
      <c r="AC46" s="2667">
        <f t="shared" si="5"/>
        <v>1</v>
      </c>
    </row>
    <row r="47" spans="1:29" ht="15.6"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2"/>
      <c r="Q47" s="1808">
        <f t="shared" si="8"/>
        <v>111</v>
      </c>
      <c r="R47" s="774" t="s">
        <v>17</v>
      </c>
      <c r="S47" s="775">
        <f t="shared" si="9"/>
        <v>100</v>
      </c>
      <c r="T47" s="774" t="s">
        <v>17</v>
      </c>
      <c r="U47" s="775">
        <f t="shared" si="10"/>
        <v>100</v>
      </c>
      <c r="V47" s="774" t="s">
        <v>17</v>
      </c>
      <c r="W47" s="775">
        <f t="shared" si="11"/>
        <v>100</v>
      </c>
      <c r="X47" s="1811"/>
      <c r="Y47" s="3244"/>
      <c r="Z47" s="1812">
        <f t="shared" si="12"/>
        <v>111</v>
      </c>
      <c r="AA47" s="1809">
        <f t="shared" si="3"/>
        <v>1</v>
      </c>
      <c r="AB47" s="1809">
        <f t="shared" si="4"/>
        <v>1</v>
      </c>
      <c r="AC47" s="2667">
        <f t="shared" si="5"/>
        <v>1</v>
      </c>
    </row>
    <row r="48" spans="1:29" ht="14.4">
      <c r="A48" s="479" t="s">
        <v>2566</v>
      </c>
      <c r="B48" s="480"/>
      <c r="C48" s="1406" t="s">
        <v>1</v>
      </c>
      <c r="D48" s="1407"/>
      <c r="E48" s="1408"/>
      <c r="F48" s="1409"/>
      <c r="G48" s="1410"/>
      <c r="H48" s="1411"/>
      <c r="I48" s="1408"/>
      <c r="J48" s="485"/>
      <c r="K48" s="783"/>
      <c r="L48" s="1142"/>
      <c r="M48" s="1130"/>
      <c r="N48" s="1130"/>
      <c r="O48" s="1130"/>
      <c r="P48" s="3235" t="str">
        <f>A48</f>
        <v>成交单价（元/平方米）</v>
      </c>
      <c r="Q48" s="3245"/>
      <c r="R48" s="3246">
        <f>E48</f>
        <v>0</v>
      </c>
      <c r="S48" s="3246"/>
      <c r="T48" s="3246">
        <f>G48</f>
        <v>0</v>
      </c>
      <c r="U48" s="3246"/>
      <c r="V48" s="3246">
        <f>I48</f>
        <v>0</v>
      </c>
      <c r="W48" s="3246"/>
      <c r="X48" s="446"/>
      <c r="Y48" s="781"/>
      <c r="Z48" s="446"/>
      <c r="AA48" s="446"/>
      <c r="AB48" s="446"/>
      <c r="AC48" s="630"/>
    </row>
    <row r="49" spans="1:29" ht="15" thickBot="1">
      <c r="A49" s="486" t="s">
        <v>2658</v>
      </c>
      <c r="B49" s="487"/>
      <c r="C49" s="1412" t="e">
        <f>R50</f>
        <v>#DIV/0!</v>
      </c>
      <c r="D49" s="1413"/>
      <c r="E49" s="1414" t="e">
        <f>R49</f>
        <v>#DIV/0!</v>
      </c>
      <c r="F49" s="1414"/>
      <c r="G49" s="1412" t="e">
        <f>T49</f>
        <v>#DIV/0!</v>
      </c>
      <c r="H49" s="1413"/>
      <c r="I49" s="1414" t="e">
        <f>V49</f>
        <v>#DIV/0!</v>
      </c>
      <c r="J49" s="489"/>
      <c r="K49" s="784"/>
      <c r="L49" s="1142"/>
      <c r="M49" s="1130"/>
      <c r="N49" s="1130"/>
      <c r="O49" s="1130"/>
      <c r="P49" s="3235" t="str">
        <f>A49</f>
        <v>比较价值（元/平方米）</v>
      </c>
      <c r="Q49" s="3245"/>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 thickBot="1">
      <c r="A50" s="492" t="s">
        <v>2659</v>
      </c>
      <c r="B50" s="493"/>
      <c r="C50" s="1416" t="e">
        <f>R50</f>
        <v>#DIV/0!</v>
      </c>
      <c r="D50" s="1416"/>
      <c r="E50" s="1416"/>
      <c r="F50" s="1416"/>
      <c r="G50" s="1416"/>
      <c r="H50" s="1416"/>
      <c r="I50" s="1416"/>
      <c r="J50" s="494"/>
      <c r="K50" s="785"/>
      <c r="L50" s="1142"/>
      <c r="M50" s="1130"/>
      <c r="N50" s="1130"/>
      <c r="O50" s="1130"/>
      <c r="P50" s="3252" t="str">
        <f>A50</f>
        <v>估价对象XX用房的比较价值（楼面单价，元/平方米）</v>
      </c>
      <c r="Q50" s="3253"/>
      <c r="R50" s="3254" t="e">
        <f>IF(F1="售价",ROUND(AVERAGE(R49:V49),0),ROUND(AVERAGE(R49:V49),1))</f>
        <v>#DIV/0!</v>
      </c>
      <c r="S50" s="3254"/>
      <c r="T50" s="3254"/>
      <c r="U50" s="3254"/>
      <c r="V50" s="3254"/>
      <c r="W50" s="3254"/>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3"/>
    </row>
    <row r="56" spans="1:29" s="502"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2.2" thickBot="1">
      <c r="A58" s="763" t="s">
        <v>2663</v>
      </c>
      <c r="B58" s="759"/>
      <c r="C58" s="764"/>
      <c r="D58" s="764"/>
      <c r="E58" s="764"/>
      <c r="F58" s="765"/>
      <c r="G58" s="765"/>
      <c r="H58" s="764"/>
      <c r="I58" s="764"/>
      <c r="J58" s="764"/>
      <c r="K58" s="766"/>
      <c r="L58" s="1160"/>
      <c r="M58" s="1158"/>
      <c r="N58" s="1158"/>
      <c r="O58" s="1158"/>
      <c r="P58" s="2674"/>
      <c r="Q58" s="504"/>
    </row>
    <row r="59" spans="1:29" s="508" customFormat="1" ht="14.4">
      <c r="A59" s="505" t="s">
        <v>2537</v>
      </c>
      <c r="B59" s="506"/>
      <c r="C59" s="1572" t="str">
        <f>YEAR(C7)&amp;"-"&amp;MONTH(C7)</f>
        <v>2019-9</v>
      </c>
      <c r="D59" s="1573">
        <f>EDATE(C59,-1)</f>
        <v>43678</v>
      </c>
      <c r="E59" s="1573">
        <f>EDATE(D59,-1)</f>
        <v>43647</v>
      </c>
      <c r="F59" s="1573">
        <f t="shared" ref="F59:O59" si="13">EDATE(E59,-1)</f>
        <v>43617</v>
      </c>
      <c r="G59" s="1573">
        <f t="shared" si="13"/>
        <v>43586</v>
      </c>
      <c r="H59" s="1573">
        <f t="shared" si="13"/>
        <v>43556</v>
      </c>
      <c r="I59" s="1573">
        <f t="shared" si="13"/>
        <v>43525</v>
      </c>
      <c r="J59" s="1573">
        <f t="shared" si="13"/>
        <v>43497</v>
      </c>
      <c r="K59" s="1573">
        <f t="shared" si="13"/>
        <v>43466</v>
      </c>
      <c r="L59" s="1573">
        <f t="shared" si="13"/>
        <v>43435</v>
      </c>
      <c r="M59" s="1573">
        <f t="shared" si="13"/>
        <v>43405</v>
      </c>
      <c r="N59" s="1573">
        <f t="shared" si="13"/>
        <v>43374</v>
      </c>
      <c r="O59" s="1573">
        <f t="shared" si="13"/>
        <v>43344</v>
      </c>
      <c r="P59" s="1569"/>
    </row>
    <row r="60" spans="1:29" s="117" customFormat="1">
      <c r="A60" s="509"/>
      <c r="B60" s="510"/>
      <c r="C60" s="1571">
        <v>100</v>
      </c>
      <c r="D60" s="512"/>
      <c r="E60" s="512"/>
      <c r="F60" s="512"/>
      <c r="G60" s="512"/>
      <c r="H60" s="512"/>
      <c r="I60" s="512"/>
      <c r="J60" s="512"/>
      <c r="K60" s="512"/>
      <c r="L60" s="512"/>
      <c r="M60" s="513"/>
      <c r="N60" s="512"/>
      <c r="O60" s="513"/>
      <c r="P60" s="2675"/>
    </row>
    <row r="61" spans="1:29" s="117" customFormat="1" ht="15" thickBot="1">
      <c r="A61" s="515" t="s">
        <v>2574</v>
      </c>
      <c r="B61" s="516"/>
      <c r="C61" s="517"/>
      <c r="D61" s="518"/>
      <c r="E61" s="518"/>
      <c r="F61" s="518"/>
      <c r="G61" s="518"/>
      <c r="H61" s="518"/>
      <c r="I61" s="518"/>
      <c r="J61" s="518"/>
      <c r="K61" s="518"/>
      <c r="L61" s="518"/>
      <c r="M61" s="519"/>
      <c r="N61" s="518"/>
      <c r="O61" s="519"/>
      <c r="P61" s="2675"/>
      <c r="Q61" s="504"/>
    </row>
    <row r="62" spans="1:29" s="117" customFormat="1" ht="14.4">
      <c r="A62" s="521" t="s">
        <v>2539</v>
      </c>
      <c r="B62" s="510"/>
      <c r="C62" s="522" t="s">
        <v>2641</v>
      </c>
      <c r="D62" s="523"/>
      <c r="E62" s="523"/>
      <c r="F62" s="523"/>
      <c r="G62" s="523"/>
      <c r="H62" s="523"/>
      <c r="I62" s="523"/>
      <c r="J62" s="523"/>
      <c r="K62" s="523"/>
      <c r="L62" s="524"/>
      <c r="M62" s="525"/>
      <c r="N62" s="1150"/>
      <c r="O62" s="1150"/>
      <c r="P62" s="2676"/>
      <c r="Q62" s="504"/>
    </row>
    <row r="63" spans="1:29" s="117" customFormat="1" ht="14.4" thickBot="1">
      <c r="A63" s="521"/>
      <c r="B63" s="510"/>
      <c r="C63" s="511">
        <v>100</v>
      </c>
      <c r="D63" s="512"/>
      <c r="E63" s="512"/>
      <c r="F63" s="512"/>
      <c r="G63" s="512"/>
      <c r="H63" s="512"/>
      <c r="I63" s="512"/>
      <c r="J63" s="512"/>
      <c r="K63" s="512"/>
      <c r="L63" s="512"/>
      <c r="M63" s="514"/>
      <c r="N63" s="1150"/>
      <c r="O63" s="1150"/>
      <c r="P63" s="2675"/>
      <c r="Q63" s="504"/>
    </row>
    <row r="64" spans="1:29" ht="14.4">
      <c r="A64" s="527" t="s">
        <v>2577</v>
      </c>
      <c r="B64" s="528" t="s">
        <v>2543</v>
      </c>
      <c r="C64" s="529">
        <f>C9</f>
        <v>0</v>
      </c>
      <c r="D64" s="530"/>
      <c r="E64" s="530"/>
      <c r="F64" s="530"/>
      <c r="G64" s="530"/>
      <c r="H64" s="530"/>
      <c r="I64" s="530"/>
      <c r="J64" s="530"/>
      <c r="K64" s="531"/>
      <c r="L64" s="532"/>
      <c r="M64" s="533"/>
      <c r="N64" s="1151"/>
      <c r="O64" s="1151"/>
      <c r="P64" s="2677"/>
      <c r="Q64" s="504"/>
    </row>
    <row r="65" spans="1:17" ht="14.4" thickBot="1">
      <c r="A65" s="534"/>
      <c r="B65" s="535"/>
      <c r="C65" s="536">
        <v>100</v>
      </c>
      <c r="D65" s="536"/>
      <c r="E65" s="536"/>
      <c r="F65" s="536"/>
      <c r="G65" s="536"/>
      <c r="H65" s="536"/>
      <c r="I65" s="536"/>
      <c r="J65" s="536"/>
      <c r="K65" s="536"/>
      <c r="L65" s="536"/>
      <c r="M65" s="537"/>
      <c r="N65" s="1152"/>
      <c r="O65" s="1152"/>
      <c r="P65" s="2677"/>
      <c r="Q65" s="504"/>
    </row>
    <row r="66" spans="1:17" ht="29.4"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7"/>
      <c r="Q67" s="504"/>
    </row>
    <row r="68" spans="1:17" ht="15" thickTop="1">
      <c r="A68" s="534"/>
      <c r="B68" s="546" t="s">
        <v>2547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2"/>
      <c r="O68" s="1152"/>
      <c r="P68" s="2677"/>
      <c r="Q68" s="504"/>
    </row>
    <row r="69" spans="1:17">
      <c r="A69" s="534"/>
      <c r="B69" s="548"/>
      <c r="C69" s="549"/>
      <c r="D69" s="549"/>
      <c r="E69" s="549"/>
      <c r="F69" s="549"/>
      <c r="G69" s="549"/>
      <c r="H69" s="549"/>
      <c r="I69" s="549"/>
      <c r="J69" s="549"/>
      <c r="K69" s="550"/>
      <c r="L69" s="551"/>
      <c r="M69" s="552"/>
      <c r="N69" s="1151"/>
      <c r="O69" s="1151"/>
      <c r="P69" s="2677"/>
      <c r="Q69" s="504"/>
    </row>
    <row r="70" spans="1:17" ht="14.4"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2"/>
      <c r="O70" s="1152"/>
      <c r="P70" s="2677"/>
      <c r="Q70" s="504"/>
    </row>
    <row r="71" spans="1:17" s="471" customFormat="1" ht="14.4" thickTop="1">
      <c r="A71" s="553"/>
      <c r="B71" s="538">
        <f>B12</f>
        <v>111</v>
      </c>
      <c r="C71" s="554"/>
      <c r="D71" s="554"/>
      <c r="E71" s="554"/>
      <c r="F71" s="554"/>
      <c r="G71" s="554"/>
      <c r="H71" s="555"/>
      <c r="I71" s="555"/>
      <c r="J71" s="555"/>
      <c r="K71" s="555"/>
      <c r="L71" s="556"/>
      <c r="M71" s="557"/>
      <c r="N71" s="1153"/>
      <c r="O71" s="1153"/>
      <c r="P71" s="2678"/>
      <c r="Q71" s="559"/>
    </row>
    <row r="72" spans="1:17" s="471" customFormat="1" ht="14.4" thickBot="1">
      <c r="A72" s="553"/>
      <c r="B72" s="543"/>
      <c r="C72" s="560"/>
      <c r="D72" s="536"/>
      <c r="E72" s="536"/>
      <c r="F72" s="536"/>
      <c r="G72" s="536"/>
      <c r="H72" s="536"/>
      <c r="I72" s="536"/>
      <c r="J72" s="536"/>
      <c r="K72" s="536"/>
      <c r="L72" s="536"/>
      <c r="M72" s="537"/>
      <c r="N72" s="1152"/>
      <c r="O72" s="1152"/>
      <c r="P72" s="2678"/>
      <c r="Q72" s="559"/>
    </row>
    <row r="73" spans="1:17" s="471" customFormat="1" ht="14.4" thickTop="1">
      <c r="A73" s="553"/>
      <c r="B73" s="538">
        <f>B13</f>
        <v>111</v>
      </c>
      <c r="C73" s="554"/>
      <c r="D73" s="554"/>
      <c r="E73" s="554"/>
      <c r="F73" s="554"/>
      <c r="G73" s="554"/>
      <c r="H73" s="555"/>
      <c r="I73" s="555"/>
      <c r="J73" s="555"/>
      <c r="K73" s="555"/>
      <c r="L73" s="556"/>
      <c r="M73" s="557"/>
      <c r="N73" s="1153"/>
      <c r="O73" s="1153"/>
      <c r="P73" s="2679"/>
      <c r="Q73" s="561"/>
    </row>
    <row r="74" spans="1:17" s="471" customFormat="1" ht="14.4" thickBot="1">
      <c r="A74" s="553"/>
      <c r="B74" s="543"/>
      <c r="C74" s="560"/>
      <c r="D74" s="560"/>
      <c r="E74" s="560"/>
      <c r="F74" s="560"/>
      <c r="G74" s="560"/>
      <c r="H74" s="562"/>
      <c r="I74" s="562"/>
      <c r="J74" s="562"/>
      <c r="K74" s="562"/>
      <c r="L74" s="562"/>
      <c r="M74" s="563"/>
      <c r="N74" s="1153"/>
      <c r="O74" s="1153"/>
      <c r="P74" s="2678"/>
      <c r="Q74" s="559"/>
    </row>
    <row r="75" spans="1:17" s="471" customFormat="1" ht="14.4" thickTop="1">
      <c r="A75" s="553"/>
      <c r="B75" s="546">
        <f>B14</f>
        <v>111</v>
      </c>
      <c r="C75" s="523"/>
      <c r="D75" s="523"/>
      <c r="E75" s="523"/>
      <c r="F75" s="523"/>
      <c r="G75" s="523"/>
      <c r="H75" s="564"/>
      <c r="I75" s="564"/>
      <c r="J75" s="564"/>
      <c r="K75" s="564"/>
      <c r="L75" s="565"/>
      <c r="M75" s="566"/>
      <c r="N75" s="1153"/>
      <c r="O75" s="1153"/>
      <c r="P75" s="2680"/>
      <c r="Q75" s="559"/>
    </row>
    <row r="76" spans="1:17" s="471" customFormat="1" ht="14.4" thickBot="1">
      <c r="A76" s="568"/>
      <c r="B76" s="569"/>
      <c r="C76" s="570"/>
      <c r="D76" s="570"/>
      <c r="E76" s="570"/>
      <c r="F76" s="570"/>
      <c r="G76" s="570"/>
      <c r="H76" s="571"/>
      <c r="I76" s="571"/>
      <c r="J76" s="571"/>
      <c r="K76" s="571"/>
      <c r="L76" s="571"/>
      <c r="M76" s="572"/>
      <c r="N76" s="1153"/>
      <c r="O76" s="1153"/>
      <c r="P76" s="2678"/>
      <c r="Q76" s="559"/>
    </row>
    <row r="77" spans="1:17" ht="14.4">
      <c r="A77" s="527" t="s">
        <v>2548</v>
      </c>
      <c r="B77" s="528" t="s">
        <v>2686</v>
      </c>
      <c r="C77" s="573" t="s">
        <v>2586</v>
      </c>
      <c r="D77" s="573" t="s">
        <v>2587</v>
      </c>
      <c r="E77" s="573" t="s">
        <v>2588</v>
      </c>
      <c r="F77" s="573" t="s">
        <v>2589</v>
      </c>
      <c r="G77" s="573" t="s">
        <v>2590</v>
      </c>
      <c r="H77" s="529"/>
      <c r="I77" s="529"/>
      <c r="J77" s="529"/>
      <c r="K77" s="574"/>
      <c r="L77" s="575"/>
      <c r="M77" s="576"/>
      <c r="N77" s="1151"/>
      <c r="O77" s="1151"/>
      <c r="P77" s="268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7"/>
      <c r="Q78" s="504"/>
    </row>
    <row r="79" spans="1:17" ht="15" thickTop="1">
      <c r="A79" s="534"/>
      <c r="B79" s="538" t="s">
        <v>2591</v>
      </c>
      <c r="C79" s="578" t="s">
        <v>2586</v>
      </c>
      <c r="D79" s="578" t="s">
        <v>2587</v>
      </c>
      <c r="E79" s="578" t="s">
        <v>2588</v>
      </c>
      <c r="F79" s="578" t="s">
        <v>2589</v>
      </c>
      <c r="G79" s="578" t="s">
        <v>2590</v>
      </c>
      <c r="H79" s="539"/>
      <c r="I79" s="539"/>
      <c r="J79" s="539"/>
      <c r="K79" s="540"/>
      <c r="L79" s="541"/>
      <c r="M79" s="542"/>
      <c r="N79" s="1151"/>
      <c r="O79" s="1151"/>
      <c r="P79" s="267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7"/>
      <c r="Q80" s="504"/>
    </row>
    <row r="81" spans="1:17" ht="15" thickTop="1">
      <c r="A81" s="534"/>
      <c r="B81" s="538" t="s">
        <v>2592</v>
      </c>
      <c r="C81" s="578" t="s">
        <v>2586</v>
      </c>
      <c r="D81" s="578" t="s">
        <v>2587</v>
      </c>
      <c r="E81" s="578" t="s">
        <v>2588</v>
      </c>
      <c r="F81" s="578" t="s">
        <v>2589</v>
      </c>
      <c r="G81" s="578" t="s">
        <v>2590</v>
      </c>
      <c r="H81" s="539"/>
      <c r="I81" s="539"/>
      <c r="J81" s="539"/>
      <c r="K81" s="540"/>
      <c r="L81" s="541"/>
      <c r="M81" s="542"/>
      <c r="N81" s="1151"/>
      <c r="O81" s="1151"/>
      <c r="P81" s="267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7"/>
      <c r="Q82" s="504"/>
    </row>
    <row r="83" spans="1:17" ht="15" thickTop="1">
      <c r="A83" s="534"/>
      <c r="B83" s="546" t="s">
        <v>2678</v>
      </c>
      <c r="C83" s="660" t="s">
        <v>2664</v>
      </c>
      <c r="D83" s="660" t="s">
        <v>2665</v>
      </c>
      <c r="E83" s="660" t="s">
        <v>2666</v>
      </c>
      <c r="F83" s="660" t="s">
        <v>2667</v>
      </c>
      <c r="G83" s="660" t="s">
        <v>2668</v>
      </c>
      <c r="H83" s="539"/>
      <c r="I83" s="539"/>
      <c r="J83" s="539"/>
      <c r="K83" s="539"/>
      <c r="L83" s="539"/>
      <c r="M83" s="1381"/>
      <c r="N83" s="1152"/>
      <c r="O83" s="1152"/>
      <c r="P83" s="267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7"/>
      <c r="Q84" s="504"/>
    </row>
    <row r="85" spans="1:17" ht="15" thickTop="1">
      <c r="A85" s="534"/>
      <c r="B85" s="538" t="s">
        <v>2687</v>
      </c>
      <c r="C85" s="578" t="s">
        <v>2586</v>
      </c>
      <c r="D85" s="578" t="s">
        <v>2587</v>
      </c>
      <c r="E85" s="578" t="s">
        <v>2588</v>
      </c>
      <c r="F85" s="578" t="s">
        <v>2589</v>
      </c>
      <c r="G85" s="578" t="s">
        <v>2590</v>
      </c>
      <c r="H85" s="539"/>
      <c r="I85" s="539"/>
      <c r="J85" s="539"/>
      <c r="K85" s="540"/>
      <c r="L85" s="541"/>
      <c r="M85" s="542"/>
      <c r="N85" s="1151"/>
      <c r="O85" s="1151"/>
      <c r="P85" s="267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7"/>
      <c r="Q86" s="504"/>
    </row>
    <row r="87" spans="1:17" s="117" customFormat="1" ht="29.4" thickTop="1">
      <c r="A87" s="579"/>
      <c r="B87" s="538" t="s">
        <v>2688</v>
      </c>
      <c r="C87" s="554"/>
      <c r="D87" s="554"/>
      <c r="E87" s="554"/>
      <c r="F87" s="554"/>
      <c r="G87" s="554"/>
      <c r="H87" s="554"/>
      <c r="I87" s="554"/>
      <c r="J87" s="554"/>
      <c r="K87" s="554"/>
      <c r="L87" s="580"/>
      <c r="M87" s="581"/>
      <c r="N87" s="1150"/>
      <c r="O87" s="1150"/>
      <c r="P87" s="2677"/>
      <c r="Q87" s="504"/>
    </row>
    <row r="88" spans="1:17" s="117" customFormat="1" ht="14.4"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2"/>
      <c r="O88" s="1152"/>
      <c r="P88" s="2677"/>
      <c r="Q88" s="504"/>
    </row>
    <row r="89" spans="1:17" s="117" customFormat="1" ht="14.4" thickTop="1">
      <c r="A89" s="579"/>
      <c r="B89" s="538" t="str">
        <f>B27</f>
        <v>楼层</v>
      </c>
      <c r="C89" s="554"/>
      <c r="D89" s="554"/>
      <c r="E89" s="554"/>
      <c r="F89" s="2628"/>
      <c r="G89" s="554"/>
      <c r="H89" s="554"/>
      <c r="I89" s="554"/>
      <c r="J89" s="554"/>
      <c r="K89" s="554"/>
      <c r="L89" s="554"/>
      <c r="M89" s="581"/>
      <c r="N89" s="1150"/>
      <c r="O89" s="1150"/>
      <c r="P89" s="2677"/>
      <c r="Q89" s="504"/>
    </row>
    <row r="90" spans="1:17" s="117" customFormat="1" ht="14.4"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2"/>
      <c r="O90" s="1152"/>
      <c r="P90" s="2677"/>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78"/>
      <c r="Q91" s="559"/>
    </row>
    <row r="92" spans="1:17" s="471" customFormat="1" ht="14.4"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3"/>
      <c r="O92" s="1153"/>
      <c r="P92" s="2678"/>
      <c r="Q92" s="559"/>
    </row>
    <row r="93" spans="1:17" ht="14.4" thickTop="1">
      <c r="A93" s="534"/>
      <c r="B93" s="538">
        <f>B29</f>
        <v>111</v>
      </c>
      <c r="C93" s="554"/>
      <c r="D93" s="554"/>
      <c r="E93" s="554"/>
      <c r="F93" s="554"/>
      <c r="G93" s="554"/>
      <c r="H93" s="554"/>
      <c r="I93" s="554"/>
      <c r="J93" s="554"/>
      <c r="K93" s="554"/>
      <c r="L93" s="580"/>
      <c r="M93" s="581"/>
      <c r="N93" s="1151"/>
      <c r="O93" s="1151"/>
      <c r="P93" s="2677"/>
      <c r="Q93" s="504"/>
    </row>
    <row r="94" spans="1:17" ht="14.4" thickBot="1">
      <c r="A94" s="534"/>
      <c r="B94" s="543"/>
      <c r="C94" s="560"/>
      <c r="D94" s="536"/>
      <c r="E94" s="536"/>
      <c r="F94" s="536"/>
      <c r="G94" s="536"/>
      <c r="H94" s="536"/>
      <c r="I94" s="536"/>
      <c r="J94" s="536"/>
      <c r="K94" s="536"/>
      <c r="L94" s="536"/>
      <c r="M94" s="537"/>
      <c r="N94" s="1152"/>
      <c r="O94" s="1152"/>
      <c r="P94" s="2677"/>
      <c r="Q94" s="504"/>
    </row>
    <row r="95" spans="1:17" ht="14.4" thickTop="1">
      <c r="A95" s="534"/>
      <c r="B95" s="538">
        <f>B30</f>
        <v>111</v>
      </c>
      <c r="C95" s="554"/>
      <c r="D95" s="554"/>
      <c r="E95" s="554"/>
      <c r="F95" s="554"/>
      <c r="G95" s="583"/>
      <c r="H95" s="583"/>
      <c r="I95" s="583"/>
      <c r="J95" s="583"/>
      <c r="K95" s="584"/>
      <c r="L95" s="585"/>
      <c r="M95" s="586"/>
      <c r="N95" s="1151"/>
      <c r="O95" s="1151"/>
      <c r="P95" s="2677"/>
      <c r="Q95" s="504"/>
    </row>
    <row r="96" spans="1:17" ht="14.4" thickBot="1">
      <c r="A96" s="534"/>
      <c r="B96" s="543"/>
      <c r="C96" s="560"/>
      <c r="D96" s="560"/>
      <c r="E96" s="560"/>
      <c r="F96" s="560"/>
      <c r="G96" s="536"/>
      <c r="H96" s="536"/>
      <c r="I96" s="536"/>
      <c r="J96" s="536"/>
      <c r="K96" s="536"/>
      <c r="L96" s="536"/>
      <c r="M96" s="537"/>
      <c r="N96" s="1152"/>
      <c r="O96" s="1152"/>
      <c r="P96" s="2677"/>
      <c r="Q96" s="504"/>
    </row>
    <row r="97" spans="1:17" ht="14.4" thickTop="1">
      <c r="A97" s="534"/>
      <c r="B97" s="538">
        <f>B31</f>
        <v>111</v>
      </c>
      <c r="C97" s="554"/>
      <c r="D97" s="554"/>
      <c r="E97" s="554"/>
      <c r="F97" s="554"/>
      <c r="G97" s="583"/>
      <c r="H97" s="583"/>
      <c r="I97" s="583"/>
      <c r="J97" s="583"/>
      <c r="K97" s="584"/>
      <c r="L97" s="585"/>
      <c r="M97" s="586"/>
      <c r="N97" s="1151"/>
      <c r="O97" s="1151"/>
      <c r="P97" s="2677"/>
      <c r="Q97" s="504"/>
    </row>
    <row r="98" spans="1:17" ht="14.4" thickBot="1">
      <c r="A98" s="534"/>
      <c r="B98" s="543"/>
      <c r="C98" s="560"/>
      <c r="D98" s="536"/>
      <c r="E98" s="536"/>
      <c r="F98" s="536"/>
      <c r="G98" s="536"/>
      <c r="H98" s="536"/>
      <c r="I98" s="536"/>
      <c r="J98" s="536"/>
      <c r="K98" s="536"/>
      <c r="L98" s="536"/>
      <c r="M98" s="537"/>
      <c r="N98" s="1152"/>
      <c r="O98" s="1152"/>
      <c r="P98" s="2677"/>
      <c r="Q98" s="504"/>
    </row>
    <row r="99" spans="1:17" ht="14.4" thickTop="1">
      <c r="A99" s="534"/>
      <c r="B99" s="546">
        <f>B32</f>
        <v>111</v>
      </c>
      <c r="C99" s="523"/>
      <c r="D99" s="523"/>
      <c r="E99" s="523"/>
      <c r="F99" s="523"/>
      <c r="G99" s="587"/>
      <c r="H99" s="587"/>
      <c r="I99" s="587"/>
      <c r="J99" s="587"/>
      <c r="K99" s="588"/>
      <c r="L99" s="589"/>
      <c r="M99" s="590"/>
      <c r="N99" s="1151"/>
      <c r="O99" s="1151"/>
      <c r="P99" s="2677"/>
      <c r="Q99" s="504"/>
    </row>
    <row r="100" spans="1:17" ht="14.4" thickBot="1">
      <c r="A100" s="2629"/>
      <c r="B100" s="569"/>
      <c r="C100" s="570"/>
      <c r="D100" s="570"/>
      <c r="E100" s="570"/>
      <c r="F100" s="570"/>
      <c r="G100" s="591"/>
      <c r="H100" s="591"/>
      <c r="I100" s="591"/>
      <c r="J100" s="591"/>
      <c r="K100" s="591"/>
      <c r="L100" s="591"/>
      <c r="M100" s="592"/>
      <c r="N100" s="1152"/>
      <c r="O100" s="1152"/>
      <c r="P100" s="2677"/>
      <c r="Q100" s="504"/>
    </row>
    <row r="101" spans="1:17" ht="14.4">
      <c r="A101" s="527" t="s">
        <v>2552</v>
      </c>
      <c r="B101" s="528" t="s">
        <v>2601</v>
      </c>
      <c r="C101" s="530"/>
      <c r="D101" s="530"/>
      <c r="E101" s="530"/>
      <c r="F101" s="530"/>
      <c r="G101" s="530"/>
      <c r="H101" s="530"/>
      <c r="I101" s="530"/>
      <c r="J101" s="530"/>
      <c r="K101" s="531"/>
      <c r="L101" s="532"/>
      <c r="M101" s="533"/>
      <c r="N101" s="1151"/>
      <c r="O101" s="1151"/>
      <c r="P101" s="2677"/>
      <c r="Q101" s="504"/>
    </row>
    <row r="102" spans="1:17" ht="14.4"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2"/>
      <c r="O102" s="1152"/>
      <c r="P102" s="2677"/>
      <c r="Q102" s="504"/>
    </row>
    <row r="103" spans="1:17" ht="15" thickTop="1">
      <c r="A103" s="534"/>
      <c r="B103" s="538" t="s">
        <v>2602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0"/>
      <c r="O103" s="1150"/>
      <c r="P103" s="2677"/>
      <c r="Q103" s="504"/>
    </row>
    <row r="104" spans="1:17" s="471" customFormat="1">
      <c r="A104" s="593"/>
      <c r="B104" s="594"/>
      <c r="C104" s="595"/>
      <c r="D104" s="595"/>
      <c r="E104" s="595"/>
      <c r="F104" s="595"/>
      <c r="G104" s="595"/>
      <c r="H104" s="595"/>
      <c r="I104" s="595"/>
      <c r="J104" s="596"/>
      <c r="K104" s="596"/>
      <c r="L104" s="597"/>
      <c r="M104" s="598"/>
      <c r="N104" s="1153"/>
      <c r="O104" s="1153"/>
      <c r="P104" s="2678"/>
      <c r="Q104" s="559"/>
    </row>
    <row r="105" spans="1:17" s="471" customFormat="1" ht="14.4" thickBot="1">
      <c r="A105" s="553"/>
      <c r="B105" s="543"/>
      <c r="C105" s="560"/>
      <c r="D105" s="536"/>
      <c r="E105" s="536"/>
      <c r="F105" s="536"/>
      <c r="G105" s="536"/>
      <c r="H105" s="536"/>
      <c r="I105" s="536"/>
      <c r="J105" s="536"/>
      <c r="K105" s="536"/>
      <c r="L105" s="536"/>
      <c r="M105" s="537"/>
      <c r="N105" s="1152"/>
      <c r="O105" s="1152"/>
      <c r="P105" s="2678"/>
      <c r="Q105" s="559"/>
    </row>
    <row r="106" spans="1:17" ht="15" thickTop="1">
      <c r="A106" s="599"/>
      <c r="B106" s="538" t="s">
        <v>2603</v>
      </c>
      <c r="C106" s="554"/>
      <c r="D106" s="554"/>
      <c r="E106" s="583"/>
      <c r="F106" s="583"/>
      <c r="G106" s="583"/>
      <c r="H106" s="583"/>
      <c r="I106" s="583"/>
      <c r="J106" s="583"/>
      <c r="K106" s="584"/>
      <c r="L106" s="585"/>
      <c r="M106" s="586"/>
      <c r="N106" s="1151"/>
      <c r="O106" s="1151"/>
      <c r="P106" s="2677"/>
      <c r="Q106" s="504"/>
    </row>
    <row r="107" spans="1:17" ht="14.4"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2"/>
      <c r="O107" s="1152"/>
      <c r="P107" s="2677"/>
      <c r="Q107" s="504"/>
    </row>
    <row r="108" spans="1:17" ht="15" thickTop="1">
      <c r="A108" s="599"/>
      <c r="B108" s="538" t="s">
        <v>2605</v>
      </c>
      <c r="C108" s="554"/>
      <c r="D108" s="554"/>
      <c r="E108" s="554"/>
      <c r="F108" s="583"/>
      <c r="G108" s="583"/>
      <c r="H108" s="583"/>
      <c r="I108" s="583"/>
      <c r="J108" s="583"/>
      <c r="K108" s="584"/>
      <c r="L108" s="585"/>
      <c r="M108" s="586"/>
      <c r="N108" s="1151"/>
      <c r="O108" s="1151"/>
      <c r="P108" s="2677"/>
      <c r="Q108" s="504"/>
    </row>
    <row r="109" spans="1:17" ht="14.4"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2"/>
      <c r="O109" s="1152"/>
      <c r="P109" s="267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7"/>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7"/>
      <c r="Q111" s="504"/>
    </row>
    <row r="112" spans="1:17" ht="14.4"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2"/>
      <c r="O112" s="1152"/>
      <c r="P112" s="2677"/>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78"/>
      <c r="Q113" s="559"/>
    </row>
    <row r="114" spans="1:17" s="471" customFormat="1" ht="14.4"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3"/>
      <c r="O114" s="1153"/>
      <c r="P114" s="2678"/>
      <c r="Q114" s="559"/>
    </row>
    <row r="115" spans="1:17" ht="15" thickTop="1">
      <c r="A115" s="599"/>
      <c r="B115" s="538" t="s">
        <v>2606</v>
      </c>
      <c r="C115" s="554"/>
      <c r="D115" s="554"/>
      <c r="E115" s="583"/>
      <c r="F115" s="583"/>
      <c r="G115" s="583"/>
      <c r="H115" s="583"/>
      <c r="I115" s="583"/>
      <c r="J115" s="583"/>
      <c r="K115" s="584"/>
      <c r="L115" s="585"/>
      <c r="M115" s="586"/>
      <c r="N115" s="1151"/>
      <c r="O115" s="1151"/>
      <c r="P115" s="2677"/>
      <c r="Q115" s="504"/>
    </row>
    <row r="116" spans="1:17" ht="14.4"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2"/>
      <c r="O116" s="1152"/>
      <c r="P116" s="2677"/>
      <c r="Q116" s="504"/>
    </row>
    <row r="117" spans="1:17" ht="15" thickTop="1">
      <c r="A117" s="599"/>
      <c r="B117" s="538" t="s">
        <v>2607</v>
      </c>
      <c r="C117" s="554"/>
      <c r="D117" s="554"/>
      <c r="E117" s="554"/>
      <c r="F117" s="554"/>
      <c r="G117" s="554"/>
      <c r="H117" s="583"/>
      <c r="I117" s="583"/>
      <c r="J117" s="583"/>
      <c r="K117" s="584"/>
      <c r="L117" s="585"/>
      <c r="M117" s="586"/>
      <c r="N117" s="1151"/>
      <c r="O117" s="1151"/>
      <c r="P117" s="267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7"/>
      <c r="Q118" s="504"/>
    </row>
    <row r="119" spans="1:17" ht="15" thickTop="1">
      <c r="A119" s="599"/>
      <c r="B119" s="636" t="s">
        <v>2690</v>
      </c>
      <c r="C119" s="583"/>
      <c r="D119" s="583"/>
      <c r="E119" s="583"/>
      <c r="F119" s="583"/>
      <c r="G119" s="583"/>
      <c r="H119" s="583"/>
      <c r="I119" s="583"/>
      <c r="J119" s="583"/>
      <c r="K119" s="583"/>
      <c r="L119" s="2682"/>
      <c r="M119" s="2683"/>
      <c r="N119" s="1152"/>
      <c r="O119" s="1152"/>
      <c r="P119" s="2684"/>
      <c r="Q119" s="638"/>
    </row>
    <row r="120" spans="1:17" ht="14.4"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2"/>
      <c r="O120" s="1152"/>
      <c r="P120" s="2677"/>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78"/>
      <c r="Q121" s="559"/>
    </row>
    <row r="122" spans="1:17" s="471" customFormat="1" ht="14.4" thickBot="1">
      <c r="A122" s="553"/>
      <c r="B122" s="535"/>
      <c r="C122" s="560"/>
      <c r="D122" s="560"/>
      <c r="E122" s="560"/>
      <c r="F122" s="560"/>
      <c r="G122" s="560"/>
      <c r="H122" s="560"/>
      <c r="I122" s="560"/>
      <c r="J122" s="560"/>
      <c r="K122" s="560"/>
      <c r="L122" s="560"/>
      <c r="M122" s="560"/>
      <c r="N122" s="1153"/>
      <c r="O122" s="1153"/>
      <c r="P122" s="2678"/>
      <c r="Q122" s="559"/>
    </row>
    <row r="123" spans="1:17" ht="15" thickTop="1">
      <c r="A123" s="599"/>
      <c r="B123" s="538" t="s">
        <v>2609</v>
      </c>
      <c r="C123" s="554"/>
      <c r="D123" s="554"/>
      <c r="E123" s="554"/>
      <c r="F123" s="583"/>
      <c r="G123" s="583"/>
      <c r="H123" s="583"/>
      <c r="I123" s="583"/>
      <c r="J123" s="583"/>
      <c r="K123" s="584"/>
      <c r="L123" s="585"/>
      <c r="M123" s="586"/>
      <c r="N123" s="1151"/>
      <c r="O123" s="1151"/>
      <c r="P123" s="2677"/>
      <c r="Q123" s="504"/>
    </row>
    <row r="124" spans="1:17" ht="14.4"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2"/>
      <c r="O124" s="1152"/>
      <c r="P124" s="2677"/>
      <c r="Q124" s="504"/>
    </row>
    <row r="125" spans="1:17" ht="29.4"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7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7"/>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78"/>
      <c r="Q127" s="559"/>
    </row>
    <row r="128" spans="1:17" s="471" customFormat="1" ht="14.4" thickBot="1">
      <c r="A128" s="553"/>
      <c r="B128" s="543"/>
      <c r="C128" s="560"/>
      <c r="D128" s="536"/>
      <c r="E128" s="536"/>
      <c r="F128" s="536"/>
      <c r="G128" s="560"/>
      <c r="H128" s="562"/>
      <c r="I128" s="562"/>
      <c r="J128" s="562"/>
      <c r="K128" s="562"/>
      <c r="L128" s="562"/>
      <c r="M128" s="563"/>
      <c r="N128" s="1153"/>
      <c r="O128" s="1153"/>
      <c r="P128" s="2678"/>
      <c r="Q128" s="559"/>
    </row>
    <row r="129" spans="1:17" ht="14.4" thickTop="1">
      <c r="A129" s="599"/>
      <c r="B129" s="538">
        <f>B46</f>
        <v>111</v>
      </c>
      <c r="C129" s="554"/>
      <c r="D129" s="554"/>
      <c r="E129" s="554"/>
      <c r="F129" s="554"/>
      <c r="G129" s="583"/>
      <c r="H129" s="583"/>
      <c r="I129" s="583"/>
      <c r="J129" s="583"/>
      <c r="K129" s="584"/>
      <c r="L129" s="585"/>
      <c r="M129" s="586"/>
      <c r="N129" s="1151"/>
      <c r="O129" s="1151"/>
      <c r="P129" s="2677"/>
      <c r="Q129" s="504"/>
    </row>
    <row r="130" spans="1:17" ht="14.4" thickBot="1">
      <c r="A130" s="534"/>
      <c r="B130" s="543"/>
      <c r="C130" s="560"/>
      <c r="D130" s="560"/>
      <c r="E130" s="560"/>
      <c r="F130" s="560"/>
      <c r="G130" s="536"/>
      <c r="H130" s="536"/>
      <c r="I130" s="536"/>
      <c r="J130" s="536"/>
      <c r="K130" s="536"/>
      <c r="L130" s="536"/>
      <c r="M130" s="537"/>
      <c r="N130" s="1152"/>
      <c r="O130" s="1152"/>
      <c r="P130" s="2677"/>
      <c r="Q130" s="504"/>
    </row>
    <row r="131" spans="1:17" ht="14.4" thickTop="1">
      <c r="A131" s="599"/>
      <c r="B131" s="546">
        <f>B47</f>
        <v>111</v>
      </c>
      <c r="C131" s="523"/>
      <c r="D131" s="523"/>
      <c r="E131" s="523"/>
      <c r="F131" s="523"/>
      <c r="G131" s="587"/>
      <c r="H131" s="587"/>
      <c r="I131" s="587"/>
      <c r="J131" s="587"/>
      <c r="K131" s="523"/>
      <c r="L131" s="524"/>
      <c r="M131" s="590"/>
      <c r="N131" s="1151"/>
      <c r="O131" s="1151"/>
      <c r="P131" s="2677"/>
      <c r="Q131" s="504"/>
    </row>
    <row r="132" spans="1:17" ht="14.4" thickBot="1">
      <c r="A132" s="2629"/>
      <c r="B132" s="569"/>
      <c r="C132" s="570"/>
      <c r="D132" s="570"/>
      <c r="E132" s="570"/>
      <c r="F132" s="570"/>
      <c r="G132" s="591"/>
      <c r="H132" s="591"/>
      <c r="I132" s="591"/>
      <c r="J132" s="591"/>
      <c r="K132" s="591"/>
      <c r="L132" s="591"/>
      <c r="M132" s="592"/>
      <c r="N132" s="1152"/>
      <c r="O132" s="1152"/>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662" t="s">
        <v>2691</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7" t="e">
        <f ca="1">IF(C2="——",ROUND(C43*D3/10000,0),ROUND(C43*D3/10000,0)-D2)</f>
        <v>#DIV/0!</v>
      </c>
      <c r="C2" s="2581"/>
      <c r="D2" s="1123" t="e">
        <f ca="1">SUMIF(INDIRECT("'"&amp;F2&amp;"'"&amp;"!A:A"),"承租人权益价值",INDIRECT("'"&amp;F2&amp;"'"&amp;"!c:c"))</f>
        <v>#REF!</v>
      </c>
      <c r="E2" s="2582" t="s">
        <v>2320</v>
      </c>
      <c r="F2" s="2583"/>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14966.349999999999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2634</v>
      </c>
      <c r="B4" s="402"/>
      <c r="C4" s="3205" t="s">
        <v>2635</v>
      </c>
      <c r="D4" s="3206"/>
      <c r="E4" s="3207" t="s">
        <v>2636</v>
      </c>
      <c r="F4" s="3208"/>
      <c r="G4" s="3205" t="s">
        <v>2637</v>
      </c>
      <c r="H4" s="3206"/>
      <c r="I4" s="3205" t="s">
        <v>2638</v>
      </c>
      <c r="J4" s="3206"/>
      <c r="K4" s="610" t="s">
        <v>2639</v>
      </c>
      <c r="L4" s="1129"/>
      <c r="M4" s="1130"/>
      <c r="N4" s="1130"/>
      <c r="O4" s="1130"/>
      <c r="P4" s="3209" t="s">
        <v>2640</v>
      </c>
      <c r="Q4" s="3210"/>
      <c r="R4" s="3215" t="s">
        <v>2636</v>
      </c>
      <c r="S4" s="3216"/>
      <c r="T4" s="3215" t="s">
        <v>2637</v>
      </c>
      <c r="U4" s="3216"/>
      <c r="V4" s="3231" t="s">
        <v>2638</v>
      </c>
      <c r="W4" s="3231"/>
      <c r="X4" s="1811"/>
      <c r="Y4" s="3215" t="s">
        <v>2640</v>
      </c>
      <c r="Z4" s="3216"/>
      <c r="AA4" s="3202" t="s">
        <v>2636</v>
      </c>
      <c r="AB4" s="3203" t="s">
        <v>2637</v>
      </c>
      <c r="AC4" s="3202" t="s">
        <v>2638</v>
      </c>
    </row>
    <row r="5" spans="1:29">
      <c r="A5" s="404"/>
      <c r="B5" s="405"/>
      <c r="C5" s="3250" t="s">
        <v>2531</v>
      </c>
      <c r="D5" s="3220"/>
      <c r="E5" s="3251" t="s">
        <v>2532</v>
      </c>
      <c r="F5" s="3222"/>
      <c r="G5" s="3250" t="s">
        <v>2533</v>
      </c>
      <c r="H5" s="3220"/>
      <c r="I5" s="3250" t="s">
        <v>2534</v>
      </c>
      <c r="J5" s="3220"/>
      <c r="K5" s="610"/>
      <c r="L5" s="1129"/>
      <c r="M5" s="1130"/>
      <c r="N5" s="1130"/>
      <c r="O5" s="1130"/>
      <c r="P5" s="3211"/>
      <c r="Q5" s="3212"/>
      <c r="R5" s="3217"/>
      <c r="S5" s="3218"/>
      <c r="T5" s="3217"/>
      <c r="U5" s="3218"/>
      <c r="V5" s="3231"/>
      <c r="W5" s="3231"/>
      <c r="X5" s="1811"/>
      <c r="Y5" s="3217"/>
      <c r="Z5" s="3218"/>
      <c r="AA5" s="3203"/>
      <c r="AB5" s="3203"/>
      <c r="AC5" s="3203"/>
    </row>
    <row r="6" spans="1:29" ht="15" thickBot="1">
      <c r="A6" s="406"/>
      <c r="B6" s="407"/>
      <c r="C6" s="3224" t="s">
        <v>2535</v>
      </c>
      <c r="D6" s="3225"/>
      <c r="E6" s="3226" t="s">
        <v>2535</v>
      </c>
      <c r="F6" s="3227"/>
      <c r="G6" s="3224" t="s">
        <v>2535</v>
      </c>
      <c r="H6" s="3225"/>
      <c r="I6" s="3224" t="s">
        <v>2535</v>
      </c>
      <c r="J6" s="3225"/>
      <c r="K6" s="610" t="s">
        <v>2536</v>
      </c>
      <c r="L6" s="1129"/>
      <c r="M6" s="1130"/>
      <c r="N6" s="1130"/>
      <c r="O6" s="1130"/>
      <c r="P6" s="3213"/>
      <c r="Q6" s="3214"/>
      <c r="R6" s="3217"/>
      <c r="S6" s="3218"/>
      <c r="T6" s="3229"/>
      <c r="U6" s="3230"/>
      <c r="V6" s="3231"/>
      <c r="W6" s="3231"/>
      <c r="X6" s="1811"/>
      <c r="Y6" s="3229"/>
      <c r="Z6" s="3230"/>
      <c r="AA6" s="3204"/>
      <c r="AB6" s="3204"/>
      <c r="AC6" s="3204"/>
    </row>
    <row r="7" spans="1:29" s="117" customFormat="1" ht="15" thickBot="1">
      <c r="A7" s="408" t="s">
        <v>2537</v>
      </c>
      <c r="B7" s="409"/>
      <c r="C7" s="410">
        <f>'数据-取费表'!B2</f>
        <v>43725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32" t="s">
        <v>2538</v>
      </c>
      <c r="Q7" s="3233"/>
      <c r="R7" s="770" t="s">
        <v>17</v>
      </c>
      <c r="S7" s="771">
        <f t="shared" ref="S7:S15" si="0">F7</f>
        <v>0</v>
      </c>
      <c r="T7" s="770" t="s">
        <v>17</v>
      </c>
      <c r="U7" s="771">
        <f t="shared" ref="U7:U15" si="1">H7</f>
        <v>0</v>
      </c>
      <c r="V7" s="770" t="s">
        <v>17</v>
      </c>
      <c r="W7" s="771">
        <f t="shared" ref="W7:W15" si="2">J7</f>
        <v>0</v>
      </c>
      <c r="X7" s="772"/>
      <c r="Y7" s="3232" t="s">
        <v>2538</v>
      </c>
      <c r="Z7" s="3234"/>
      <c r="AA7" s="773" t="e">
        <f>D7/F7</f>
        <v>#DIV/0!</v>
      </c>
      <c r="AB7" s="773" t="e">
        <f>D7/H7</f>
        <v>#DIV/0!</v>
      </c>
      <c r="AC7" s="773" t="e">
        <f>D7/J7</f>
        <v>#DIV/0!</v>
      </c>
    </row>
    <row r="8" spans="1:29" s="117" customFormat="1" ht="1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32" t="s">
        <v>2541</v>
      </c>
      <c r="Q8" s="3234"/>
      <c r="R8" s="770" t="s">
        <v>17</v>
      </c>
      <c r="S8" s="771">
        <f t="shared" si="0"/>
        <v>0</v>
      </c>
      <c r="T8" s="770" t="s">
        <v>17</v>
      </c>
      <c r="U8" s="771">
        <f t="shared" si="1"/>
        <v>0</v>
      </c>
      <c r="V8" s="770" t="s">
        <v>17</v>
      </c>
      <c r="W8" s="771">
        <f t="shared" si="2"/>
        <v>0</v>
      </c>
      <c r="X8" s="772"/>
      <c r="Y8" s="3232" t="s">
        <v>2541</v>
      </c>
      <c r="Z8" s="3234"/>
      <c r="AA8" s="773" t="e">
        <f t="shared" ref="AA8:AA40" si="3">D8/F8</f>
        <v>#DIV/0!</v>
      </c>
      <c r="AB8" s="773" t="e">
        <f t="shared" ref="AB8:AB40" si="4">D8/H8</f>
        <v>#DIV/0!</v>
      </c>
      <c r="AC8" s="773" t="e">
        <f t="shared" ref="AC8:AC40" si="5">D8/J8</f>
        <v>#DIV/0!</v>
      </c>
    </row>
    <row r="9" spans="1:29" s="117" customFormat="1" ht="14.4">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5" t="s">
        <v>2544</v>
      </c>
      <c r="Q9" s="1793" t="str">
        <f t="shared" ref="Q9:Q15" si="6">B9</f>
        <v>用途</v>
      </c>
      <c r="R9" s="770" t="s">
        <v>17</v>
      </c>
      <c r="S9" s="771">
        <f t="shared" si="0"/>
        <v>100</v>
      </c>
      <c r="T9" s="770" t="s">
        <v>17</v>
      </c>
      <c r="U9" s="771">
        <f t="shared" si="1"/>
        <v>100</v>
      </c>
      <c r="V9" s="770" t="s">
        <v>17</v>
      </c>
      <c r="W9" s="771">
        <f t="shared" si="2"/>
        <v>100</v>
      </c>
      <c r="X9" s="772"/>
      <c r="Y9" s="3024" t="s">
        <v>2545</v>
      </c>
      <c r="Z9" s="55" t="str">
        <f t="shared" ref="Z9:Z15" si="7">Q9</f>
        <v>用途</v>
      </c>
      <c r="AA9" s="773">
        <f t="shared" si="3"/>
        <v>1</v>
      </c>
      <c r="AB9" s="773">
        <f t="shared" si="4"/>
        <v>1</v>
      </c>
      <c r="AC9" s="773">
        <f t="shared" si="5"/>
        <v>1</v>
      </c>
    </row>
    <row r="10" spans="1:29" s="427" customFormat="1" ht="28.8">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5"/>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5"/>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5"/>
      <c r="H12" s="136">
        <f>SUMIF(64:64,G12,65:65)-SUMIF(64:64,C12,65:65)+100</f>
        <v>100</v>
      </c>
      <c r="I12" s="469"/>
      <c r="J12" s="136">
        <f>SUMIF(64:64,I12,65:65)-SUMIF(64:64,C12,65:65)+100</f>
        <v>100</v>
      </c>
      <c r="K12" s="613"/>
      <c r="L12" s="1131"/>
      <c r="M12" s="1132"/>
      <c r="N12" s="1132"/>
      <c r="O12" s="1133"/>
      <c r="P12" s="3245"/>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5"/>
      <c r="H13" s="435">
        <f>SUMIF(66:66,G13,67:67)-SUMIF(66:66,C13,67:67)+100</f>
        <v>100</v>
      </c>
      <c r="I13" s="469"/>
      <c r="J13" s="435">
        <f>SUMIF(66:66,I13,67:67)-SUMIF(66:66,C13,67:67)+100</f>
        <v>100</v>
      </c>
      <c r="K13" s="613"/>
      <c r="L13" s="1139"/>
      <c r="M13" s="1130"/>
      <c r="N13" s="1130"/>
      <c r="O13" s="1138"/>
      <c r="P13" s="3245"/>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596">
        <v>111</v>
      </c>
      <c r="C14" s="437"/>
      <c r="D14" s="438">
        <v>100</v>
      </c>
      <c r="E14" s="437"/>
      <c r="F14" s="438">
        <f>SUMIF(68:68,E14,69:69)-SUMIF(68:68,C14,69:69)+100</f>
        <v>100</v>
      </c>
      <c r="G14" s="2685"/>
      <c r="H14" s="438">
        <f>SUMIF(68:68,G14,69:69)-SUMIF(68:68,C14,69:69)+100</f>
        <v>100</v>
      </c>
      <c r="I14" s="469"/>
      <c r="J14" s="438">
        <f>SUMIF(68:68,I14,69:69)-SUMIF(68:68,C14,69:69)+100</f>
        <v>100</v>
      </c>
      <c r="K14" s="613"/>
      <c r="L14" s="1139"/>
      <c r="M14" s="1130"/>
      <c r="N14" s="1130"/>
      <c r="O14" s="1138"/>
      <c r="P14" s="3245"/>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69">
      <c r="A15" s="440" t="s">
        <v>2548</v>
      </c>
      <c r="B15" s="69" t="s">
        <v>2692</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8" t="s">
        <v>2549</v>
      </c>
      <c r="Q15" s="1808" t="str">
        <f t="shared" si="6"/>
        <v>产业集聚程度</v>
      </c>
      <c r="R15" s="774" t="s">
        <v>17</v>
      </c>
      <c r="S15" s="775">
        <f t="shared" si="0"/>
        <v>100</v>
      </c>
      <c r="T15" s="774" t="s">
        <v>17</v>
      </c>
      <c r="U15" s="775">
        <f t="shared" si="1"/>
        <v>100</v>
      </c>
      <c r="V15" s="774" t="s">
        <v>17</v>
      </c>
      <c r="W15" s="775">
        <f t="shared" si="2"/>
        <v>100</v>
      </c>
      <c r="X15" s="1811"/>
      <c r="Y15" s="3238"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39"/>
      <c r="Q16" s="1808"/>
      <c r="R16" s="774"/>
      <c r="S16" s="775"/>
      <c r="T16" s="774"/>
      <c r="U16" s="775"/>
      <c r="V16" s="774"/>
      <c r="W16" s="775"/>
      <c r="X16" s="1811"/>
      <c r="Y16" s="3239"/>
      <c r="Z16" s="1812"/>
      <c r="AA16" s="1809">
        <v>1</v>
      </c>
      <c r="AB16" s="1809">
        <v>1</v>
      </c>
      <c r="AC16" s="1809">
        <v>1</v>
      </c>
    </row>
    <row r="17" spans="1:29" ht="96.6">
      <c r="A17" s="428"/>
      <c r="B17" s="451" t="s">
        <v>2089</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9"/>
      <c r="Q17" s="1808" t="str">
        <f>B17</f>
        <v>交通便捷度</v>
      </c>
      <c r="R17" s="774" t="s">
        <v>17</v>
      </c>
      <c r="S17" s="775">
        <f>F17</f>
        <v>100</v>
      </c>
      <c r="T17" s="774" t="s">
        <v>17</v>
      </c>
      <c r="U17" s="775">
        <f>H17</f>
        <v>100</v>
      </c>
      <c r="V17" s="774" t="s">
        <v>17</v>
      </c>
      <c r="W17" s="775">
        <f>J17</f>
        <v>100</v>
      </c>
      <c r="X17" s="1811"/>
      <c r="Y17" s="3239"/>
      <c r="Z17" s="1812" t="str">
        <f>Q17</f>
        <v>交通便捷度</v>
      </c>
      <c r="AA17" s="1809">
        <f t="shared" si="3"/>
        <v>1</v>
      </c>
      <c r="AB17" s="1809">
        <f t="shared" si="4"/>
        <v>1</v>
      </c>
      <c r="AC17" s="1809">
        <f t="shared" si="5"/>
        <v>1</v>
      </c>
    </row>
    <row r="18" spans="1:29" ht="15">
      <c r="A18" s="428"/>
      <c r="B18" s="456"/>
      <c r="C18" s="2602"/>
      <c r="D18" s="450"/>
      <c r="E18" s="2604"/>
      <c r="F18" s="453"/>
      <c r="G18" s="2603"/>
      <c r="H18" s="448"/>
      <c r="I18" s="2604"/>
      <c r="J18" s="448"/>
      <c r="K18" s="615"/>
      <c r="L18" s="1139"/>
      <c r="M18" s="1130"/>
      <c r="N18" s="1130"/>
      <c r="O18" s="1138"/>
      <c r="P18" s="3239"/>
      <c r="Q18" s="1808"/>
      <c r="R18" s="774"/>
      <c r="S18" s="775"/>
      <c r="T18" s="774"/>
      <c r="U18" s="775"/>
      <c r="V18" s="774"/>
      <c r="W18" s="775"/>
      <c r="X18" s="1811"/>
      <c r="Y18" s="3239"/>
      <c r="Z18" s="1812"/>
      <c r="AA18" s="1809">
        <v>1</v>
      </c>
      <c r="AB18" s="1809">
        <v>1</v>
      </c>
      <c r="AC18" s="1809">
        <v>1</v>
      </c>
    </row>
    <row r="19" spans="1:29" ht="41.4">
      <c r="A19" s="428"/>
      <c r="B19" s="451" t="s">
        <v>2677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9"/>
      <c r="Q19" s="1808" t="str">
        <f>B19</f>
        <v>公共配套设施</v>
      </c>
      <c r="R19" s="774" t="s">
        <v>17</v>
      </c>
      <c r="S19" s="775">
        <f>F19</f>
        <v>100</v>
      </c>
      <c r="T19" s="774" t="s">
        <v>17</v>
      </c>
      <c r="U19" s="775">
        <f>H19</f>
        <v>100</v>
      </c>
      <c r="V19" s="774" t="s">
        <v>17</v>
      </c>
      <c r="W19" s="775">
        <f>J19</f>
        <v>100</v>
      </c>
      <c r="X19" s="1811"/>
      <c r="Y19" s="3239"/>
      <c r="Z19" s="1812" t="str">
        <f>Q19</f>
        <v>公共配套设施</v>
      </c>
      <c r="AA19" s="1809">
        <f t="shared" si="3"/>
        <v>1</v>
      </c>
      <c r="AB19" s="1809">
        <f t="shared" si="4"/>
        <v>1</v>
      </c>
      <c r="AC19" s="1809">
        <f t="shared" si="5"/>
        <v>1</v>
      </c>
    </row>
    <row r="20" spans="1:29" ht="15">
      <c r="A20" s="428"/>
      <c r="B20" s="456"/>
      <c r="C20" s="447"/>
      <c r="D20" s="448"/>
      <c r="E20" s="2599"/>
      <c r="F20" s="449"/>
      <c r="G20" s="2598"/>
      <c r="H20" s="448"/>
      <c r="I20" s="2599"/>
      <c r="J20" s="448"/>
      <c r="K20" s="615"/>
      <c r="L20" s="1139"/>
      <c r="M20" s="1130"/>
      <c r="N20" s="1130"/>
      <c r="O20" s="1138"/>
      <c r="P20" s="3239"/>
      <c r="Q20" s="1808"/>
      <c r="R20" s="774"/>
      <c r="S20" s="775"/>
      <c r="T20" s="774"/>
      <c r="U20" s="775"/>
      <c r="V20" s="774"/>
      <c r="W20" s="775"/>
      <c r="X20" s="1811"/>
      <c r="Y20" s="3239"/>
      <c r="Z20" s="1812"/>
      <c r="AA20" s="1809">
        <v>1</v>
      </c>
      <c r="AB20" s="1809">
        <v>1</v>
      </c>
      <c r="AC20" s="1809">
        <v>1</v>
      </c>
    </row>
    <row r="21" spans="1:29" ht="41.4">
      <c r="A21" s="428"/>
      <c r="B21" s="1383" t="s">
        <v>2678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9"/>
      <c r="Q21" s="1808" t="str">
        <f>B21</f>
        <v>基础设施水平</v>
      </c>
      <c r="R21" s="774" t="s">
        <v>17</v>
      </c>
      <c r="S21" s="775">
        <f>F21</f>
        <v>100</v>
      </c>
      <c r="T21" s="774" t="s">
        <v>17</v>
      </c>
      <c r="U21" s="775">
        <f>H21</f>
        <v>100</v>
      </c>
      <c r="V21" s="774" t="s">
        <v>17</v>
      </c>
      <c r="W21" s="775">
        <f>J21</f>
        <v>100</v>
      </c>
      <c r="X21" s="1811"/>
      <c r="Y21" s="3239"/>
      <c r="Z21" s="1812" t="str">
        <f>Q21</f>
        <v>基础设施水平</v>
      </c>
      <c r="AA21" s="1809">
        <f>D21/F21</f>
        <v>1</v>
      </c>
      <c r="AB21" s="1809">
        <f>D21/H21</f>
        <v>1</v>
      </c>
      <c r="AC21" s="1809">
        <f>D21/J21</f>
        <v>1</v>
      </c>
    </row>
    <row r="22" spans="1:29" ht="15">
      <c r="A22" s="428"/>
      <c r="B22" s="1383"/>
      <c r="C22" s="2602"/>
      <c r="D22" s="448"/>
      <c r="E22" s="447"/>
      <c r="F22" s="449"/>
      <c r="G22" s="447"/>
      <c r="H22" s="448"/>
      <c r="I22" s="447"/>
      <c r="J22" s="448"/>
      <c r="K22" s="1382"/>
      <c r="L22" s="1139"/>
      <c r="M22" s="1130"/>
      <c r="N22" s="1130"/>
      <c r="O22" s="1138"/>
      <c r="P22" s="3239"/>
      <c r="Q22" s="1808"/>
      <c r="R22" s="774"/>
      <c r="S22" s="775"/>
      <c r="T22" s="774"/>
      <c r="U22" s="775"/>
      <c r="V22" s="774"/>
      <c r="W22" s="775"/>
      <c r="X22" s="1811"/>
      <c r="Y22" s="3239"/>
      <c r="Z22" s="1812"/>
      <c r="AA22" s="1809">
        <v>1</v>
      </c>
      <c r="AB22" s="1809">
        <v>1</v>
      </c>
      <c r="AC22" s="1809">
        <v>1</v>
      </c>
    </row>
    <row r="23" spans="1:29" ht="82.8">
      <c r="A23" s="428"/>
      <c r="B23" s="451" t="s">
        <v>2679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9"/>
      <c r="Q23" s="1808" t="str">
        <f>B23</f>
        <v>环境质量</v>
      </c>
      <c r="R23" s="774" t="s">
        <v>17</v>
      </c>
      <c r="S23" s="775">
        <f>F23</f>
        <v>100</v>
      </c>
      <c r="T23" s="774" t="s">
        <v>17</v>
      </c>
      <c r="U23" s="775">
        <f>H23</f>
        <v>100</v>
      </c>
      <c r="V23" s="774" t="s">
        <v>17</v>
      </c>
      <c r="W23" s="775">
        <f>J23</f>
        <v>100</v>
      </c>
      <c r="X23" s="1811"/>
      <c r="Y23" s="3239"/>
      <c r="Z23" s="1812" t="str">
        <f>Q23</f>
        <v>环境质量</v>
      </c>
      <c r="AA23" s="1809">
        <f t="shared" si="3"/>
        <v>1</v>
      </c>
      <c r="AB23" s="1809">
        <f t="shared" si="4"/>
        <v>1</v>
      </c>
      <c r="AC23" s="1809">
        <f t="shared" si="5"/>
        <v>1</v>
      </c>
    </row>
    <row r="24" spans="1:29" ht="15">
      <c r="A24" s="428"/>
      <c r="B24" s="1383"/>
      <c r="C24" s="447"/>
      <c r="D24" s="448"/>
      <c r="E24" s="2599"/>
      <c r="F24" s="449"/>
      <c r="G24" s="2598"/>
      <c r="H24" s="448"/>
      <c r="I24" s="2599"/>
      <c r="J24" s="448"/>
      <c r="K24" s="615"/>
      <c r="L24" s="1139"/>
      <c r="M24" s="1130"/>
      <c r="N24" s="1130"/>
      <c r="O24" s="1138"/>
      <c r="P24" s="3239"/>
      <c r="Q24" s="1808"/>
      <c r="R24" s="774"/>
      <c r="S24" s="775"/>
      <c r="T24" s="774"/>
      <c r="U24" s="775"/>
      <c r="V24" s="774"/>
      <c r="W24" s="775"/>
      <c r="X24" s="1811"/>
      <c r="Y24" s="3239"/>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9"/>
      <c r="Q25" s="1808">
        <f>B25</f>
        <v>111</v>
      </c>
      <c r="R25" s="774" t="s">
        <v>17</v>
      </c>
      <c r="S25" s="775">
        <f>F25</f>
        <v>100</v>
      </c>
      <c r="T25" s="774" t="s">
        <v>17</v>
      </c>
      <c r="U25" s="775">
        <f>H25</f>
        <v>100</v>
      </c>
      <c r="V25" s="774" t="s">
        <v>17</v>
      </c>
      <c r="W25" s="775">
        <f>J25</f>
        <v>100</v>
      </c>
      <c r="X25" s="1811"/>
      <c r="Y25" s="3239"/>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9"/>
      <c r="Q26" s="1808">
        <f t="shared" ref="Q26:Q40" si="8">B26</f>
        <v>111</v>
      </c>
      <c r="R26" s="774" t="s">
        <v>17</v>
      </c>
      <c r="S26" s="775">
        <f>F26</f>
        <v>100</v>
      </c>
      <c r="T26" s="774" t="s">
        <v>17</v>
      </c>
      <c r="U26" s="775">
        <f>H26</f>
        <v>100</v>
      </c>
      <c r="V26" s="774" t="s">
        <v>17</v>
      </c>
      <c r="W26" s="775">
        <f>J26</f>
        <v>100</v>
      </c>
      <c r="X26" s="1811"/>
      <c r="Y26" s="3239"/>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9"/>
      <c r="Q27" s="1793">
        <f t="shared" si="8"/>
        <v>111</v>
      </c>
      <c r="R27" s="770" t="s">
        <v>17</v>
      </c>
      <c r="S27" s="771">
        <f>F27</f>
        <v>100</v>
      </c>
      <c r="T27" s="770" t="s">
        <v>17</v>
      </c>
      <c r="U27" s="771">
        <f>H27</f>
        <v>100</v>
      </c>
      <c r="V27" s="770" t="s">
        <v>17</v>
      </c>
      <c r="W27" s="771">
        <f>J27</f>
        <v>100</v>
      </c>
      <c r="X27" s="772"/>
      <c r="Y27" s="3239"/>
      <c r="Z27" s="55">
        <f>Q27</f>
        <v>111</v>
      </c>
      <c r="AA27" s="1809">
        <f>D27/F27</f>
        <v>1</v>
      </c>
      <c r="AB27" s="1809">
        <f>D27/H27</f>
        <v>1</v>
      </c>
      <c r="AC27" s="1809">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9"/>
      <c r="Q28" s="1808">
        <f t="shared" si="8"/>
        <v>111</v>
      </c>
      <c r="R28" s="774" t="s">
        <v>17</v>
      </c>
      <c r="S28" s="775">
        <f t="shared" ref="S28:S40" si="9">F28</f>
        <v>100</v>
      </c>
      <c r="T28" s="774" t="s">
        <v>17</v>
      </c>
      <c r="U28" s="775">
        <f t="shared" ref="U28:U40" si="10">H28</f>
        <v>100</v>
      </c>
      <c r="V28" s="774" t="s">
        <v>17</v>
      </c>
      <c r="W28" s="775">
        <f t="shared" ref="W28:W40" si="11">J28</f>
        <v>100</v>
      </c>
      <c r="X28" s="1811"/>
      <c r="Y28" s="3239"/>
      <c r="Z28" s="1812">
        <f t="shared" ref="Z28:Z40" si="12">Q28</f>
        <v>111</v>
      </c>
      <c r="AA28" s="1809">
        <f t="shared" si="3"/>
        <v>1</v>
      </c>
      <c r="AB28" s="1809">
        <f t="shared" si="4"/>
        <v>1</v>
      </c>
      <c r="AC28" s="1809">
        <f t="shared" si="5"/>
        <v>1</v>
      </c>
    </row>
    <row r="29" spans="1:29" ht="30">
      <c r="A29" s="466" t="s">
        <v>2552</v>
      </c>
      <c r="B29" s="71" t="s">
        <v>2682</v>
      </c>
      <c r="C29" s="2672"/>
      <c r="D29" s="467">
        <v>100</v>
      </c>
      <c r="E29" s="2672"/>
      <c r="F29" s="461">
        <f>SUMIF(88:88,E29,89:89)-SUMIF(88:88,C29,89:89)+100</f>
        <v>100</v>
      </c>
      <c r="G29" s="2672"/>
      <c r="H29" s="435">
        <f>SUMIF(88:88,G29,89:89)-SUMIF(88:88,C29,89:89)+100</f>
        <v>100</v>
      </c>
      <c r="I29" s="2672"/>
      <c r="J29" s="467">
        <f>SUMIF(88:88,I29,89:89)-SUMIF(88:88,C29,89:89)+100</f>
        <v>100</v>
      </c>
      <c r="K29" s="612"/>
      <c r="L29" s="1139"/>
      <c r="M29" s="1130"/>
      <c r="N29" s="1130"/>
      <c r="O29" s="1138"/>
      <c r="P29" s="3267" t="s">
        <v>2554</v>
      </c>
      <c r="Q29" s="1808" t="str">
        <f t="shared" si="8"/>
        <v>建筑类型</v>
      </c>
      <c r="R29" s="774" t="s">
        <v>17</v>
      </c>
      <c r="S29" s="775">
        <f t="shared" si="9"/>
        <v>100</v>
      </c>
      <c r="T29" s="774" t="s">
        <v>17</v>
      </c>
      <c r="U29" s="775">
        <f t="shared" si="10"/>
        <v>100</v>
      </c>
      <c r="V29" s="774" t="s">
        <v>17</v>
      </c>
      <c r="W29" s="775">
        <f t="shared" si="11"/>
        <v>100</v>
      </c>
      <c r="X29" s="1811"/>
      <c r="Y29" s="3243" t="s">
        <v>2554</v>
      </c>
      <c r="Z29" s="1812" t="str">
        <f t="shared" si="12"/>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3"/>
      <c r="Q30" s="776" t="str">
        <f t="shared" si="8"/>
        <v>项目建筑规模</v>
      </c>
      <c r="R30" s="777" t="s">
        <v>17</v>
      </c>
      <c r="S30" s="778" t="e">
        <f t="shared" si="9"/>
        <v>#N/A</v>
      </c>
      <c r="T30" s="777" t="s">
        <v>17</v>
      </c>
      <c r="U30" s="778" t="e">
        <f t="shared" si="10"/>
        <v>#N/A</v>
      </c>
      <c r="V30" s="777" t="s">
        <v>17</v>
      </c>
      <c r="W30" s="778" t="e">
        <f t="shared" si="11"/>
        <v>#N/A</v>
      </c>
      <c r="X30" s="779"/>
      <c r="Y30" s="3243"/>
      <c r="Z30" s="780" t="str">
        <f t="shared" si="12"/>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3"/>
      <c r="Q31" s="1808" t="str">
        <f t="shared" si="8"/>
        <v>建筑结构</v>
      </c>
      <c r="R31" s="774" t="s">
        <v>17</v>
      </c>
      <c r="S31" s="775">
        <f t="shared" si="9"/>
        <v>100</v>
      </c>
      <c r="T31" s="774" t="s">
        <v>17</v>
      </c>
      <c r="U31" s="775">
        <f t="shared" si="10"/>
        <v>100</v>
      </c>
      <c r="V31" s="774" t="s">
        <v>17</v>
      </c>
      <c r="W31" s="775">
        <f t="shared" si="11"/>
        <v>100</v>
      </c>
      <c r="X31" s="1811"/>
      <c r="Y31" s="3243"/>
      <c r="Z31" s="1812" t="str">
        <f t="shared" si="12"/>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3"/>
      <c r="Q32" s="1808" t="str">
        <f t="shared" si="8"/>
        <v>公共部分装修</v>
      </c>
      <c r="R32" s="774" t="s">
        <v>17</v>
      </c>
      <c r="S32" s="775">
        <f t="shared" si="9"/>
        <v>100</v>
      </c>
      <c r="T32" s="774" t="s">
        <v>17</v>
      </c>
      <c r="U32" s="775">
        <f t="shared" si="10"/>
        <v>100</v>
      </c>
      <c r="V32" s="774" t="s">
        <v>17</v>
      </c>
      <c r="W32" s="775">
        <f t="shared" si="11"/>
        <v>100</v>
      </c>
      <c r="X32" s="1811"/>
      <c r="Y32" s="3243"/>
      <c r="Z32" s="1812" t="str">
        <f t="shared" si="12"/>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3"/>
      <c r="Q33" s="1808" t="str">
        <f t="shared" si="8"/>
        <v>成新度</v>
      </c>
      <c r="R33" s="774" t="s">
        <v>17</v>
      </c>
      <c r="S33" s="775" t="e">
        <f t="shared" si="9"/>
        <v>#N/A</v>
      </c>
      <c r="T33" s="774" t="s">
        <v>17</v>
      </c>
      <c r="U33" s="775" t="e">
        <f t="shared" si="10"/>
        <v>#N/A</v>
      </c>
      <c r="V33" s="774" t="s">
        <v>17</v>
      </c>
      <c r="W33" s="775" t="e">
        <f t="shared" si="11"/>
        <v>#N/A</v>
      </c>
      <c r="X33" s="1811"/>
      <c r="Y33" s="3243"/>
      <c r="Z33" s="1812" t="str">
        <f t="shared" si="12"/>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3"/>
      <c r="Q34" s="1793" t="str">
        <f t="shared" si="8"/>
        <v>物业管理</v>
      </c>
      <c r="R34" s="770" t="s">
        <v>17</v>
      </c>
      <c r="S34" s="771">
        <f t="shared" si="9"/>
        <v>100</v>
      </c>
      <c r="T34" s="770" t="s">
        <v>17</v>
      </c>
      <c r="U34" s="771">
        <f t="shared" si="10"/>
        <v>100</v>
      </c>
      <c r="V34" s="770" t="s">
        <v>17</v>
      </c>
      <c r="W34" s="771">
        <f t="shared" si="11"/>
        <v>100</v>
      </c>
      <c r="X34" s="772"/>
      <c r="Y34" s="3243"/>
      <c r="Z34" s="55" t="str">
        <f t="shared" si="12"/>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3" t="s">
        <v>2554</v>
      </c>
      <c r="Q35" s="1808" t="str">
        <f t="shared" si="8"/>
        <v>市政基础设施</v>
      </c>
      <c r="R35" s="774" t="s">
        <v>17</v>
      </c>
      <c r="S35" s="775">
        <f t="shared" si="9"/>
        <v>100</v>
      </c>
      <c r="T35" s="774" t="s">
        <v>17</v>
      </c>
      <c r="U35" s="775">
        <f t="shared" si="10"/>
        <v>100</v>
      </c>
      <c r="V35" s="774" t="s">
        <v>17</v>
      </c>
      <c r="W35" s="775">
        <f t="shared" si="11"/>
        <v>100</v>
      </c>
      <c r="X35" s="1811"/>
      <c r="Y35" s="3243" t="s">
        <v>2554</v>
      </c>
      <c r="Z35" s="1812" t="str">
        <f t="shared" si="12"/>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3"/>
      <c r="Q36" s="1808" t="str">
        <f t="shared" si="8"/>
        <v>内部装修</v>
      </c>
      <c r="R36" s="774" t="s">
        <v>17</v>
      </c>
      <c r="S36" s="775">
        <f t="shared" si="9"/>
        <v>100</v>
      </c>
      <c r="T36" s="774" t="s">
        <v>17</v>
      </c>
      <c r="U36" s="775">
        <f t="shared" si="10"/>
        <v>100</v>
      </c>
      <c r="V36" s="774" t="s">
        <v>17</v>
      </c>
      <c r="W36" s="775">
        <f t="shared" si="11"/>
        <v>100</v>
      </c>
      <c r="X36" s="1811"/>
      <c r="Y36" s="3243"/>
      <c r="Z36" s="1812" t="str">
        <f t="shared" si="12"/>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3"/>
      <c r="Q37" s="1808" t="str">
        <f t="shared" si="8"/>
        <v>内部装修状况</v>
      </c>
      <c r="R37" s="774" t="s">
        <v>17</v>
      </c>
      <c r="S37" s="775">
        <f t="shared" si="9"/>
        <v>100</v>
      </c>
      <c r="T37" s="774" t="s">
        <v>17</v>
      </c>
      <c r="U37" s="775">
        <f t="shared" si="10"/>
        <v>100</v>
      </c>
      <c r="V37" s="774" t="s">
        <v>17</v>
      </c>
      <c r="W37" s="775">
        <f t="shared" si="11"/>
        <v>100</v>
      </c>
      <c r="X37" s="1811"/>
      <c r="Y37" s="3243"/>
      <c r="Z37" s="1812" t="str">
        <f t="shared" si="12"/>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3"/>
      <c r="Q38" s="776">
        <f t="shared" si="8"/>
        <v>111</v>
      </c>
      <c r="R38" s="777" t="s">
        <v>17</v>
      </c>
      <c r="S38" s="778">
        <f t="shared" si="9"/>
        <v>100</v>
      </c>
      <c r="T38" s="777" t="s">
        <v>17</v>
      </c>
      <c r="U38" s="778">
        <f t="shared" si="10"/>
        <v>100</v>
      </c>
      <c r="V38" s="777" t="s">
        <v>17</v>
      </c>
      <c r="W38" s="778">
        <f t="shared" si="11"/>
        <v>100</v>
      </c>
      <c r="X38" s="779"/>
      <c r="Y38" s="3243"/>
      <c r="Z38" s="780">
        <f t="shared" si="12"/>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3"/>
      <c r="Q39" s="1808">
        <f t="shared" si="8"/>
        <v>111</v>
      </c>
      <c r="R39" s="774" t="s">
        <v>17</v>
      </c>
      <c r="S39" s="775">
        <f t="shared" si="9"/>
        <v>100</v>
      </c>
      <c r="T39" s="774" t="s">
        <v>17</v>
      </c>
      <c r="U39" s="775">
        <f t="shared" si="10"/>
        <v>100</v>
      </c>
      <c r="V39" s="774" t="s">
        <v>17</v>
      </c>
      <c r="W39" s="775">
        <f t="shared" si="11"/>
        <v>100</v>
      </c>
      <c r="X39" s="1811"/>
      <c r="Y39" s="3243"/>
      <c r="Z39" s="1812">
        <f t="shared" si="12"/>
        <v>111</v>
      </c>
      <c r="AA39" s="1809">
        <f t="shared" si="3"/>
        <v>1</v>
      </c>
      <c r="AB39" s="1809">
        <f t="shared" si="4"/>
        <v>1</v>
      </c>
      <c r="AC39" s="1809">
        <f t="shared" si="5"/>
        <v>1</v>
      </c>
    </row>
    <row r="40" spans="1:29" ht="15.6"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4"/>
      <c r="Q40" s="1808">
        <f t="shared" si="8"/>
        <v>111</v>
      </c>
      <c r="R40" s="774" t="s">
        <v>17</v>
      </c>
      <c r="S40" s="775">
        <f t="shared" si="9"/>
        <v>100</v>
      </c>
      <c r="T40" s="774" t="s">
        <v>17</v>
      </c>
      <c r="U40" s="775">
        <f t="shared" si="10"/>
        <v>100</v>
      </c>
      <c r="V40" s="774" t="s">
        <v>17</v>
      </c>
      <c r="W40" s="775">
        <f t="shared" si="11"/>
        <v>100</v>
      </c>
      <c r="X40" s="1811"/>
      <c r="Y40" s="3244"/>
      <c r="Z40" s="1812">
        <f t="shared" si="12"/>
        <v>111</v>
      </c>
      <c r="AA40" s="1809">
        <f t="shared" si="3"/>
        <v>1</v>
      </c>
      <c r="AB40" s="1809">
        <f t="shared" si="4"/>
        <v>1</v>
      </c>
      <c r="AC40" s="1809">
        <f t="shared" si="5"/>
        <v>1</v>
      </c>
    </row>
    <row r="41" spans="1:29" ht="14.4">
      <c r="A41" s="479" t="s">
        <v>2566</v>
      </c>
      <c r="B41" s="480"/>
      <c r="C41" s="1406" t="s">
        <v>1</v>
      </c>
      <c r="D41" s="1407"/>
      <c r="E41" s="1408"/>
      <c r="F41" s="1409"/>
      <c r="G41" s="1410"/>
      <c r="H41" s="1411"/>
      <c r="I41" s="1408"/>
      <c r="J41" s="1411"/>
      <c r="K41" s="783"/>
      <c r="L41" s="1142"/>
      <c r="M41" s="1143"/>
      <c r="N41" s="1130"/>
      <c r="O41" s="1143"/>
      <c r="P41" s="3245" t="str">
        <f>A41</f>
        <v>成交单价（元/平方米）</v>
      </c>
      <c r="Q41" s="3245"/>
      <c r="R41" s="3246">
        <f>E41</f>
        <v>0</v>
      </c>
      <c r="S41" s="3246"/>
      <c r="T41" s="3246">
        <f>G41</f>
        <v>0</v>
      </c>
      <c r="U41" s="3246"/>
      <c r="V41" s="3246">
        <f>I41</f>
        <v>0</v>
      </c>
      <c r="W41" s="3246"/>
      <c r="X41" s="759"/>
      <c r="Y41" s="781"/>
      <c r="Z41" s="759"/>
      <c r="AA41" s="759"/>
      <c r="AB41" s="759"/>
      <c r="AC41" s="759"/>
    </row>
    <row r="42" spans="1:29" ht="15" thickBot="1">
      <c r="A42" s="486" t="s">
        <v>2658</v>
      </c>
      <c r="B42" s="487"/>
      <c r="C42" s="1412" t="e">
        <f>R43</f>
        <v>#DIV/0!</v>
      </c>
      <c r="D42" s="1413"/>
      <c r="E42" s="1414" t="e">
        <f>R42</f>
        <v>#DIV/0!</v>
      </c>
      <c r="F42" s="1414"/>
      <c r="G42" s="1412" t="e">
        <f>T42</f>
        <v>#DIV/0!</v>
      </c>
      <c r="H42" s="1413"/>
      <c r="I42" s="1414" t="e">
        <f>V42</f>
        <v>#DIV/0!</v>
      </c>
      <c r="J42" s="1413"/>
      <c r="K42" s="784"/>
      <c r="L42" s="1142"/>
      <c r="M42" s="1143"/>
      <c r="N42" s="1130"/>
      <c r="O42" s="1143"/>
      <c r="P42" s="3245" t="str">
        <f>A42</f>
        <v>比较价值（元/平方米）</v>
      </c>
      <c r="Q42" s="3245"/>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 thickBot="1">
      <c r="A43" s="492" t="s">
        <v>2659</v>
      </c>
      <c r="B43" s="493"/>
      <c r="C43" s="1416" t="e">
        <f>R43</f>
        <v>#DIV/0!</v>
      </c>
      <c r="D43" s="1416"/>
      <c r="E43" s="1416"/>
      <c r="F43" s="1416"/>
      <c r="G43" s="1416"/>
      <c r="H43" s="1416"/>
      <c r="I43" s="1416"/>
      <c r="J43" s="1416"/>
      <c r="K43" s="785"/>
      <c r="L43" s="1142"/>
      <c r="M43" s="1143"/>
      <c r="N43" s="1143"/>
      <c r="O43" s="1143"/>
      <c r="P43" s="3247" t="str">
        <f>A43</f>
        <v>估价对象XX用房的比较价值（楼面单价，元/平方米）</v>
      </c>
      <c r="Q43" s="3248"/>
      <c r="R43" s="3249" t="e">
        <f>IF(F1="售价",ROUND(AVERAGE(R42:V42),0),ROUND(AVERAGE(R42:V42),1))</f>
        <v>#DIV/0!</v>
      </c>
      <c r="S43" s="3249"/>
      <c r="T43" s="3249"/>
      <c r="U43" s="3249"/>
      <c r="V43" s="3249"/>
      <c r="W43" s="3249"/>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3" t="s">
        <v>2663</v>
      </c>
      <c r="B51" s="759"/>
      <c r="C51" s="764"/>
      <c r="D51" s="764"/>
      <c r="E51" s="764"/>
      <c r="F51" s="765"/>
      <c r="G51" s="765"/>
      <c r="H51" s="764"/>
      <c r="I51" s="764"/>
      <c r="J51" s="764"/>
      <c r="K51" s="1159"/>
      <c r="L51" s="1160"/>
      <c r="M51" s="1158"/>
      <c r="N51" s="1158"/>
      <c r="O51" s="1158"/>
      <c r="P51" s="503"/>
      <c r="Q51" s="504"/>
    </row>
    <row r="52" spans="1:17" s="508" customFormat="1" ht="14.4">
      <c r="A52" s="505" t="s">
        <v>2537</v>
      </c>
      <c r="B52" s="506"/>
      <c r="C52" s="1572" t="str">
        <f>YEAR(C7)&amp;"-"&amp;MONTH(C7)</f>
        <v>2019-9</v>
      </c>
      <c r="D52" s="1573">
        <f>EDATE(C52,-1)</f>
        <v>43678</v>
      </c>
      <c r="E52" s="1573">
        <f t="shared" ref="E52:O52" si="13">EDATE(D52,-1)</f>
        <v>43647</v>
      </c>
      <c r="F52" s="1573">
        <f t="shared" si="13"/>
        <v>43617</v>
      </c>
      <c r="G52" s="1573">
        <f t="shared" si="13"/>
        <v>43586</v>
      </c>
      <c r="H52" s="1573">
        <f t="shared" si="13"/>
        <v>43556</v>
      </c>
      <c r="I52" s="1573">
        <f t="shared" si="13"/>
        <v>43525</v>
      </c>
      <c r="J52" s="1573">
        <f t="shared" si="13"/>
        <v>43497</v>
      </c>
      <c r="K52" s="1573">
        <f t="shared" si="13"/>
        <v>43466</v>
      </c>
      <c r="L52" s="1573">
        <f t="shared" si="13"/>
        <v>43435</v>
      </c>
      <c r="M52" s="1573">
        <f t="shared" si="13"/>
        <v>43405</v>
      </c>
      <c r="N52" s="1573">
        <f t="shared" si="13"/>
        <v>43374</v>
      </c>
      <c r="O52" s="1573">
        <f t="shared" si="13"/>
        <v>43344</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2574</v>
      </c>
      <c r="B54" s="516"/>
      <c r="C54" s="517"/>
      <c r="D54" s="518"/>
      <c r="E54" s="518"/>
      <c r="F54" s="518"/>
      <c r="G54" s="518"/>
      <c r="H54" s="518"/>
      <c r="I54" s="518"/>
      <c r="J54" s="518"/>
      <c r="K54" s="518"/>
      <c r="L54" s="518"/>
      <c r="M54" s="519"/>
      <c r="N54" s="518"/>
      <c r="O54" s="520"/>
      <c r="P54" s="504"/>
      <c r="Q54" s="504"/>
    </row>
    <row r="55" spans="1:17" s="117" customFormat="1" ht="14.4">
      <c r="A55" s="521" t="s">
        <v>2539</v>
      </c>
      <c r="B55" s="510"/>
      <c r="C55" s="522" t="s">
        <v>2641</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2577</v>
      </c>
      <c r="B57" s="528" t="s">
        <v>2543</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2547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29"/>
      <c r="B87" s="569"/>
      <c r="C87" s="570"/>
      <c r="D87" s="570"/>
      <c r="E87" s="570"/>
      <c r="F87" s="570"/>
      <c r="G87" s="591"/>
      <c r="H87" s="591"/>
      <c r="I87" s="591"/>
      <c r="J87" s="591"/>
      <c r="K87" s="591"/>
      <c r="L87" s="591"/>
      <c r="M87" s="592"/>
      <c r="N87" s="1152"/>
      <c r="O87" s="1152"/>
      <c r="P87" s="45"/>
      <c r="Q87" s="504"/>
    </row>
    <row r="88" spans="1:17" ht="14.4">
      <c r="A88" s="527" t="s">
        <v>2552</v>
      </c>
      <c r="B88" s="528" t="s">
        <v>2601</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2"/>
      <c r="O89" s="1152"/>
      <c r="P89" s="45"/>
      <c r="Q89" s="504"/>
    </row>
    <row r="90" spans="1:17" ht="15" thickTop="1">
      <c r="A90" s="534"/>
      <c r="B90" s="538" t="s">
        <v>2602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2"/>
      <c r="O96" s="1152"/>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4.4"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29"/>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2696</v>
      </c>
      <c r="B1" s="1617"/>
      <c r="C1" s="1618" t="s">
        <v>2519</v>
      </c>
      <c r="D1" s="1619"/>
      <c r="E1" s="1620"/>
      <c r="F1" s="2579"/>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2319</v>
      </c>
      <c r="B2" s="1417" t="e">
        <f ca="1">IF(C2="——",IF(B37="元/平方米",ROUND(C39*D3/10000,0),ROUND(F3*C39/10000,0)),IF(B37="元/平方米",ROUND(C39*D3/10000,0),ROUND(F3*C39/10000,0))-D2)</f>
        <v>#DIV/0!</v>
      </c>
      <c r="C2" s="2581"/>
      <c r="D2" s="1123" t="e">
        <f ca="1">SUMIF(INDIRECT("'"&amp;F2&amp;"'"&amp;"!A:A"),"承租人权益价值",INDIRECT("'"&amp;F2&amp;"'"&amp;"!c:c"))</f>
        <v>#REF!</v>
      </c>
      <c r="E2" s="2582" t="s">
        <v>2320</v>
      </c>
      <c r="F2" s="2583"/>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4.4">
      <c r="A4" s="401" t="s">
        <v>2634</v>
      </c>
      <c r="B4" s="402"/>
      <c r="C4" s="3205" t="s">
        <v>2635</v>
      </c>
      <c r="D4" s="3206"/>
      <c r="E4" s="3207" t="s">
        <v>2636</v>
      </c>
      <c r="F4" s="3208"/>
      <c r="G4" s="3205" t="s">
        <v>2637</v>
      </c>
      <c r="H4" s="3206"/>
      <c r="I4" s="3205" t="s">
        <v>2638</v>
      </c>
      <c r="J4" s="3206"/>
      <c r="K4" s="610" t="s">
        <v>2639</v>
      </c>
      <c r="L4" s="1129"/>
      <c r="M4" s="1130"/>
      <c r="N4" s="1130"/>
      <c r="O4" s="1130"/>
      <c r="P4" s="3209" t="s">
        <v>2640</v>
      </c>
      <c r="Q4" s="3210"/>
      <c r="R4" s="3215" t="s">
        <v>2636</v>
      </c>
      <c r="S4" s="3216"/>
      <c r="T4" s="3215" t="s">
        <v>2637</v>
      </c>
      <c r="U4" s="3216"/>
      <c r="V4" s="3231" t="s">
        <v>2638</v>
      </c>
      <c r="W4" s="3231"/>
      <c r="X4" s="1811"/>
      <c r="Y4" s="3215" t="s">
        <v>2640</v>
      </c>
      <c r="Z4" s="3216"/>
      <c r="AA4" s="3202" t="s">
        <v>2636</v>
      </c>
      <c r="AB4" s="3203" t="s">
        <v>2637</v>
      </c>
      <c r="AC4" s="3202" t="s">
        <v>2638</v>
      </c>
    </row>
    <row r="5" spans="1:29">
      <c r="A5" s="404"/>
      <c r="B5" s="405"/>
      <c r="C5" s="3250" t="s">
        <v>2531</v>
      </c>
      <c r="D5" s="3220"/>
      <c r="E5" s="3251" t="s">
        <v>2532</v>
      </c>
      <c r="F5" s="3222"/>
      <c r="G5" s="3250" t="s">
        <v>2533</v>
      </c>
      <c r="H5" s="3220"/>
      <c r="I5" s="3250" t="s">
        <v>2534</v>
      </c>
      <c r="J5" s="3220"/>
      <c r="K5" s="610"/>
      <c r="L5" s="1129"/>
      <c r="M5" s="1130"/>
      <c r="N5" s="1130"/>
      <c r="O5" s="1130"/>
      <c r="P5" s="3211"/>
      <c r="Q5" s="3212"/>
      <c r="R5" s="3217"/>
      <c r="S5" s="3218"/>
      <c r="T5" s="3217"/>
      <c r="U5" s="3218"/>
      <c r="V5" s="3231"/>
      <c r="W5" s="3231"/>
      <c r="X5" s="1811"/>
      <c r="Y5" s="3217"/>
      <c r="Z5" s="3218"/>
      <c r="AA5" s="3203"/>
      <c r="AB5" s="3203"/>
      <c r="AC5" s="3203"/>
    </row>
    <row r="6" spans="1:29" ht="15" thickBot="1">
      <c r="A6" s="406"/>
      <c r="B6" s="407"/>
      <c r="C6" s="3224" t="s">
        <v>2535</v>
      </c>
      <c r="D6" s="3225"/>
      <c r="E6" s="3226" t="s">
        <v>2535</v>
      </c>
      <c r="F6" s="3227"/>
      <c r="G6" s="3224" t="s">
        <v>2535</v>
      </c>
      <c r="H6" s="3225"/>
      <c r="I6" s="3224" t="s">
        <v>2535</v>
      </c>
      <c r="J6" s="3225"/>
      <c r="K6" s="610" t="s">
        <v>2536</v>
      </c>
      <c r="L6" s="1129"/>
      <c r="M6" s="1130"/>
      <c r="N6" s="1130"/>
      <c r="O6" s="1130"/>
      <c r="P6" s="3213"/>
      <c r="Q6" s="3214"/>
      <c r="R6" s="3217"/>
      <c r="S6" s="3218"/>
      <c r="T6" s="3229"/>
      <c r="U6" s="3230"/>
      <c r="V6" s="3231"/>
      <c r="W6" s="3231"/>
      <c r="X6" s="1811"/>
      <c r="Y6" s="3229"/>
      <c r="Z6" s="3230"/>
      <c r="AA6" s="3204"/>
      <c r="AB6" s="3204"/>
      <c r="AC6" s="3204"/>
    </row>
    <row r="7" spans="1:29" s="117" customFormat="1" ht="15" thickBot="1">
      <c r="A7" s="408" t="s">
        <v>2537</v>
      </c>
      <c r="B7" s="409"/>
      <c r="C7" s="410">
        <f>'数据-取费表'!B2</f>
        <v>43725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32" t="s">
        <v>2538</v>
      </c>
      <c r="Q7" s="3233"/>
      <c r="R7" s="770" t="s">
        <v>17</v>
      </c>
      <c r="S7" s="771">
        <f t="shared" ref="S7:S14" si="0">F7</f>
        <v>0</v>
      </c>
      <c r="T7" s="770" t="s">
        <v>17</v>
      </c>
      <c r="U7" s="771">
        <f t="shared" ref="U7:U14" si="1">H7</f>
        <v>0</v>
      </c>
      <c r="V7" s="770" t="s">
        <v>17</v>
      </c>
      <c r="W7" s="771">
        <f t="shared" ref="W7:W14" si="2">J7</f>
        <v>0</v>
      </c>
      <c r="X7" s="772"/>
      <c r="Y7" s="3232" t="s">
        <v>2538</v>
      </c>
      <c r="Z7" s="3234"/>
      <c r="AA7" s="773" t="e">
        <f>D7/F7</f>
        <v>#DIV/0!</v>
      </c>
      <c r="AB7" s="773" t="e">
        <f>D7/H7</f>
        <v>#DIV/0!</v>
      </c>
      <c r="AC7" s="773" t="e">
        <f>D7/J7</f>
        <v>#DIV/0!</v>
      </c>
    </row>
    <row r="8" spans="1:29" s="117" customFormat="1" ht="1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32" t="s">
        <v>2541</v>
      </c>
      <c r="Q8" s="3234"/>
      <c r="R8" s="770" t="s">
        <v>17</v>
      </c>
      <c r="S8" s="771">
        <f t="shared" si="0"/>
        <v>0</v>
      </c>
      <c r="T8" s="770" t="s">
        <v>17</v>
      </c>
      <c r="U8" s="771">
        <f t="shared" si="1"/>
        <v>0</v>
      </c>
      <c r="V8" s="770" t="s">
        <v>17</v>
      </c>
      <c r="W8" s="771">
        <f t="shared" si="2"/>
        <v>0</v>
      </c>
      <c r="X8" s="772"/>
      <c r="Y8" s="3232" t="s">
        <v>2541</v>
      </c>
      <c r="Z8" s="3234"/>
      <c r="AA8" s="773" t="e">
        <f t="shared" ref="AA8:AA36" si="3">D8/F8</f>
        <v>#DIV/0!</v>
      </c>
      <c r="AB8" s="773" t="e">
        <f t="shared" ref="AB8:AB36" si="4">D8/H8</f>
        <v>#DIV/0!</v>
      </c>
      <c r="AC8" s="773" t="e">
        <f t="shared" ref="AC8:AC36" si="5">D8/J8</f>
        <v>#DIV/0!</v>
      </c>
    </row>
    <row r="9" spans="1:29" s="117" customFormat="1" ht="14.4">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45" t="s">
        <v>2544</v>
      </c>
      <c r="Q9" s="1793" t="str">
        <f t="shared" ref="Q9:Q14" si="6">B9</f>
        <v>用途</v>
      </c>
      <c r="R9" s="770" t="s">
        <v>17</v>
      </c>
      <c r="S9" s="771">
        <f t="shared" si="0"/>
        <v>100</v>
      </c>
      <c r="T9" s="770" t="s">
        <v>17</v>
      </c>
      <c r="U9" s="771">
        <f t="shared" si="1"/>
        <v>100</v>
      </c>
      <c r="V9" s="770" t="s">
        <v>17</v>
      </c>
      <c r="W9" s="771">
        <f t="shared" si="2"/>
        <v>100</v>
      </c>
      <c r="X9" s="772"/>
      <c r="Y9" s="3024" t="s">
        <v>2545</v>
      </c>
      <c r="Z9" s="55" t="str">
        <f t="shared" ref="Z9:Z14" si="7">Q9</f>
        <v>用途</v>
      </c>
      <c r="AA9" s="773">
        <f t="shared" si="3"/>
        <v>1</v>
      </c>
      <c r="AB9" s="773">
        <f t="shared" si="4"/>
        <v>1</v>
      </c>
      <c r="AC9" s="773">
        <f t="shared" si="5"/>
        <v>1</v>
      </c>
    </row>
    <row r="10" spans="1:29" s="427" customFormat="1" ht="28.8">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45"/>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5"/>
      <c r="Q11" s="1793">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5"/>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5"/>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01" t="s">
        <v>2548</v>
      </c>
      <c r="B14" s="629" t="s">
        <v>2698</v>
      </c>
      <c r="C14" s="2686" t="str">
        <f>IF(B1="工业",估价对象房地状况!G4,估价对象房地状况!C6)</f>
        <v>差</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8" t="s">
        <v>2549</v>
      </c>
      <c r="Q14" s="1808" t="str">
        <f t="shared" si="6"/>
        <v>交通便捷度</v>
      </c>
      <c r="R14" s="774" t="s">
        <v>17</v>
      </c>
      <c r="S14" s="775">
        <f t="shared" si="0"/>
        <v>100</v>
      </c>
      <c r="T14" s="774" t="s">
        <v>17</v>
      </c>
      <c r="U14" s="775">
        <f t="shared" si="1"/>
        <v>100</v>
      </c>
      <c r="V14" s="774" t="s">
        <v>17</v>
      </c>
      <c r="W14" s="775">
        <f t="shared" si="2"/>
        <v>100</v>
      </c>
      <c r="X14" s="1811"/>
      <c r="Y14" s="3238"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39"/>
      <c r="Q15" s="1808"/>
      <c r="R15" s="774"/>
      <c r="S15" s="775"/>
      <c r="T15" s="774"/>
      <c r="U15" s="775"/>
      <c r="V15" s="774"/>
      <c r="W15" s="775"/>
      <c r="X15" s="1811"/>
      <c r="Y15" s="3239"/>
      <c r="Z15" s="1812"/>
      <c r="AA15" s="1809">
        <v>1</v>
      </c>
      <c r="AB15" s="1809">
        <v>1</v>
      </c>
      <c r="AC15" s="1809">
        <v>1</v>
      </c>
    </row>
    <row r="16" spans="1:29" ht="15">
      <c r="A16" s="404"/>
      <c r="B16" s="631" t="s">
        <v>2677</v>
      </c>
      <c r="C16" s="2601" t="str">
        <f>IF(B1="工业",估价对象房地状况!G5,估价对象房地状况!C7)</f>
        <v>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9"/>
      <c r="Q16" s="1808" t="str">
        <f>B16</f>
        <v>公共配套设施</v>
      </c>
      <c r="R16" s="774" t="s">
        <v>17</v>
      </c>
      <c r="S16" s="775">
        <f>F16</f>
        <v>100</v>
      </c>
      <c r="T16" s="774" t="s">
        <v>17</v>
      </c>
      <c r="U16" s="775">
        <f>H16</f>
        <v>100</v>
      </c>
      <c r="V16" s="774" t="s">
        <v>17</v>
      </c>
      <c r="W16" s="775">
        <f>J16</f>
        <v>100</v>
      </c>
      <c r="X16" s="1811"/>
      <c r="Y16" s="3239"/>
      <c r="Z16" s="1812" t="str">
        <f>Q16</f>
        <v>公共配套设施</v>
      </c>
      <c r="AA16" s="1809">
        <f t="shared" si="3"/>
        <v>1</v>
      </c>
      <c r="AB16" s="1809">
        <f t="shared" si="4"/>
        <v>1</v>
      </c>
      <c r="AC16" s="1809">
        <f t="shared" si="5"/>
        <v>1</v>
      </c>
    </row>
    <row r="17" spans="1:29" ht="15">
      <c r="A17" s="404"/>
      <c r="B17" s="632"/>
      <c r="C17" s="2602"/>
      <c r="D17" s="448"/>
      <c r="E17" s="447"/>
      <c r="F17" s="449"/>
      <c r="G17" s="447"/>
      <c r="H17" s="448"/>
      <c r="I17" s="447"/>
      <c r="J17" s="448"/>
      <c r="K17" s="615"/>
      <c r="L17" s="1139"/>
      <c r="M17" s="1130"/>
      <c r="N17" s="1130"/>
      <c r="O17" s="1130"/>
      <c r="P17" s="3239"/>
      <c r="Q17" s="1808"/>
      <c r="R17" s="774"/>
      <c r="S17" s="775"/>
      <c r="T17" s="774"/>
      <c r="U17" s="775"/>
      <c r="V17" s="774"/>
      <c r="W17" s="775"/>
      <c r="X17" s="1811"/>
      <c r="Y17" s="3239"/>
      <c r="Z17" s="1812"/>
      <c r="AA17" s="1809">
        <v>1</v>
      </c>
      <c r="AB17" s="1809">
        <v>1</v>
      </c>
      <c r="AC17" s="1809">
        <v>1</v>
      </c>
    </row>
    <row r="18" spans="1:29" ht="15">
      <c r="A18" s="404"/>
      <c r="B18" s="633" t="s">
        <v>2678</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9"/>
      <c r="Q18" s="1808" t="str">
        <f>B18</f>
        <v>基础设施水平</v>
      </c>
      <c r="R18" s="774" t="s">
        <v>17</v>
      </c>
      <c r="S18" s="775">
        <f>F18</f>
        <v>100</v>
      </c>
      <c r="T18" s="774" t="s">
        <v>17</v>
      </c>
      <c r="U18" s="775">
        <f>H18</f>
        <v>100</v>
      </c>
      <c r="V18" s="774" t="s">
        <v>17</v>
      </c>
      <c r="W18" s="775">
        <f>J18</f>
        <v>100</v>
      </c>
      <c r="X18" s="1811"/>
      <c r="Y18" s="3239"/>
      <c r="Z18" s="1812" t="str">
        <f>Q18</f>
        <v>基础设施水平</v>
      </c>
      <c r="AA18" s="1809">
        <f>D18/F18</f>
        <v>1</v>
      </c>
      <c r="AB18" s="1809">
        <f>D18/H18</f>
        <v>1</v>
      </c>
      <c r="AC18" s="1809">
        <f>D18/J18</f>
        <v>1</v>
      </c>
    </row>
    <row r="19" spans="1:29" ht="15">
      <c r="A19" s="404"/>
      <c r="B19" s="633"/>
      <c r="C19" s="2602"/>
      <c r="D19" s="450"/>
      <c r="E19" s="2602"/>
      <c r="F19" s="453"/>
      <c r="G19" s="2602"/>
      <c r="H19" s="448"/>
      <c r="I19" s="447"/>
      <c r="J19" s="448"/>
      <c r="K19" s="1382"/>
      <c r="L19" s="1139"/>
      <c r="M19" s="1130"/>
      <c r="N19" s="1130"/>
      <c r="O19" s="1130"/>
      <c r="P19" s="3239"/>
      <c r="Q19" s="1808"/>
      <c r="R19" s="774"/>
      <c r="S19" s="775"/>
      <c r="T19" s="774"/>
      <c r="U19" s="775"/>
      <c r="V19" s="774"/>
      <c r="W19" s="775"/>
      <c r="X19" s="1811"/>
      <c r="Y19" s="3239"/>
      <c r="Z19" s="1812"/>
      <c r="AA19" s="1809">
        <v>1</v>
      </c>
      <c r="AB19" s="1809">
        <v>1</v>
      </c>
      <c r="AC19" s="1809">
        <v>1</v>
      </c>
    </row>
    <row r="20" spans="1:29" ht="15">
      <c r="A20" s="404"/>
      <c r="B20" s="631" t="s">
        <v>2699</v>
      </c>
      <c r="C20" s="2601"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9"/>
      <c r="Q20" s="1808" t="str">
        <f>B20</f>
        <v>自然及人文环境</v>
      </c>
      <c r="R20" s="774" t="s">
        <v>17</v>
      </c>
      <c r="S20" s="775">
        <f>F20</f>
        <v>100</v>
      </c>
      <c r="T20" s="774" t="s">
        <v>17</v>
      </c>
      <c r="U20" s="775">
        <f>H20</f>
        <v>100</v>
      </c>
      <c r="V20" s="774" t="s">
        <v>17</v>
      </c>
      <c r="W20" s="775">
        <f>J20</f>
        <v>100</v>
      </c>
      <c r="X20" s="1811"/>
      <c r="Y20" s="323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39"/>
      <c r="Q21" s="1808"/>
      <c r="R21" s="774"/>
      <c r="S21" s="775"/>
      <c r="T21" s="774"/>
      <c r="U21" s="775"/>
      <c r="V21" s="774"/>
      <c r="W21" s="775"/>
      <c r="X21" s="1811"/>
      <c r="Y21" s="3239"/>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9"/>
      <c r="Q22" s="1808" t="str">
        <f>B22</f>
        <v>楼层</v>
      </c>
      <c r="R22" s="774" t="s">
        <v>17</v>
      </c>
      <c r="S22" s="775">
        <f>F22</f>
        <v>100</v>
      </c>
      <c r="T22" s="774" t="s">
        <v>17</v>
      </c>
      <c r="U22" s="775">
        <f>H22</f>
        <v>100</v>
      </c>
      <c r="V22" s="774" t="s">
        <v>17</v>
      </c>
      <c r="W22" s="775">
        <f>J22</f>
        <v>100</v>
      </c>
      <c r="X22" s="1811"/>
      <c r="Y22" s="323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9"/>
      <c r="Q23" s="1808">
        <f>B23</f>
        <v>111</v>
      </c>
      <c r="R23" s="774" t="s">
        <v>17</v>
      </c>
      <c r="S23" s="775">
        <f>F23</f>
        <v>100</v>
      </c>
      <c r="T23" s="774" t="s">
        <v>17</v>
      </c>
      <c r="U23" s="775">
        <f>H23</f>
        <v>100</v>
      </c>
      <c r="V23" s="774" t="s">
        <v>17</v>
      </c>
      <c r="W23" s="775">
        <f>J23</f>
        <v>100</v>
      </c>
      <c r="X23" s="1811"/>
      <c r="Y23" s="323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9"/>
      <c r="Q24" s="1808">
        <f t="shared" ref="Q24:Q36" si="8">B24</f>
        <v>111</v>
      </c>
      <c r="R24" s="774" t="s">
        <v>17</v>
      </c>
      <c r="S24" s="775">
        <f>F24</f>
        <v>100</v>
      </c>
      <c r="T24" s="774" t="s">
        <v>17</v>
      </c>
      <c r="U24" s="775">
        <f>H24</f>
        <v>100</v>
      </c>
      <c r="V24" s="774" t="s">
        <v>17</v>
      </c>
      <c r="W24" s="775">
        <f>J24</f>
        <v>100</v>
      </c>
      <c r="X24" s="1811"/>
      <c r="Y24" s="3239"/>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9"/>
      <c r="Q25" s="1793">
        <f t="shared" si="8"/>
        <v>111</v>
      </c>
      <c r="R25" s="770" t="s">
        <v>17</v>
      </c>
      <c r="S25" s="771">
        <f>F25</f>
        <v>100</v>
      </c>
      <c r="T25" s="770" t="s">
        <v>17</v>
      </c>
      <c r="U25" s="771">
        <f>H25</f>
        <v>100</v>
      </c>
      <c r="V25" s="770" t="s">
        <v>17</v>
      </c>
      <c r="W25" s="771">
        <f>J25</f>
        <v>100</v>
      </c>
      <c r="X25" s="772"/>
      <c r="Y25" s="3239"/>
      <c r="Z25" s="55">
        <f>Q25</f>
        <v>111</v>
      </c>
      <c r="AA25" s="1809">
        <f>D25/F25</f>
        <v>1</v>
      </c>
      <c r="AB25" s="1809">
        <f>D25/H25</f>
        <v>1</v>
      </c>
      <c r="AC25" s="1809">
        <f>D25/J25</f>
        <v>1</v>
      </c>
    </row>
    <row r="26" spans="1:29" ht="30">
      <c r="A26" s="652" t="s">
        <v>2552</v>
      </c>
      <c r="B26" s="70" t="s">
        <v>2701</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7" t="s">
        <v>2554</v>
      </c>
      <c r="Q26" s="1808" t="str">
        <f t="shared" si="8"/>
        <v>配套类型</v>
      </c>
      <c r="R26" s="774" t="s">
        <v>17</v>
      </c>
      <c r="S26" s="775">
        <f t="shared" ref="S26:S36" si="9">F26</f>
        <v>100</v>
      </c>
      <c r="T26" s="774" t="s">
        <v>17</v>
      </c>
      <c r="U26" s="775">
        <f t="shared" ref="U26:U36" si="10">H26</f>
        <v>100</v>
      </c>
      <c r="V26" s="774" t="s">
        <v>17</v>
      </c>
      <c r="W26" s="775">
        <f t="shared" ref="W26:W36" si="11">J26</f>
        <v>100</v>
      </c>
      <c r="X26" s="1811"/>
      <c r="Y26" s="3243" t="s">
        <v>2554</v>
      </c>
      <c r="Z26" s="1812" t="str">
        <f t="shared" ref="Z26:Z36" si="12">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3"/>
      <c r="Q27" s="776" t="str">
        <f t="shared" si="8"/>
        <v>项目停车位配比</v>
      </c>
      <c r="R27" s="777" t="s">
        <v>17</v>
      </c>
      <c r="S27" s="778">
        <f t="shared" si="9"/>
        <v>100</v>
      </c>
      <c r="T27" s="777" t="s">
        <v>17</v>
      </c>
      <c r="U27" s="778">
        <f t="shared" si="10"/>
        <v>100</v>
      </c>
      <c r="V27" s="777" t="s">
        <v>17</v>
      </c>
      <c r="W27" s="778">
        <f t="shared" si="11"/>
        <v>100</v>
      </c>
      <c r="X27" s="779"/>
      <c r="Y27" s="3243"/>
      <c r="Z27" s="780" t="str">
        <f t="shared" si="12"/>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3"/>
      <c r="Q28" s="1808" t="str">
        <f t="shared" si="8"/>
        <v>公共部分装修</v>
      </c>
      <c r="R28" s="774" t="s">
        <v>17</v>
      </c>
      <c r="S28" s="775">
        <f t="shared" si="9"/>
        <v>100</v>
      </c>
      <c r="T28" s="774" t="s">
        <v>17</v>
      </c>
      <c r="U28" s="775">
        <f t="shared" si="10"/>
        <v>100</v>
      </c>
      <c r="V28" s="774" t="s">
        <v>17</v>
      </c>
      <c r="W28" s="775">
        <f t="shared" si="11"/>
        <v>100</v>
      </c>
      <c r="X28" s="1811"/>
      <c r="Y28" s="3243"/>
      <c r="Z28" s="1812" t="str">
        <f t="shared" si="12"/>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3"/>
      <c r="Q29" s="1808" t="str">
        <f t="shared" si="8"/>
        <v>成新率</v>
      </c>
      <c r="R29" s="774" t="s">
        <v>17</v>
      </c>
      <c r="S29" s="775" t="e">
        <f t="shared" si="9"/>
        <v>#N/A</v>
      </c>
      <c r="T29" s="774" t="s">
        <v>17</v>
      </c>
      <c r="U29" s="775" t="e">
        <f t="shared" si="10"/>
        <v>#N/A</v>
      </c>
      <c r="V29" s="774" t="s">
        <v>17</v>
      </c>
      <c r="W29" s="775" t="e">
        <f t="shared" si="11"/>
        <v>#N/A</v>
      </c>
      <c r="X29" s="1811"/>
      <c r="Y29" s="3243"/>
      <c r="Z29" s="1812" t="str">
        <f t="shared" si="12"/>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3"/>
      <c r="Q30" s="1808" t="str">
        <f t="shared" si="8"/>
        <v>物业等级</v>
      </c>
      <c r="R30" s="774" t="s">
        <v>17</v>
      </c>
      <c r="S30" s="775">
        <f t="shared" si="9"/>
        <v>100</v>
      </c>
      <c r="T30" s="774" t="s">
        <v>17</v>
      </c>
      <c r="U30" s="775">
        <f t="shared" si="10"/>
        <v>100</v>
      </c>
      <c r="V30" s="774" t="s">
        <v>17</v>
      </c>
      <c r="W30" s="775">
        <f t="shared" si="11"/>
        <v>100</v>
      </c>
      <c r="X30" s="1811"/>
      <c r="Y30" s="3243"/>
      <c r="Z30" s="1812" t="str">
        <f t="shared" si="12"/>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3"/>
      <c r="Q31" s="1793" t="str">
        <f t="shared" si="8"/>
        <v>停车位面积</v>
      </c>
      <c r="R31" s="770" t="s">
        <v>17</v>
      </c>
      <c r="S31" s="771" t="e">
        <f t="shared" si="9"/>
        <v>#N/A</v>
      </c>
      <c r="T31" s="770" t="s">
        <v>17</v>
      </c>
      <c r="U31" s="771" t="e">
        <f t="shared" si="10"/>
        <v>#N/A</v>
      </c>
      <c r="V31" s="770" t="s">
        <v>17</v>
      </c>
      <c r="W31" s="771" t="e">
        <f t="shared" si="11"/>
        <v>#N/A</v>
      </c>
      <c r="X31" s="772"/>
      <c r="Y31" s="3243"/>
      <c r="Z31" s="55" t="str">
        <f t="shared" si="12"/>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3" t="s">
        <v>2554</v>
      </c>
      <c r="Q32" s="1808" t="str">
        <f t="shared" si="8"/>
        <v>车位类型</v>
      </c>
      <c r="R32" s="774" t="s">
        <v>17</v>
      </c>
      <c r="S32" s="775">
        <f t="shared" si="9"/>
        <v>100</v>
      </c>
      <c r="T32" s="774" t="s">
        <v>17</v>
      </c>
      <c r="U32" s="775">
        <f t="shared" si="10"/>
        <v>100</v>
      </c>
      <c r="V32" s="774" t="s">
        <v>17</v>
      </c>
      <c r="W32" s="775">
        <f t="shared" si="11"/>
        <v>100</v>
      </c>
      <c r="X32" s="1811"/>
      <c r="Y32" s="3243" t="s">
        <v>2554</v>
      </c>
      <c r="Z32" s="1812" t="str">
        <f t="shared" si="12"/>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3"/>
      <c r="Q33" s="1808" t="str">
        <f t="shared" si="8"/>
        <v>是否直接入户</v>
      </c>
      <c r="R33" s="774" t="s">
        <v>17</v>
      </c>
      <c r="S33" s="775">
        <f t="shared" si="9"/>
        <v>100</v>
      </c>
      <c r="T33" s="774" t="s">
        <v>17</v>
      </c>
      <c r="U33" s="775">
        <f t="shared" si="10"/>
        <v>100</v>
      </c>
      <c r="V33" s="774" t="s">
        <v>17</v>
      </c>
      <c r="W33" s="775">
        <f t="shared" si="11"/>
        <v>100</v>
      </c>
      <c r="X33" s="1811"/>
      <c r="Y33" s="3243"/>
      <c r="Z33" s="1812" t="str">
        <f t="shared" si="12"/>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3"/>
      <c r="Q34" s="1808">
        <f t="shared" si="8"/>
        <v>111</v>
      </c>
      <c r="R34" s="774" t="s">
        <v>17</v>
      </c>
      <c r="S34" s="775">
        <f t="shared" si="9"/>
        <v>100</v>
      </c>
      <c r="T34" s="774" t="s">
        <v>17</v>
      </c>
      <c r="U34" s="775">
        <f t="shared" si="10"/>
        <v>100</v>
      </c>
      <c r="V34" s="774" t="s">
        <v>17</v>
      </c>
      <c r="W34" s="775">
        <f t="shared" si="11"/>
        <v>100</v>
      </c>
      <c r="X34" s="1811"/>
      <c r="Y34" s="3243"/>
      <c r="Z34" s="1812">
        <f t="shared" si="12"/>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3"/>
      <c r="Q35" s="776">
        <f t="shared" si="8"/>
        <v>111</v>
      </c>
      <c r="R35" s="777" t="s">
        <v>17</v>
      </c>
      <c r="S35" s="778">
        <f t="shared" si="9"/>
        <v>100</v>
      </c>
      <c r="T35" s="777" t="s">
        <v>17</v>
      </c>
      <c r="U35" s="778">
        <f t="shared" si="10"/>
        <v>100</v>
      </c>
      <c r="V35" s="777" t="s">
        <v>17</v>
      </c>
      <c r="W35" s="778">
        <f t="shared" si="11"/>
        <v>100</v>
      </c>
      <c r="X35" s="779"/>
      <c r="Y35" s="3243"/>
      <c r="Z35" s="780">
        <f t="shared" si="12"/>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3"/>
      <c r="Q36" s="1808">
        <f t="shared" si="8"/>
        <v>111</v>
      </c>
      <c r="R36" s="774" t="s">
        <v>17</v>
      </c>
      <c r="S36" s="775">
        <f t="shared" si="9"/>
        <v>100</v>
      </c>
      <c r="T36" s="774" t="s">
        <v>17</v>
      </c>
      <c r="U36" s="775">
        <f t="shared" si="10"/>
        <v>100</v>
      </c>
      <c r="V36" s="774" t="s">
        <v>17</v>
      </c>
      <c r="W36" s="775">
        <f t="shared" si="11"/>
        <v>100</v>
      </c>
      <c r="X36" s="1811"/>
      <c r="Y36" s="3243"/>
      <c r="Z36" s="1812">
        <f t="shared" si="12"/>
        <v>111</v>
      </c>
      <c r="AA36" s="1809">
        <f t="shared" si="3"/>
        <v>1</v>
      </c>
      <c r="AB36" s="1809">
        <f t="shared" si="4"/>
        <v>1</v>
      </c>
      <c r="AC36" s="1809">
        <f t="shared" si="5"/>
        <v>1</v>
      </c>
    </row>
    <row r="37" spans="1:29" ht="14.4">
      <c r="A37" s="479" t="s">
        <v>2709</v>
      </c>
      <c r="B37" s="2688" t="s">
        <v>2710</v>
      </c>
      <c r="C37" s="1406" t="s">
        <v>1</v>
      </c>
      <c r="D37" s="1407"/>
      <c r="E37" s="1408"/>
      <c r="F37" s="1409"/>
      <c r="G37" s="1410"/>
      <c r="H37" s="1411"/>
      <c r="I37" s="1408"/>
      <c r="J37" s="1411"/>
      <c r="K37" s="619"/>
      <c r="L37" s="1142"/>
      <c r="M37" s="1143"/>
      <c r="N37" s="1130"/>
      <c r="O37" s="1143"/>
      <c r="P37" s="3245" t="str">
        <f>A37</f>
        <v>成交单价</v>
      </c>
      <c r="Q37" s="3245"/>
      <c r="R37" s="3246">
        <f>E37</f>
        <v>0</v>
      </c>
      <c r="S37" s="3246"/>
      <c r="T37" s="3246">
        <f>G37</f>
        <v>0</v>
      </c>
      <c r="U37" s="3246"/>
      <c r="V37" s="3246">
        <f>I37</f>
        <v>0</v>
      </c>
      <c r="W37" s="3246"/>
      <c r="X37" s="759"/>
      <c r="Y37" s="781"/>
      <c r="Z37" s="759"/>
      <c r="AA37" s="759"/>
      <c r="AB37" s="759"/>
      <c r="AC37" s="759"/>
    </row>
    <row r="38" spans="1:29" ht="1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45" t="str">
        <f>A38</f>
        <v>比较价值（元/平方米）</v>
      </c>
      <c r="Q38" s="3245"/>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 thickBot="1">
      <c r="A39" s="492" t="s">
        <v>2712</v>
      </c>
      <c r="B39" s="493"/>
      <c r="C39" s="1416" t="e">
        <f>R39</f>
        <v>#DIV/0!</v>
      </c>
      <c r="D39" s="1416"/>
      <c r="E39" s="1416"/>
      <c r="F39" s="1416"/>
      <c r="G39" s="1416"/>
      <c r="H39" s="1416"/>
      <c r="I39" s="1416"/>
      <c r="J39" s="1416"/>
      <c r="K39" s="621"/>
      <c r="L39" s="1142"/>
      <c r="M39" s="1143"/>
      <c r="N39" s="1143"/>
      <c r="O39" s="1143"/>
      <c r="P39" s="3247" t="str">
        <f>A39</f>
        <v>估价对象XX用房的比较价值（楼面单价，元/平方米）</v>
      </c>
      <c r="Q39" s="3248"/>
      <c r="R39" s="3249" t="e">
        <f>IF(F1="售价",ROUND(AVERAGE(R38:V38),0),ROUND(AVERAGE(R38:V38),1))</f>
        <v>#DIV/0!</v>
      </c>
      <c r="S39" s="3249"/>
      <c r="T39" s="3249"/>
      <c r="U39" s="3249"/>
      <c r="V39" s="3249"/>
      <c r="W39" s="3249"/>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2717</v>
      </c>
      <c r="B48" s="506"/>
      <c r="C48" s="1572" t="str">
        <f>YEAR(C7)&amp;"-"&amp;MONTH(C7)</f>
        <v>2019-9</v>
      </c>
      <c r="D48" s="1573">
        <f>EDATE(C48,-1)</f>
        <v>43678</v>
      </c>
      <c r="E48" s="1573">
        <f t="shared" ref="E48:O48" si="13">EDATE(D48,-1)</f>
        <v>43647</v>
      </c>
      <c r="F48" s="1573">
        <f t="shared" si="13"/>
        <v>43617</v>
      </c>
      <c r="G48" s="1573">
        <f t="shared" si="13"/>
        <v>43586</v>
      </c>
      <c r="H48" s="1573">
        <f t="shared" si="13"/>
        <v>43556</v>
      </c>
      <c r="I48" s="1573">
        <f t="shared" si="13"/>
        <v>43525</v>
      </c>
      <c r="J48" s="1573">
        <f t="shared" si="13"/>
        <v>43497</v>
      </c>
      <c r="K48" s="1573">
        <f t="shared" si="13"/>
        <v>43466</v>
      </c>
      <c r="L48" s="1573">
        <f t="shared" si="13"/>
        <v>43435</v>
      </c>
      <c r="M48" s="1573">
        <f t="shared" si="13"/>
        <v>43405</v>
      </c>
      <c r="N48" s="1573">
        <f t="shared" si="13"/>
        <v>43374</v>
      </c>
      <c r="O48" s="1573">
        <f t="shared" si="13"/>
        <v>43344</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2696</v>
      </c>
      <c r="B1" s="1617"/>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7" t="e">
        <f ca="1">IF(C2="——",ROUND(C37*D3/10000,0),ROUND(C37*D3/10000,0)-D2)</f>
        <v>#DIV/0!</v>
      </c>
      <c r="C2" s="2581"/>
      <c r="D2" s="1123" t="e">
        <f ca="1">SUMIF(INDIRECT("'"&amp;F2&amp;"'"&amp;"!A:A"),"承租人权益价值",INDIRECT("'"&amp;F2&amp;"'"&amp;"!c:c"))</f>
        <v>#REF!</v>
      </c>
      <c r="E2" s="2582" t="s">
        <v>2320</v>
      </c>
      <c r="F2" s="2583"/>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2634</v>
      </c>
      <c r="B4" s="402"/>
      <c r="C4" s="3205" t="s">
        <v>2635</v>
      </c>
      <c r="D4" s="3206"/>
      <c r="E4" s="3207" t="s">
        <v>2636</v>
      </c>
      <c r="F4" s="3208"/>
      <c r="G4" s="3205" t="s">
        <v>2637</v>
      </c>
      <c r="H4" s="3206"/>
      <c r="I4" s="3205" t="s">
        <v>2638</v>
      </c>
      <c r="J4" s="3206"/>
      <c r="K4" s="610" t="s">
        <v>2639</v>
      </c>
      <c r="L4" s="1129"/>
      <c r="M4" s="1130"/>
      <c r="N4" s="1130"/>
      <c r="O4" s="1130"/>
      <c r="P4" s="3209" t="s">
        <v>2640</v>
      </c>
      <c r="Q4" s="3210"/>
      <c r="R4" s="3215" t="s">
        <v>2636</v>
      </c>
      <c r="S4" s="3216"/>
      <c r="T4" s="3215" t="s">
        <v>2637</v>
      </c>
      <c r="U4" s="3216"/>
      <c r="V4" s="3231" t="s">
        <v>2638</v>
      </c>
      <c r="W4" s="3231"/>
      <c r="X4" s="1811"/>
      <c r="Y4" s="3215" t="s">
        <v>2640</v>
      </c>
      <c r="Z4" s="3216"/>
      <c r="AA4" s="3202" t="s">
        <v>2636</v>
      </c>
      <c r="AB4" s="3203" t="s">
        <v>2637</v>
      </c>
      <c r="AC4" s="3202" t="s">
        <v>2638</v>
      </c>
    </row>
    <row r="5" spans="1:29">
      <c r="A5" s="404"/>
      <c r="B5" s="405"/>
      <c r="C5" s="3250" t="s">
        <v>2531</v>
      </c>
      <c r="D5" s="3220"/>
      <c r="E5" s="3251" t="s">
        <v>2532</v>
      </c>
      <c r="F5" s="3222"/>
      <c r="G5" s="3250" t="s">
        <v>2533</v>
      </c>
      <c r="H5" s="3220"/>
      <c r="I5" s="3250" t="s">
        <v>2534</v>
      </c>
      <c r="J5" s="3220"/>
      <c r="K5" s="610"/>
      <c r="L5" s="1129"/>
      <c r="M5" s="1130"/>
      <c r="N5" s="1130"/>
      <c r="O5" s="1130"/>
      <c r="P5" s="3211"/>
      <c r="Q5" s="3212"/>
      <c r="R5" s="3217"/>
      <c r="S5" s="3218"/>
      <c r="T5" s="3217"/>
      <c r="U5" s="3218"/>
      <c r="V5" s="3231"/>
      <c r="W5" s="3231"/>
      <c r="X5" s="1811"/>
      <c r="Y5" s="3217"/>
      <c r="Z5" s="3218"/>
      <c r="AA5" s="3203"/>
      <c r="AB5" s="3203"/>
      <c r="AC5" s="3203"/>
    </row>
    <row r="6" spans="1:29" ht="15" thickBot="1">
      <c r="A6" s="406"/>
      <c r="B6" s="407"/>
      <c r="C6" s="3224" t="s">
        <v>2535</v>
      </c>
      <c r="D6" s="3225"/>
      <c r="E6" s="3226" t="s">
        <v>2535</v>
      </c>
      <c r="F6" s="3227"/>
      <c r="G6" s="3224" t="s">
        <v>2535</v>
      </c>
      <c r="H6" s="3225"/>
      <c r="I6" s="3224" t="s">
        <v>2535</v>
      </c>
      <c r="J6" s="3225"/>
      <c r="K6" s="610" t="s">
        <v>2536</v>
      </c>
      <c r="L6" s="1129"/>
      <c r="M6" s="1130"/>
      <c r="N6" s="1130"/>
      <c r="O6" s="1130"/>
      <c r="P6" s="3213"/>
      <c r="Q6" s="3214"/>
      <c r="R6" s="3217"/>
      <c r="S6" s="3218"/>
      <c r="T6" s="3229"/>
      <c r="U6" s="3230"/>
      <c r="V6" s="3231"/>
      <c r="W6" s="3231"/>
      <c r="X6" s="1811"/>
      <c r="Y6" s="3229"/>
      <c r="Z6" s="3230"/>
      <c r="AA6" s="3204"/>
      <c r="AB6" s="3204"/>
      <c r="AC6" s="3204"/>
    </row>
    <row r="7" spans="1:29" s="117" customFormat="1" ht="15" thickBot="1">
      <c r="A7" s="408" t="s">
        <v>2537</v>
      </c>
      <c r="B7" s="409"/>
      <c r="C7" s="410">
        <f>'数据-取费表'!B2</f>
        <v>43725</v>
      </c>
      <c r="D7" s="411">
        <v>100</v>
      </c>
      <c r="E7" s="412"/>
      <c r="F7" s="413">
        <f>SUMIF(46:46,YEAR(E7)&amp;"-"&amp;MONTH(E7),47:47)</f>
        <v>0</v>
      </c>
      <c r="G7" s="2689"/>
      <c r="H7" s="411">
        <f>SUMIF(46:46,YEAR(G7)&amp;"-"&amp;MONTH(G7),47:47)</f>
        <v>0</v>
      </c>
      <c r="I7" s="412"/>
      <c r="J7" s="411">
        <f>SUMIF(46:46,YEAR(I7)&amp;"-"&amp;MONTH(I7),47:47)</f>
        <v>0</v>
      </c>
      <c r="K7" s="611"/>
      <c r="L7" s="1131"/>
      <c r="M7" s="1132"/>
      <c r="N7" s="1132"/>
      <c r="O7" s="1132"/>
      <c r="P7" s="3232" t="s">
        <v>2538</v>
      </c>
      <c r="Q7" s="3233"/>
      <c r="R7" s="770" t="s">
        <v>17</v>
      </c>
      <c r="S7" s="771">
        <f t="shared" ref="S7:S14" si="0">F7</f>
        <v>0</v>
      </c>
      <c r="T7" s="770" t="s">
        <v>17</v>
      </c>
      <c r="U7" s="771">
        <f t="shared" ref="U7:U14" si="1">H7</f>
        <v>0</v>
      </c>
      <c r="V7" s="770" t="s">
        <v>17</v>
      </c>
      <c r="W7" s="771">
        <f t="shared" ref="W7:W14" si="2">J7</f>
        <v>0</v>
      </c>
      <c r="X7" s="772"/>
      <c r="Y7" s="3232" t="s">
        <v>2538</v>
      </c>
      <c r="Z7" s="3234"/>
      <c r="AA7" s="773" t="e">
        <f>D7/F7</f>
        <v>#DIV/0!</v>
      </c>
      <c r="AB7" s="773" t="e">
        <f>D7/H7</f>
        <v>#DIV/0!</v>
      </c>
      <c r="AC7" s="773" t="e">
        <f>D7/J7</f>
        <v>#DIV/0!</v>
      </c>
    </row>
    <row r="8" spans="1:29" s="117" customFormat="1" ht="1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32" t="s">
        <v>2541</v>
      </c>
      <c r="Q8" s="3234"/>
      <c r="R8" s="770" t="s">
        <v>17</v>
      </c>
      <c r="S8" s="771">
        <f t="shared" si="0"/>
        <v>0</v>
      </c>
      <c r="T8" s="770" t="s">
        <v>17</v>
      </c>
      <c r="U8" s="771">
        <f t="shared" si="1"/>
        <v>0</v>
      </c>
      <c r="V8" s="770" t="s">
        <v>17</v>
      </c>
      <c r="W8" s="771">
        <f t="shared" si="2"/>
        <v>0</v>
      </c>
      <c r="X8" s="772"/>
      <c r="Y8" s="3232" t="s">
        <v>2541</v>
      </c>
      <c r="Z8" s="3234"/>
      <c r="AA8" s="773" t="e">
        <f t="shared" ref="AA8:AA34" si="3">D8/F8</f>
        <v>#DIV/0!</v>
      </c>
      <c r="AB8" s="773" t="e">
        <f t="shared" ref="AB8:AB34" si="4">D8/H8</f>
        <v>#DIV/0!</v>
      </c>
      <c r="AC8" s="773" t="e">
        <f t="shared" ref="AC8:AC34" si="5">D8/J8</f>
        <v>#DIV/0!</v>
      </c>
    </row>
    <row r="9" spans="1:29" s="117" customFormat="1" ht="14.4">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5" t="s">
        <v>2544</v>
      </c>
      <c r="Q9" s="1793" t="str">
        <f t="shared" ref="Q9:Q14" si="6">B9</f>
        <v>用途</v>
      </c>
      <c r="R9" s="770" t="s">
        <v>17</v>
      </c>
      <c r="S9" s="771">
        <f t="shared" si="0"/>
        <v>100</v>
      </c>
      <c r="T9" s="770" t="s">
        <v>17</v>
      </c>
      <c r="U9" s="771">
        <f t="shared" si="1"/>
        <v>100</v>
      </c>
      <c r="V9" s="770" t="s">
        <v>17</v>
      </c>
      <c r="W9" s="771">
        <f t="shared" si="2"/>
        <v>100</v>
      </c>
      <c r="X9" s="772"/>
      <c r="Y9" s="3024" t="s">
        <v>2545</v>
      </c>
      <c r="Z9" s="55" t="str">
        <f t="shared" ref="Z9:Z14" si="7">Q9</f>
        <v>用途</v>
      </c>
      <c r="AA9" s="773">
        <f t="shared" si="3"/>
        <v>1</v>
      </c>
      <c r="AB9" s="773">
        <f t="shared" si="4"/>
        <v>1</v>
      </c>
      <c r="AC9" s="773">
        <f t="shared" si="5"/>
        <v>1</v>
      </c>
    </row>
    <row r="10" spans="1:29" s="427" customFormat="1" ht="28.8">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5"/>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5"/>
      <c r="Q11" s="1793">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5"/>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428"/>
      <c r="B13" s="2594">
        <v>111</v>
      </c>
      <c r="C13" s="434"/>
      <c r="D13" s="435">
        <v>100</v>
      </c>
      <c r="E13" s="469"/>
      <c r="F13" s="425">
        <f>SUMIF(59:59,E13,60:60)-SUMIF(59:59,C13,60:60)+100</f>
        <v>100</v>
      </c>
      <c r="G13" s="2690"/>
      <c r="H13" s="438">
        <f>SUMIF(59:59,G13,60:60)-SUMIF(59:59,C13,60:60)+100</f>
        <v>100</v>
      </c>
      <c r="I13" s="469"/>
      <c r="J13" s="435">
        <f>SUMIF(59:59,I13,60:60)-SUMIF(59:59,C13,60:60)+100</f>
        <v>100</v>
      </c>
      <c r="K13" s="613"/>
      <c r="L13" s="1139"/>
      <c r="M13" s="1130"/>
      <c r="N13" s="1130"/>
      <c r="O13" s="1138"/>
      <c r="P13" s="3245"/>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40" t="s">
        <v>2548</v>
      </c>
      <c r="B14" s="69" t="s">
        <v>2698</v>
      </c>
      <c r="C14" s="2686" t="str">
        <f>IF(B1="工业",估价对象房地状况!G4,估价对象房地状况!C6)</f>
        <v>差</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8" t="s">
        <v>2549</v>
      </c>
      <c r="Q14" s="1808" t="str">
        <f t="shared" si="6"/>
        <v>交通便捷度</v>
      </c>
      <c r="R14" s="774" t="s">
        <v>17</v>
      </c>
      <c r="S14" s="775">
        <f t="shared" si="0"/>
        <v>100</v>
      </c>
      <c r="T14" s="774" t="s">
        <v>17</v>
      </c>
      <c r="U14" s="775">
        <f t="shared" si="1"/>
        <v>100</v>
      </c>
      <c r="V14" s="774" t="s">
        <v>17</v>
      </c>
      <c r="W14" s="775">
        <f t="shared" si="2"/>
        <v>100</v>
      </c>
      <c r="X14" s="1811"/>
      <c r="Y14" s="3238"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39"/>
      <c r="Q15" s="1808"/>
      <c r="R15" s="774"/>
      <c r="S15" s="775"/>
      <c r="T15" s="774"/>
      <c r="U15" s="775"/>
      <c r="V15" s="774"/>
      <c r="W15" s="775"/>
      <c r="X15" s="1811"/>
      <c r="Y15" s="3239"/>
      <c r="Z15" s="1812"/>
      <c r="AA15" s="1809">
        <v>1</v>
      </c>
      <c r="AB15" s="1809">
        <v>1</v>
      </c>
      <c r="AC15" s="1809">
        <v>1</v>
      </c>
    </row>
    <row r="16" spans="1:29" ht="15">
      <c r="A16" s="428"/>
      <c r="B16" s="451" t="s">
        <v>2677</v>
      </c>
      <c r="C16" s="2601" t="str">
        <f>IF(B1="工业",估价对象房地状况!G5,估价对象房地状况!C7)</f>
        <v>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9"/>
      <c r="Q16" s="1808" t="str">
        <f>B16</f>
        <v>公共配套设施</v>
      </c>
      <c r="R16" s="774" t="s">
        <v>17</v>
      </c>
      <c r="S16" s="775">
        <f>F16</f>
        <v>100</v>
      </c>
      <c r="T16" s="774" t="s">
        <v>17</v>
      </c>
      <c r="U16" s="775">
        <f>H16</f>
        <v>100</v>
      </c>
      <c r="V16" s="774" t="s">
        <v>17</v>
      </c>
      <c r="W16" s="775">
        <f>J16</f>
        <v>100</v>
      </c>
      <c r="X16" s="1811"/>
      <c r="Y16" s="3239"/>
      <c r="Z16" s="1812" t="str">
        <f>Q16</f>
        <v>公共配套设施</v>
      </c>
      <c r="AA16" s="1809">
        <f t="shared" si="3"/>
        <v>1</v>
      </c>
      <c r="AB16" s="1809">
        <f t="shared" si="4"/>
        <v>1</v>
      </c>
      <c r="AC16" s="1809">
        <f t="shared" si="5"/>
        <v>1</v>
      </c>
    </row>
    <row r="17" spans="1:29" ht="15">
      <c r="A17" s="428"/>
      <c r="B17" s="456"/>
      <c r="C17" s="2602"/>
      <c r="D17" s="448"/>
      <c r="E17" s="447"/>
      <c r="F17" s="449"/>
      <c r="G17" s="447"/>
      <c r="H17" s="448"/>
      <c r="I17" s="447"/>
      <c r="J17" s="448"/>
      <c r="K17" s="615"/>
      <c r="L17" s="1139"/>
      <c r="M17" s="1130"/>
      <c r="N17" s="1130"/>
      <c r="O17" s="1138"/>
      <c r="P17" s="3239"/>
      <c r="Q17" s="1808"/>
      <c r="R17" s="774"/>
      <c r="S17" s="775"/>
      <c r="T17" s="774"/>
      <c r="U17" s="775"/>
      <c r="V17" s="774"/>
      <c r="W17" s="775"/>
      <c r="X17" s="1811"/>
      <c r="Y17" s="3239"/>
      <c r="Z17" s="1812"/>
      <c r="AA17" s="1809">
        <v>1</v>
      </c>
      <c r="AB17" s="1809">
        <v>1</v>
      </c>
      <c r="AC17" s="1809">
        <v>1</v>
      </c>
    </row>
    <row r="18" spans="1:29" ht="15">
      <c r="A18" s="428"/>
      <c r="B18" s="1383" t="s">
        <v>2678</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9"/>
      <c r="Q18" s="1808" t="str">
        <f>B18</f>
        <v>基础设施水平</v>
      </c>
      <c r="R18" s="774" t="s">
        <v>17</v>
      </c>
      <c r="S18" s="775">
        <f>F18</f>
        <v>100</v>
      </c>
      <c r="T18" s="774" t="s">
        <v>17</v>
      </c>
      <c r="U18" s="775">
        <f>H18</f>
        <v>100</v>
      </c>
      <c r="V18" s="774" t="s">
        <v>17</v>
      </c>
      <c r="W18" s="775">
        <f>J18</f>
        <v>100</v>
      </c>
      <c r="X18" s="1811"/>
      <c r="Y18" s="3239"/>
      <c r="Z18" s="1812" t="str">
        <f>Q18</f>
        <v>基础设施水平</v>
      </c>
      <c r="AA18" s="1809">
        <f>D18/F18</f>
        <v>1</v>
      </c>
      <c r="AB18" s="1809">
        <f>D18/H18</f>
        <v>1</v>
      </c>
      <c r="AC18" s="1809">
        <f>D18/J18</f>
        <v>1</v>
      </c>
    </row>
    <row r="19" spans="1:29" ht="15">
      <c r="A19" s="428"/>
      <c r="B19" s="1383"/>
      <c r="C19" s="2602"/>
      <c r="D19" s="450"/>
      <c r="E19" s="2602"/>
      <c r="F19" s="453"/>
      <c r="G19" s="2602"/>
      <c r="H19" s="448"/>
      <c r="I19" s="447"/>
      <c r="J19" s="448"/>
      <c r="K19" s="1382"/>
      <c r="L19" s="1139"/>
      <c r="M19" s="1130"/>
      <c r="N19" s="1130"/>
      <c r="O19" s="1138"/>
      <c r="P19" s="3239"/>
      <c r="Q19" s="1808"/>
      <c r="R19" s="774"/>
      <c r="S19" s="775"/>
      <c r="T19" s="774"/>
      <c r="U19" s="775"/>
      <c r="V19" s="774"/>
      <c r="W19" s="775"/>
      <c r="X19" s="1811"/>
      <c r="Y19" s="3239"/>
      <c r="Z19" s="1812"/>
      <c r="AA19" s="1809">
        <v>1</v>
      </c>
      <c r="AB19" s="1809">
        <v>1</v>
      </c>
      <c r="AC19" s="1809">
        <v>1</v>
      </c>
    </row>
    <row r="20" spans="1:29" ht="15">
      <c r="A20" s="428"/>
      <c r="B20" s="451" t="s">
        <v>2699</v>
      </c>
      <c r="C20" s="2601"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9"/>
      <c r="Q20" s="1808" t="str">
        <f>B20</f>
        <v>自然及人文环境</v>
      </c>
      <c r="R20" s="774" t="s">
        <v>17</v>
      </c>
      <c r="S20" s="775">
        <f>F20</f>
        <v>100</v>
      </c>
      <c r="T20" s="774" t="s">
        <v>17</v>
      </c>
      <c r="U20" s="775">
        <f>H20</f>
        <v>100</v>
      </c>
      <c r="V20" s="774" t="s">
        <v>17</v>
      </c>
      <c r="W20" s="775">
        <f>J20</f>
        <v>100</v>
      </c>
      <c r="X20" s="1811"/>
      <c r="Y20" s="323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39"/>
      <c r="Q21" s="1808"/>
      <c r="R21" s="774"/>
      <c r="S21" s="775"/>
      <c r="T21" s="774"/>
      <c r="U21" s="775"/>
      <c r="V21" s="774"/>
      <c r="W21" s="775"/>
      <c r="X21" s="1811"/>
      <c r="Y21" s="3239"/>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9"/>
      <c r="Q22" s="1808" t="str">
        <f>B22</f>
        <v>楼层</v>
      </c>
      <c r="R22" s="774" t="s">
        <v>17</v>
      </c>
      <c r="S22" s="775">
        <f>F22</f>
        <v>100</v>
      </c>
      <c r="T22" s="774" t="s">
        <v>17</v>
      </c>
      <c r="U22" s="775">
        <f>H22</f>
        <v>100</v>
      </c>
      <c r="V22" s="774" t="s">
        <v>17</v>
      </c>
      <c r="W22" s="775">
        <f>J22</f>
        <v>100</v>
      </c>
      <c r="X22" s="1811"/>
      <c r="Y22" s="3239"/>
      <c r="Z22" s="1812" t="str">
        <f>Q22</f>
        <v>楼层</v>
      </c>
      <c r="AA22" s="1809">
        <f t="shared" si="3"/>
        <v>1</v>
      </c>
      <c r="AB22" s="1809">
        <f t="shared" si="4"/>
        <v>1</v>
      </c>
      <c r="AC22" s="1809">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9"/>
      <c r="Q23" s="1808">
        <f>B23</f>
        <v>111</v>
      </c>
      <c r="R23" s="774" t="s">
        <v>17</v>
      </c>
      <c r="S23" s="775">
        <f>F23</f>
        <v>100</v>
      </c>
      <c r="T23" s="774" t="s">
        <v>17</v>
      </c>
      <c r="U23" s="775">
        <f>H23</f>
        <v>100</v>
      </c>
      <c r="V23" s="774" t="s">
        <v>17</v>
      </c>
      <c r="W23" s="775">
        <f>J23</f>
        <v>100</v>
      </c>
      <c r="X23" s="1811"/>
      <c r="Y23" s="3239"/>
      <c r="Z23" s="1812">
        <f>Q23</f>
        <v>111</v>
      </c>
      <c r="AA23" s="1809">
        <f t="shared" si="3"/>
        <v>1</v>
      </c>
      <c r="AB23" s="1809">
        <f t="shared" si="4"/>
        <v>1</v>
      </c>
      <c r="AC23" s="1809">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9"/>
      <c r="Q24" s="1808">
        <f t="shared" ref="Q24:Q34" si="8">B24</f>
        <v>111</v>
      </c>
      <c r="R24" s="774" t="s">
        <v>17</v>
      </c>
      <c r="S24" s="775">
        <f>F24</f>
        <v>100</v>
      </c>
      <c r="T24" s="774" t="s">
        <v>17</v>
      </c>
      <c r="U24" s="775">
        <f>H24</f>
        <v>100</v>
      </c>
      <c r="V24" s="774" t="s">
        <v>17</v>
      </c>
      <c r="W24" s="775">
        <f>J24</f>
        <v>100</v>
      </c>
      <c r="X24" s="1811"/>
      <c r="Y24" s="3239"/>
      <c r="Z24" s="1812">
        <f>Q24</f>
        <v>111</v>
      </c>
      <c r="AA24" s="1809">
        <f t="shared" si="3"/>
        <v>1</v>
      </c>
      <c r="AB24" s="1809">
        <f t="shared" si="4"/>
        <v>1</v>
      </c>
      <c r="AC24" s="1809">
        <f t="shared" si="5"/>
        <v>1</v>
      </c>
    </row>
    <row r="25" spans="1:29" s="117" customFormat="1" ht="15.6" thickBot="1">
      <c r="A25" s="431"/>
      <c r="B25" s="2594">
        <v>111</v>
      </c>
      <c r="C25" s="2691"/>
      <c r="D25" s="665">
        <v>100</v>
      </c>
      <c r="E25" s="2691"/>
      <c r="F25" s="666">
        <f>SUMIF(75:75,E25,76:76)-SUMIF(75:75,C25,76:76)+100</f>
        <v>100</v>
      </c>
      <c r="G25" s="2691"/>
      <c r="H25" s="665">
        <f>SUMIF(75:75,G25,76:76)-SUMIF(75:75,C25,76:76)+100</f>
        <v>100</v>
      </c>
      <c r="I25" s="2691"/>
      <c r="J25" s="665">
        <f>SUMIF(75:75,I25,76:76)-SUMIF(75:75,C25,76:76)+100</f>
        <v>100</v>
      </c>
      <c r="K25" s="613"/>
      <c r="L25" s="1131"/>
      <c r="M25" s="1132"/>
      <c r="N25" s="1132"/>
      <c r="O25" s="1133"/>
      <c r="P25" s="3239"/>
      <c r="Q25" s="1793">
        <f t="shared" si="8"/>
        <v>111</v>
      </c>
      <c r="R25" s="770" t="s">
        <v>17</v>
      </c>
      <c r="S25" s="771">
        <f>F25</f>
        <v>100</v>
      </c>
      <c r="T25" s="770" t="s">
        <v>17</v>
      </c>
      <c r="U25" s="771">
        <f>H25</f>
        <v>100</v>
      </c>
      <c r="V25" s="770" t="s">
        <v>17</v>
      </c>
      <c r="W25" s="771">
        <f>J25</f>
        <v>100</v>
      </c>
      <c r="X25" s="772"/>
      <c r="Y25" s="3239"/>
      <c r="Z25" s="55">
        <f>Q25</f>
        <v>111</v>
      </c>
      <c r="AA25" s="1809">
        <f>D25/F25</f>
        <v>1</v>
      </c>
      <c r="AB25" s="1809">
        <f>D25/H25</f>
        <v>1</v>
      </c>
      <c r="AC25" s="1809">
        <f>D25/J25</f>
        <v>1</v>
      </c>
    </row>
    <row r="26" spans="1:29" ht="30">
      <c r="A26" s="466" t="s">
        <v>2552</v>
      </c>
      <c r="B26" s="71" t="s">
        <v>2703</v>
      </c>
      <c r="C26" s="2672"/>
      <c r="D26" s="467">
        <v>100</v>
      </c>
      <c r="E26" s="2672"/>
      <c r="F26" s="667">
        <f>SUMIF(77:77,E26,78:78)-SUMIF(77:77,C26,78:78)+100</f>
        <v>100</v>
      </c>
      <c r="G26" s="2672"/>
      <c r="H26" s="467">
        <f>SUMIF(77:77,G26,78:78)-SUMIF(77:77,C26,78:78)+100</f>
        <v>100</v>
      </c>
      <c r="I26" s="2672"/>
      <c r="J26" s="467">
        <f>SUMIF(77:77,I26,78:78)-SUMIF(77:77,C26,78:78)+100</f>
        <v>100</v>
      </c>
      <c r="K26" s="612"/>
      <c r="L26" s="1139"/>
      <c r="M26" s="1130"/>
      <c r="N26" s="1130"/>
      <c r="O26" s="1138"/>
      <c r="P26" s="3267" t="s">
        <v>2554</v>
      </c>
      <c r="Q26" s="1808" t="str">
        <f t="shared" si="8"/>
        <v>公共部分装修</v>
      </c>
      <c r="R26" s="774" t="s">
        <v>17</v>
      </c>
      <c r="S26" s="775">
        <f t="shared" ref="S26:S34" si="9">F26</f>
        <v>100</v>
      </c>
      <c r="T26" s="774" t="s">
        <v>17</v>
      </c>
      <c r="U26" s="775">
        <f t="shared" ref="U26:U34" si="10">H26</f>
        <v>100</v>
      </c>
      <c r="V26" s="774" t="s">
        <v>17</v>
      </c>
      <c r="W26" s="775">
        <f t="shared" ref="W26:W34" si="11">J26</f>
        <v>100</v>
      </c>
      <c r="X26" s="1811"/>
      <c r="Y26" s="3243" t="s">
        <v>2554</v>
      </c>
      <c r="Z26" s="1812" t="str">
        <f t="shared" ref="Z26:Z34" si="12">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3"/>
      <c r="Q27" s="776" t="str">
        <f t="shared" si="8"/>
        <v>成新率</v>
      </c>
      <c r="R27" s="777" t="s">
        <v>17</v>
      </c>
      <c r="S27" s="778" t="e">
        <f t="shared" si="9"/>
        <v>#N/A</v>
      </c>
      <c r="T27" s="777" t="s">
        <v>17</v>
      </c>
      <c r="U27" s="778" t="e">
        <f t="shared" si="10"/>
        <v>#N/A</v>
      </c>
      <c r="V27" s="777" t="s">
        <v>17</v>
      </c>
      <c r="W27" s="778" t="e">
        <f t="shared" si="11"/>
        <v>#N/A</v>
      </c>
      <c r="X27" s="779"/>
      <c r="Y27" s="3243"/>
      <c r="Z27" s="780" t="str">
        <f t="shared" si="12"/>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3"/>
      <c r="Q28" s="1808" t="str">
        <f t="shared" si="8"/>
        <v>物业等级</v>
      </c>
      <c r="R28" s="774" t="s">
        <v>17</v>
      </c>
      <c r="S28" s="775">
        <f t="shared" si="9"/>
        <v>100</v>
      </c>
      <c r="T28" s="774" t="s">
        <v>17</v>
      </c>
      <c r="U28" s="775">
        <f t="shared" si="10"/>
        <v>100</v>
      </c>
      <c r="V28" s="774" t="s">
        <v>17</v>
      </c>
      <c r="W28" s="775">
        <f t="shared" si="11"/>
        <v>100</v>
      </c>
      <c r="X28" s="1811"/>
      <c r="Y28" s="3243"/>
      <c r="Z28" s="1812" t="str">
        <f t="shared" si="12"/>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3"/>
      <c r="Q29" s="1808" t="str">
        <f t="shared" si="8"/>
        <v>有无电梯</v>
      </c>
      <c r="R29" s="774" t="s">
        <v>17</v>
      </c>
      <c r="S29" s="775">
        <f t="shared" si="9"/>
        <v>100</v>
      </c>
      <c r="T29" s="774" t="s">
        <v>17</v>
      </c>
      <c r="U29" s="775">
        <f t="shared" si="10"/>
        <v>100</v>
      </c>
      <c r="V29" s="774" t="s">
        <v>17</v>
      </c>
      <c r="W29" s="775">
        <f t="shared" si="11"/>
        <v>100</v>
      </c>
      <c r="X29" s="1811"/>
      <c r="Y29" s="3243"/>
      <c r="Z29" s="1812" t="str">
        <f t="shared" si="12"/>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3"/>
      <c r="Q30" s="1808" t="str">
        <f t="shared" si="8"/>
        <v>建筑面积</v>
      </c>
      <c r="R30" s="774" t="s">
        <v>17</v>
      </c>
      <c r="S30" s="775" t="e">
        <f t="shared" si="9"/>
        <v>#N/A</v>
      </c>
      <c r="T30" s="774" t="s">
        <v>17</v>
      </c>
      <c r="U30" s="775" t="e">
        <f t="shared" si="10"/>
        <v>#N/A</v>
      </c>
      <c r="V30" s="774" t="s">
        <v>17</v>
      </c>
      <c r="W30" s="775" t="e">
        <f t="shared" si="11"/>
        <v>#N/A</v>
      </c>
      <c r="X30" s="1811"/>
      <c r="Y30" s="3243"/>
      <c r="Z30" s="1812" t="str">
        <f t="shared" si="12"/>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3"/>
      <c r="Q31" s="1793" t="str">
        <f t="shared" si="8"/>
        <v>是否封闭</v>
      </c>
      <c r="R31" s="770" t="s">
        <v>17</v>
      </c>
      <c r="S31" s="771">
        <f t="shared" si="9"/>
        <v>100</v>
      </c>
      <c r="T31" s="770" t="s">
        <v>17</v>
      </c>
      <c r="U31" s="771">
        <f t="shared" si="10"/>
        <v>100</v>
      </c>
      <c r="V31" s="770" t="s">
        <v>17</v>
      </c>
      <c r="W31" s="771">
        <f t="shared" si="11"/>
        <v>100</v>
      </c>
      <c r="X31" s="772"/>
      <c r="Y31" s="3243"/>
      <c r="Z31" s="55" t="str">
        <f t="shared" si="12"/>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3" t="s">
        <v>2554</v>
      </c>
      <c r="Q32" s="1808">
        <f t="shared" si="8"/>
        <v>111</v>
      </c>
      <c r="R32" s="774" t="s">
        <v>17</v>
      </c>
      <c r="S32" s="775">
        <f t="shared" si="9"/>
        <v>100</v>
      </c>
      <c r="T32" s="774" t="s">
        <v>17</v>
      </c>
      <c r="U32" s="775">
        <f t="shared" si="10"/>
        <v>100</v>
      </c>
      <c r="V32" s="774" t="s">
        <v>17</v>
      </c>
      <c r="W32" s="775">
        <f t="shared" si="11"/>
        <v>100</v>
      </c>
      <c r="X32" s="1811"/>
      <c r="Y32" s="3243" t="s">
        <v>2554</v>
      </c>
      <c r="Z32" s="1812">
        <f t="shared" si="12"/>
        <v>111</v>
      </c>
      <c r="AA32" s="1809">
        <f t="shared" si="3"/>
        <v>1</v>
      </c>
      <c r="AB32" s="1809">
        <f t="shared" si="4"/>
        <v>1</v>
      </c>
      <c r="AC32" s="1809">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3"/>
      <c r="Q33" s="1808">
        <f t="shared" si="8"/>
        <v>111</v>
      </c>
      <c r="R33" s="774" t="s">
        <v>17</v>
      </c>
      <c r="S33" s="775">
        <f t="shared" si="9"/>
        <v>100</v>
      </c>
      <c r="T33" s="774" t="s">
        <v>17</v>
      </c>
      <c r="U33" s="775">
        <f t="shared" si="10"/>
        <v>100</v>
      </c>
      <c r="V33" s="774" t="s">
        <v>17</v>
      </c>
      <c r="W33" s="775">
        <f t="shared" si="11"/>
        <v>100</v>
      </c>
      <c r="X33" s="1811"/>
      <c r="Y33" s="3243"/>
      <c r="Z33" s="1812">
        <f t="shared" si="12"/>
        <v>111</v>
      </c>
      <c r="AA33" s="1809">
        <f t="shared" si="3"/>
        <v>1</v>
      </c>
      <c r="AB33" s="1809">
        <f t="shared" si="4"/>
        <v>1</v>
      </c>
      <c r="AC33" s="1809">
        <f t="shared" si="5"/>
        <v>1</v>
      </c>
    </row>
    <row r="34" spans="1:29" ht="15.6" thickBot="1">
      <c r="A34" s="478"/>
      <c r="B34" s="2596">
        <v>111</v>
      </c>
      <c r="C34" s="437"/>
      <c r="D34" s="438">
        <v>100</v>
      </c>
      <c r="E34" s="2690"/>
      <c r="F34" s="439">
        <f>SUMIF(95:95,E34,96:96)-SUMIF(95:95,C34,96:96)+100</f>
        <v>100</v>
      </c>
      <c r="G34" s="2690"/>
      <c r="H34" s="438">
        <f>SUMIF(95:95,G34,96:96)-SUMIF(95:95,C34,96:96)+100</f>
        <v>100</v>
      </c>
      <c r="I34" s="2690"/>
      <c r="J34" s="438">
        <f>SUMIF(95:95,I34,96:96)-SUMIF(95:95,C34,96:96)+100</f>
        <v>100</v>
      </c>
      <c r="K34" s="613"/>
      <c r="L34" s="1139"/>
      <c r="M34" s="1130"/>
      <c r="N34" s="1130"/>
      <c r="O34" s="1138"/>
      <c r="P34" s="3243"/>
      <c r="Q34" s="1808">
        <f t="shared" si="8"/>
        <v>111</v>
      </c>
      <c r="R34" s="774" t="s">
        <v>17</v>
      </c>
      <c r="S34" s="775">
        <f t="shared" si="9"/>
        <v>100</v>
      </c>
      <c r="T34" s="774" t="s">
        <v>17</v>
      </c>
      <c r="U34" s="775">
        <f t="shared" si="10"/>
        <v>100</v>
      </c>
      <c r="V34" s="774" t="s">
        <v>17</v>
      </c>
      <c r="W34" s="775">
        <f t="shared" si="11"/>
        <v>100</v>
      </c>
      <c r="X34" s="1811"/>
      <c r="Y34" s="3243"/>
      <c r="Z34" s="1812">
        <f t="shared" si="12"/>
        <v>111</v>
      </c>
      <c r="AA34" s="1809">
        <f t="shared" si="3"/>
        <v>1</v>
      </c>
      <c r="AB34" s="1809">
        <f t="shared" si="4"/>
        <v>1</v>
      </c>
      <c r="AC34" s="1809">
        <f t="shared" si="5"/>
        <v>1</v>
      </c>
    </row>
    <row r="35" spans="1:29" ht="14.4">
      <c r="A35" s="479" t="s">
        <v>2566</v>
      </c>
      <c r="B35" s="480"/>
      <c r="C35" s="1406" t="s">
        <v>1</v>
      </c>
      <c r="D35" s="1407"/>
      <c r="E35" s="1408"/>
      <c r="F35" s="1409"/>
      <c r="G35" s="1410"/>
      <c r="H35" s="1411"/>
      <c r="I35" s="1408"/>
      <c r="J35" s="1411"/>
      <c r="K35" s="783"/>
      <c r="L35" s="1142"/>
      <c r="M35" s="1143"/>
      <c r="N35" s="1130"/>
      <c r="O35" s="1143"/>
      <c r="P35" s="3245" t="str">
        <f>A35</f>
        <v>成交单价（元/平方米）</v>
      </c>
      <c r="Q35" s="3245"/>
      <c r="R35" s="3246">
        <f>E35</f>
        <v>0</v>
      </c>
      <c r="S35" s="3246"/>
      <c r="T35" s="3246">
        <f>G35</f>
        <v>0</v>
      </c>
      <c r="U35" s="3246"/>
      <c r="V35" s="3246">
        <f>I35</f>
        <v>0</v>
      </c>
      <c r="W35" s="3246"/>
      <c r="X35" s="759"/>
      <c r="Y35" s="781"/>
      <c r="Z35" s="759"/>
      <c r="AA35" s="759"/>
      <c r="AB35" s="759"/>
      <c r="AC35" s="759"/>
    </row>
    <row r="36" spans="1:29" ht="15" thickBot="1">
      <c r="A36" s="486" t="s">
        <v>2658</v>
      </c>
      <c r="B36" s="487"/>
      <c r="C36" s="1412" t="e">
        <f>R37</f>
        <v>#DIV/0!</v>
      </c>
      <c r="D36" s="1413"/>
      <c r="E36" s="1414" t="e">
        <f>R36</f>
        <v>#DIV/0!</v>
      </c>
      <c r="F36" s="1414"/>
      <c r="G36" s="1412" t="e">
        <f>T36</f>
        <v>#DIV/0!</v>
      </c>
      <c r="H36" s="1413"/>
      <c r="I36" s="1414" t="e">
        <f>V36</f>
        <v>#DIV/0!</v>
      </c>
      <c r="J36" s="1413"/>
      <c r="K36" s="784"/>
      <c r="L36" s="1142"/>
      <c r="M36" s="1143"/>
      <c r="N36" s="1130"/>
      <c r="O36" s="1143"/>
      <c r="P36" s="3245" t="str">
        <f>A36</f>
        <v>比较价值（元/平方米）</v>
      </c>
      <c r="Q36" s="3245"/>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 thickBot="1">
      <c r="A37" s="492" t="s">
        <v>2659</v>
      </c>
      <c r="B37" s="493"/>
      <c r="C37" s="1416" t="e">
        <f>R37</f>
        <v>#DIV/0!</v>
      </c>
      <c r="D37" s="1416"/>
      <c r="E37" s="1416"/>
      <c r="F37" s="1416"/>
      <c r="G37" s="1416"/>
      <c r="H37" s="1416"/>
      <c r="I37" s="1416"/>
      <c r="J37" s="1416"/>
      <c r="K37" s="785"/>
      <c r="L37" s="1142"/>
      <c r="M37" s="1143"/>
      <c r="N37" s="1143"/>
      <c r="O37" s="1143"/>
      <c r="P37" s="3247" t="str">
        <f>A37</f>
        <v>估价对象XX用房的比较价值（楼面单价，元/平方米）</v>
      </c>
      <c r="Q37" s="3248"/>
      <c r="R37" s="3249" t="e">
        <f>IF(F1="售价",ROUND(AVERAGE(R36:V36),0),ROUND(AVERAGE(R36:V36),1))</f>
        <v>#DIV/0!</v>
      </c>
      <c r="S37" s="3249"/>
      <c r="T37" s="3249"/>
      <c r="U37" s="3249"/>
      <c r="V37" s="3249"/>
      <c r="W37" s="3249"/>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3" t="s">
        <v>2663</v>
      </c>
      <c r="B45" s="759"/>
      <c r="C45" s="764"/>
      <c r="D45" s="764"/>
      <c r="E45" s="764"/>
      <c r="F45" s="765"/>
      <c r="G45" s="765"/>
      <c r="H45" s="764"/>
      <c r="I45" s="764"/>
      <c r="J45" s="764"/>
      <c r="K45" s="766"/>
      <c r="L45" s="767"/>
      <c r="M45" s="764"/>
      <c r="N45" s="764"/>
      <c r="O45" s="764"/>
      <c r="P45" s="503"/>
      <c r="Q45" s="504"/>
    </row>
    <row r="46" spans="1:29" s="508" customFormat="1" ht="14.4">
      <c r="A46" s="505" t="s">
        <v>2537</v>
      </c>
      <c r="B46" s="506"/>
      <c r="C46" s="1572" t="str">
        <f>YEAR(C7)&amp;"-"&amp;MONTH(C7)</f>
        <v>2019-9</v>
      </c>
      <c r="D46" s="1573">
        <f>EDATE(C46,-1)</f>
        <v>43678</v>
      </c>
      <c r="E46" s="1573">
        <f t="shared" ref="E46:O46" si="13">EDATE(D46,-1)</f>
        <v>43647</v>
      </c>
      <c r="F46" s="1573">
        <f t="shared" si="13"/>
        <v>43617</v>
      </c>
      <c r="G46" s="1573">
        <f t="shared" si="13"/>
        <v>43586</v>
      </c>
      <c r="H46" s="1573">
        <f t="shared" si="13"/>
        <v>43556</v>
      </c>
      <c r="I46" s="1573">
        <f t="shared" si="13"/>
        <v>43525</v>
      </c>
      <c r="J46" s="1573">
        <f t="shared" si="13"/>
        <v>43497</v>
      </c>
      <c r="K46" s="1573">
        <f t="shared" si="13"/>
        <v>43466</v>
      </c>
      <c r="L46" s="1573">
        <f t="shared" si="13"/>
        <v>43435</v>
      </c>
      <c r="M46" s="1573">
        <f t="shared" si="13"/>
        <v>43405</v>
      </c>
      <c r="N46" s="1573">
        <f t="shared" si="13"/>
        <v>43374</v>
      </c>
      <c r="O46" s="1573">
        <f t="shared" si="13"/>
        <v>43344</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2574</v>
      </c>
      <c r="B48" s="516"/>
      <c r="C48" s="517"/>
      <c r="D48" s="518"/>
      <c r="E48" s="518"/>
      <c r="F48" s="518"/>
      <c r="G48" s="518"/>
      <c r="H48" s="518"/>
      <c r="I48" s="518"/>
      <c r="J48" s="518"/>
      <c r="K48" s="518"/>
      <c r="L48" s="518"/>
      <c r="M48" s="519"/>
      <c r="N48" s="518"/>
      <c r="O48" s="520"/>
      <c r="P48" s="504"/>
      <c r="Q48" s="504"/>
    </row>
    <row r="49" spans="1:17" s="117" customFormat="1" ht="14.4">
      <c r="A49" s="521" t="s">
        <v>2539</v>
      </c>
      <c r="B49" s="510"/>
      <c r="C49" s="522" t="s">
        <v>2641</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2577</v>
      </c>
      <c r="B51" s="528" t="s">
        <v>2543</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2718</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2"/>
      <c r="O78" s="1152"/>
      <c r="P78" s="45"/>
      <c r="Q78" s="504"/>
    </row>
    <row r="79" spans="1:17" ht="1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2"/>
      <c r="O85" s="1152"/>
      <c r="P85" s="45"/>
      <c r="Q85" s="504"/>
    </row>
    <row r="86" spans="1:17" ht="15" thickTop="1">
      <c r="A86" s="599"/>
      <c r="B86" s="546" t="s">
        <v>2731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7" sqref="M17"/>
    </sheetView>
  </sheetViews>
  <sheetFormatPr defaultColWidth="9" defaultRowHeight="13.8"/>
  <cols>
    <col min="1" max="1" width="14.33203125" style="403" customWidth="1"/>
    <col min="2" max="2" width="15.77734375" style="403" customWidth="1"/>
    <col min="3" max="3" width="18"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9.8867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8483</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5668</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4.4">
      <c r="A4" s="401" t="s">
        <v>2634</v>
      </c>
      <c r="B4" s="402"/>
      <c r="C4" s="3205" t="s">
        <v>2635</v>
      </c>
      <c r="D4" s="3206"/>
      <c r="E4" s="3207" t="s">
        <v>2636</v>
      </c>
      <c r="F4" s="3208"/>
      <c r="G4" s="3205" t="s">
        <v>2637</v>
      </c>
      <c r="H4" s="3206"/>
      <c r="I4" s="3205" t="s">
        <v>2638</v>
      </c>
      <c r="J4" s="3206"/>
      <c r="K4" s="610" t="s">
        <v>2639</v>
      </c>
      <c r="L4" s="1129"/>
      <c r="M4" s="1130"/>
      <c r="N4" s="1130"/>
      <c r="O4" s="1130"/>
      <c r="P4" s="3209" t="s">
        <v>2640</v>
      </c>
      <c r="Q4" s="3210"/>
      <c r="R4" s="3215" t="s">
        <v>2636</v>
      </c>
      <c r="S4" s="3216"/>
      <c r="T4" s="3215" t="s">
        <v>2637</v>
      </c>
      <c r="U4" s="3216"/>
      <c r="V4" s="3231" t="s">
        <v>2638</v>
      </c>
      <c r="W4" s="3231"/>
      <c r="X4" s="1811"/>
      <c r="Y4" s="3215" t="s">
        <v>2640</v>
      </c>
      <c r="Z4" s="3216"/>
      <c r="AA4" s="3202" t="s">
        <v>2636</v>
      </c>
      <c r="AB4" s="3203" t="s">
        <v>2637</v>
      </c>
      <c r="AC4" s="3202" t="s">
        <v>2638</v>
      </c>
    </row>
    <row r="5" spans="1:30">
      <c r="A5" s="404"/>
      <c r="B5" s="405"/>
      <c r="C5" s="3219" t="str">
        <f>项目基本情况!F10</f>
        <v>滨海新区中心渔港经济区鲤鱼门路以东、海湾一道以南4-1、4-2#地块</v>
      </c>
      <c r="D5" s="3220"/>
      <c r="E5" s="3251" t="str">
        <f>土地案例!A9</f>
        <v>生态城中部片区</v>
      </c>
      <c r="F5" s="3222"/>
      <c r="G5" s="3250" t="str">
        <f>土地案例!A47</f>
        <v>生态城中部片区</v>
      </c>
      <c r="H5" s="3220"/>
      <c r="I5" s="3250" t="str">
        <f>土地案例!A50</f>
        <v>中新天津生态城(原旅游区区域内)</v>
      </c>
      <c r="J5" s="3220"/>
      <c r="K5" s="610"/>
      <c r="L5" s="1129"/>
      <c r="M5" s="1130"/>
      <c r="N5" s="1130"/>
      <c r="O5" s="1130"/>
      <c r="P5" s="3211"/>
      <c r="Q5" s="3212"/>
      <c r="R5" s="3217"/>
      <c r="S5" s="3218"/>
      <c r="T5" s="3217"/>
      <c r="U5" s="3218"/>
      <c r="V5" s="3231"/>
      <c r="W5" s="3231"/>
      <c r="X5" s="1811"/>
      <c r="Y5" s="3217"/>
      <c r="Z5" s="3218"/>
      <c r="AA5" s="3203"/>
      <c r="AB5" s="3203"/>
      <c r="AC5" s="3203"/>
    </row>
    <row r="6" spans="1:30" ht="15" thickBot="1">
      <c r="A6" s="406"/>
      <c r="B6" s="407"/>
      <c r="C6" s="3228" t="s">
        <v>3400</v>
      </c>
      <c r="D6" s="3225"/>
      <c r="E6" s="3226" t="str">
        <f>C6</f>
        <v>天津市滨海新区生态城</v>
      </c>
      <c r="F6" s="3227"/>
      <c r="G6" s="3224" t="str">
        <f>C6</f>
        <v>天津市滨海新区生态城</v>
      </c>
      <c r="H6" s="3225"/>
      <c r="I6" s="3224" t="str">
        <f>C6</f>
        <v>天津市滨海新区生态城</v>
      </c>
      <c r="J6" s="3225"/>
      <c r="K6" s="610" t="s">
        <v>2536</v>
      </c>
      <c r="L6" s="1129"/>
      <c r="M6" s="1130"/>
      <c r="N6" s="1130"/>
      <c r="O6" s="1130"/>
      <c r="P6" s="3213"/>
      <c r="Q6" s="3214"/>
      <c r="R6" s="3217"/>
      <c r="S6" s="3218"/>
      <c r="T6" s="3229"/>
      <c r="U6" s="3230"/>
      <c r="V6" s="3231"/>
      <c r="W6" s="3231"/>
      <c r="X6" s="1811"/>
      <c r="Y6" s="3229"/>
      <c r="Z6" s="3230"/>
      <c r="AA6" s="3204"/>
      <c r="AB6" s="3204"/>
      <c r="AC6" s="3204"/>
    </row>
    <row r="7" spans="1:30" s="117" customFormat="1" ht="15" thickBot="1">
      <c r="A7" s="408" t="s">
        <v>2537</v>
      </c>
      <c r="B7" s="409"/>
      <c r="C7" s="410">
        <f>'数据-取费表'!B2</f>
        <v>43725</v>
      </c>
      <c r="D7" s="411">
        <v>100</v>
      </c>
      <c r="E7" s="412" t="str">
        <f>土地案例!AA9</f>
        <v>2019-08-28</v>
      </c>
      <c r="F7" s="413">
        <f>SUMIF(70:70,YEAR(E7)&amp;"-"&amp;INT((MONTH(E7)+2)/3),71:71)</f>
        <v>100</v>
      </c>
      <c r="G7" s="2689" t="str">
        <f>土地案例!AA47</f>
        <v>2018-09-05</v>
      </c>
      <c r="H7" s="411">
        <f>SUMIF(70:70,YEAR(G7)&amp;"-"&amp;INT((MONTH(G7)+2)/3),71:71)</f>
        <v>98</v>
      </c>
      <c r="I7" s="2689" t="str">
        <f>土地案例!AA50</f>
        <v>2018-07-11</v>
      </c>
      <c r="J7" s="411">
        <f>SUMIF(70:70,YEAR(I7)&amp;"-"&amp;INT((MONTH(I7)+2)/3),71:71)</f>
        <v>98</v>
      </c>
      <c r="K7" s="611"/>
      <c r="L7" s="1131"/>
      <c r="M7" s="1132"/>
      <c r="N7" s="1132"/>
      <c r="O7" s="1132"/>
      <c r="P7" s="3232" t="s">
        <v>2538</v>
      </c>
      <c r="Q7" s="3233"/>
      <c r="R7" s="770" t="s">
        <v>17</v>
      </c>
      <c r="S7" s="771">
        <f t="shared" ref="S7:S15" si="0">F7</f>
        <v>100</v>
      </c>
      <c r="T7" s="770" t="s">
        <v>17</v>
      </c>
      <c r="U7" s="771">
        <f t="shared" ref="U7:U15" si="1">H7</f>
        <v>98</v>
      </c>
      <c r="V7" s="770" t="s">
        <v>17</v>
      </c>
      <c r="W7" s="771">
        <f t="shared" ref="W7:W15" si="2">J7</f>
        <v>98</v>
      </c>
      <c r="X7" s="772"/>
      <c r="Y7" s="3232" t="s">
        <v>2538</v>
      </c>
      <c r="Z7" s="3234"/>
      <c r="AA7" s="773">
        <f>D7/F7</f>
        <v>1</v>
      </c>
      <c r="AB7" s="773">
        <f>D7/H7</f>
        <v>1.0204081632653061</v>
      </c>
      <c r="AC7" s="773">
        <f>D7/J7</f>
        <v>1.0204081632653061</v>
      </c>
    </row>
    <row r="8" spans="1:30" s="117" customFormat="1" ht="15" thickBot="1">
      <c r="A8" s="408" t="s">
        <v>2539</v>
      </c>
      <c r="B8" s="409"/>
      <c r="C8" s="414" t="s">
        <v>2540</v>
      </c>
      <c r="D8" s="411">
        <v>100</v>
      </c>
      <c r="E8" s="414" t="s">
        <v>3439</v>
      </c>
      <c r="F8" s="413">
        <f>SUMIF(73:73,E8,74:74)-SUMIF(73:73,C8,74:74)+100</f>
        <v>100</v>
      </c>
      <c r="G8" s="414" t="s">
        <v>3439</v>
      </c>
      <c r="H8" s="411">
        <f>SUMIF(73:73,G8,74:74)-SUMIF(73:73,C8,74:74)+100</f>
        <v>100</v>
      </c>
      <c r="I8" s="414" t="s">
        <v>3439</v>
      </c>
      <c r="J8" s="411">
        <f>SUMIF(73:73,I8,74:74)-SUMIF(73:73,C8,74:74)+100</f>
        <v>100</v>
      </c>
      <c r="K8" s="611"/>
      <c r="L8" s="1131"/>
      <c r="M8" s="1132"/>
      <c r="N8" s="1132"/>
      <c r="O8" s="1132"/>
      <c r="P8" s="3232" t="s">
        <v>2541</v>
      </c>
      <c r="Q8" s="3234"/>
      <c r="R8" s="770" t="s">
        <v>17</v>
      </c>
      <c r="S8" s="771">
        <f t="shared" si="0"/>
        <v>100</v>
      </c>
      <c r="T8" s="770" t="s">
        <v>17</v>
      </c>
      <c r="U8" s="771">
        <f t="shared" si="1"/>
        <v>100</v>
      </c>
      <c r="V8" s="770" t="s">
        <v>17</v>
      </c>
      <c r="W8" s="771">
        <f t="shared" si="2"/>
        <v>100</v>
      </c>
      <c r="X8" s="772"/>
      <c r="Y8" s="3232" t="s">
        <v>2541</v>
      </c>
      <c r="Z8" s="3234"/>
      <c r="AA8" s="773">
        <f t="shared" ref="AA8:AA45" si="3">D8/F8</f>
        <v>1</v>
      </c>
      <c r="AB8" s="773">
        <f t="shared" ref="AB8:AB45" si="4">D8/H8</f>
        <v>1</v>
      </c>
      <c r="AC8" s="773">
        <f t="shared" ref="AC8:AC45" si="5">D8/J8</f>
        <v>1</v>
      </c>
    </row>
    <row r="9" spans="1:30" s="117" customFormat="1" ht="14.4">
      <c r="A9" s="415" t="s">
        <v>2542</v>
      </c>
      <c r="B9" s="71" t="s">
        <v>2543</v>
      </c>
      <c r="C9" s="2692" t="s">
        <v>3440</v>
      </c>
      <c r="D9" s="135">
        <v>100</v>
      </c>
      <c r="E9" s="2692" t="s">
        <v>3418</v>
      </c>
      <c r="F9" s="135">
        <f>SUMIF(75:75,E9,76:76)-SUMIF(75:75,C9,76:76)+100</f>
        <v>105</v>
      </c>
      <c r="G9" s="2692" t="s">
        <v>3418</v>
      </c>
      <c r="H9" s="135">
        <f>SUMIF(75:75,G9,76:76)-SUMIF(75:75,C9,76:76)+100</f>
        <v>105</v>
      </c>
      <c r="I9" s="2692" t="s">
        <v>3440</v>
      </c>
      <c r="J9" s="135">
        <f>SUMIF(75:75,I9,76:76)-SUMIF(75:75,C9,76:76)+100</f>
        <v>100</v>
      </c>
      <c r="K9" s="611"/>
      <c r="L9" s="1131"/>
      <c r="M9" s="1132"/>
      <c r="N9" s="1132"/>
      <c r="O9" s="1133"/>
      <c r="P9" s="3245" t="s">
        <v>2544</v>
      </c>
      <c r="Q9" s="1793" t="str">
        <f t="shared" ref="Q9:Q15" si="6">B9</f>
        <v>用途</v>
      </c>
      <c r="R9" s="770" t="s">
        <v>17</v>
      </c>
      <c r="S9" s="771">
        <f t="shared" si="0"/>
        <v>105</v>
      </c>
      <c r="T9" s="770" t="s">
        <v>17</v>
      </c>
      <c r="U9" s="771">
        <f t="shared" si="1"/>
        <v>105</v>
      </c>
      <c r="V9" s="770" t="s">
        <v>17</v>
      </c>
      <c r="W9" s="771">
        <f t="shared" si="2"/>
        <v>100</v>
      </c>
      <c r="X9" s="772"/>
      <c r="Y9" s="3024" t="s">
        <v>2545</v>
      </c>
      <c r="Z9" s="55" t="str">
        <f t="shared" ref="Z9:Z15" si="7">Q9</f>
        <v>用途</v>
      </c>
      <c r="AA9" s="773">
        <f t="shared" si="3"/>
        <v>0.95238095238095233</v>
      </c>
      <c r="AB9" s="773">
        <f t="shared" si="4"/>
        <v>0.95238095238095233</v>
      </c>
      <c r="AC9" s="773">
        <f t="shared" si="5"/>
        <v>1</v>
      </c>
    </row>
    <row r="10" spans="1:30" s="427" customFormat="1" ht="28.8">
      <c r="A10" s="421"/>
      <c r="B10" s="422" t="s">
        <v>2546</v>
      </c>
      <c r="C10" s="432"/>
      <c r="D10" s="136">
        <v>100</v>
      </c>
      <c r="E10" s="465"/>
      <c r="F10" s="136">
        <f>ROUND(100/'数据-取费表'!G16,0)</f>
        <v>103</v>
      </c>
      <c r="G10" s="463"/>
      <c r="H10" s="136">
        <f>ROUND(100/'数据-取费表'!G16,0)</f>
        <v>103</v>
      </c>
      <c r="I10" s="463"/>
      <c r="J10" s="136">
        <f>ROUND(100/'数据-取费表'!G16,0)</f>
        <v>103</v>
      </c>
      <c r="K10" s="672"/>
      <c r="L10" s="1134"/>
      <c r="M10" s="1135"/>
      <c r="N10" s="1135"/>
      <c r="O10" s="1136"/>
      <c r="P10" s="3245"/>
      <c r="Q10" s="1793"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30" ht="15.6" thickBot="1">
      <c r="A11" s="428"/>
      <c r="B11" s="422" t="s">
        <v>2547</v>
      </c>
      <c r="C11" s="429">
        <f>'数据-汇总表'!I6</f>
        <v>4</v>
      </c>
      <c r="D11" s="136">
        <v>100</v>
      </c>
      <c r="E11" s="429">
        <v>1.6</v>
      </c>
      <c r="F11" s="136">
        <f>LOOKUP(E11,80:80,81:81)-LOOKUP(C11,80:80,81:81)+100</f>
        <v>103</v>
      </c>
      <c r="G11" s="430">
        <v>2.5</v>
      </c>
      <c r="H11" s="136">
        <f>LOOKUP(G11,80:80,81:81)-LOOKUP(C11,80:80,81:81)+100</f>
        <v>102</v>
      </c>
      <c r="I11" s="429">
        <v>1.2</v>
      </c>
      <c r="J11" s="136">
        <f>LOOKUP(I11,80:80,81:81)-LOOKUP(C11,80:80,81:81)+100</f>
        <v>103</v>
      </c>
      <c r="K11" s="673">
        <v>1</v>
      </c>
      <c r="L11" s="1137"/>
      <c r="M11" s="1130"/>
      <c r="N11" s="1130"/>
      <c r="O11" s="1138"/>
      <c r="P11" s="3245"/>
      <c r="Q11" s="1793" t="str">
        <f t="shared" si="6"/>
        <v>容积率</v>
      </c>
      <c r="R11" s="770" t="s">
        <v>17</v>
      </c>
      <c r="S11" s="771">
        <f t="shared" si="0"/>
        <v>103</v>
      </c>
      <c r="T11" s="770" t="s">
        <v>17</v>
      </c>
      <c r="U11" s="771">
        <f t="shared" si="1"/>
        <v>102</v>
      </c>
      <c r="V11" s="770" t="s">
        <v>17</v>
      </c>
      <c r="W11" s="771">
        <f t="shared" si="2"/>
        <v>103</v>
      </c>
      <c r="X11" s="772"/>
      <c r="Y11" s="3024"/>
      <c r="Z11" s="55" t="str">
        <f t="shared" si="7"/>
        <v>容积率</v>
      </c>
      <c r="AA11" s="773">
        <f t="shared" si="3"/>
        <v>0.970873786407767</v>
      </c>
      <c r="AB11" s="773">
        <f t="shared" si="4"/>
        <v>0.98039215686274506</v>
      </c>
      <c r="AC11" s="773">
        <f t="shared" si="5"/>
        <v>0.970873786407767</v>
      </c>
    </row>
    <row r="12" spans="1:30" s="117" customFormat="1" ht="15" hidden="1">
      <c r="A12" s="431"/>
      <c r="B12" s="2594"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5"/>
      <c r="Q12" s="1793"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hidden="1">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5"/>
      <c r="Q13" s="1793">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6" hidden="1"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5"/>
      <c r="Q14" s="1793">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15">
      <c r="A15" s="440" t="s">
        <v>2548</v>
      </c>
      <c r="B15" s="69" t="s">
        <v>2080</v>
      </c>
      <c r="C15" s="2597" t="str">
        <f>估价对象房地状况!C15</f>
        <v>较差</v>
      </c>
      <c r="D15" s="441">
        <v>100</v>
      </c>
      <c r="E15" s="442"/>
      <c r="F15" s="441">
        <f>SUMIF(88:88,E16,89:89)-SUMIF(88:88,C16,89:89)+100</f>
        <v>104</v>
      </c>
      <c r="G15" s="442"/>
      <c r="H15" s="441">
        <f>SUMIF(88:88,G16,89:89)-SUMIF(88:88,C16,89:89)+100</f>
        <v>104</v>
      </c>
      <c r="I15" s="444"/>
      <c r="J15" s="441">
        <f>SUMIF(88:88,I16,89:89)-SUMIF(88:88,C16,89:89)+100</f>
        <v>102</v>
      </c>
      <c r="K15" s="673">
        <v>2</v>
      </c>
      <c r="L15" s="1139"/>
      <c r="M15" s="1130"/>
      <c r="N15" s="1130"/>
      <c r="O15" s="1138"/>
      <c r="P15" s="3238" t="s">
        <v>2549</v>
      </c>
      <c r="Q15" s="1808" t="str">
        <f t="shared" si="6"/>
        <v>居住社区成熟度</v>
      </c>
      <c r="R15" s="774" t="s">
        <v>17</v>
      </c>
      <c r="S15" s="775">
        <f t="shared" si="0"/>
        <v>104</v>
      </c>
      <c r="T15" s="774" t="s">
        <v>17</v>
      </c>
      <c r="U15" s="775">
        <f t="shared" si="1"/>
        <v>104</v>
      </c>
      <c r="V15" s="774" t="s">
        <v>17</v>
      </c>
      <c r="W15" s="775">
        <f t="shared" si="2"/>
        <v>102</v>
      </c>
      <c r="X15" s="1811"/>
      <c r="Y15" s="3238" t="s">
        <v>2549</v>
      </c>
      <c r="Z15" s="1812" t="str">
        <f t="shared" si="7"/>
        <v>居住社区成熟度</v>
      </c>
      <c r="AA15" s="1809">
        <f t="shared" si="3"/>
        <v>0.96153846153846156</v>
      </c>
      <c r="AB15" s="1809">
        <f t="shared" si="4"/>
        <v>0.96153846153846156</v>
      </c>
      <c r="AC15" s="1809">
        <f t="shared" si="5"/>
        <v>0.98039215686274506</v>
      </c>
    </row>
    <row r="16" spans="1:30" ht="15">
      <c r="A16" s="428"/>
      <c r="B16" s="446"/>
      <c r="C16" s="447" t="s">
        <v>3430</v>
      </c>
      <c r="D16" s="448"/>
      <c r="E16" s="2598" t="s">
        <v>3443</v>
      </c>
      <c r="F16" s="448"/>
      <c r="G16" s="2598" t="s">
        <v>3443</v>
      </c>
      <c r="H16" s="450"/>
      <c r="I16" s="2598" t="s">
        <v>3436</v>
      </c>
      <c r="J16" s="448"/>
      <c r="K16" s="672"/>
      <c r="L16" s="1139"/>
      <c r="M16" s="1130"/>
      <c r="N16" s="1130"/>
      <c r="O16" s="1138"/>
      <c r="P16" s="3239"/>
      <c r="Q16" s="1808"/>
      <c r="R16" s="774"/>
      <c r="S16" s="775"/>
      <c r="T16" s="774"/>
      <c r="U16" s="775"/>
      <c r="V16" s="774"/>
      <c r="W16" s="775"/>
      <c r="X16" s="1811"/>
      <c r="Y16" s="3239"/>
      <c r="Z16" s="1812"/>
      <c r="AA16" s="1809">
        <v>1</v>
      </c>
      <c r="AB16" s="1809">
        <v>1</v>
      </c>
      <c r="AC16" s="1809">
        <v>1</v>
      </c>
    </row>
    <row r="17" spans="1:29" ht="15">
      <c r="A17" s="428"/>
      <c r="B17" s="451" t="s">
        <v>2642</v>
      </c>
      <c r="C17" s="2657" t="str">
        <f>估价对象房地状况!C16</f>
        <v>较差</v>
      </c>
      <c r="D17" s="450">
        <v>100</v>
      </c>
      <c r="E17" s="452"/>
      <c r="F17" s="450">
        <f>SUMIF(90:90,E18,91:91)-SUMIF(90:90,C18,91:91)+100</f>
        <v>102</v>
      </c>
      <c r="G17" s="452"/>
      <c r="H17" s="455">
        <f>SUMIF(90:90,G18,91:91)-SUMIF(90:90,C18,91:91)+100</f>
        <v>102</v>
      </c>
      <c r="I17" s="454"/>
      <c r="J17" s="455">
        <f>SUMIF(90:90,I18,91:91)-SUMIF(90:90,C18,91:91)+100</f>
        <v>102</v>
      </c>
      <c r="K17" s="673">
        <v>2</v>
      </c>
      <c r="L17" s="1139"/>
      <c r="M17" s="1130"/>
      <c r="N17" s="1130"/>
      <c r="O17" s="1138"/>
      <c r="P17" s="3239"/>
      <c r="Q17" s="1808" t="str">
        <f>B17</f>
        <v>商业繁华度</v>
      </c>
      <c r="R17" s="774" t="s">
        <v>17</v>
      </c>
      <c r="S17" s="775">
        <f>F17</f>
        <v>102</v>
      </c>
      <c r="T17" s="774" t="s">
        <v>17</v>
      </c>
      <c r="U17" s="775">
        <f>H17</f>
        <v>102</v>
      </c>
      <c r="V17" s="774" t="s">
        <v>17</v>
      </c>
      <c r="W17" s="775">
        <f>J17</f>
        <v>102</v>
      </c>
      <c r="X17" s="1811"/>
      <c r="Y17" s="3239"/>
      <c r="Z17" s="1812" t="str">
        <f>Q17</f>
        <v>商业繁华度</v>
      </c>
      <c r="AA17" s="1809">
        <f t="shared" si="3"/>
        <v>0.98039215686274506</v>
      </c>
      <c r="AB17" s="1809">
        <f t="shared" si="4"/>
        <v>0.98039215686274506</v>
      </c>
      <c r="AC17" s="1809">
        <f t="shared" si="5"/>
        <v>0.98039215686274506</v>
      </c>
    </row>
    <row r="18" spans="1:29" ht="15">
      <c r="A18" s="428"/>
      <c r="B18" s="456"/>
      <c r="C18" s="2602" t="s">
        <v>3430</v>
      </c>
      <c r="D18" s="450"/>
      <c r="E18" s="2599" t="s">
        <v>3436</v>
      </c>
      <c r="F18" s="450"/>
      <c r="G18" s="2599" t="s">
        <v>3436</v>
      </c>
      <c r="H18" s="448"/>
      <c r="I18" s="2599" t="s">
        <v>3436</v>
      </c>
      <c r="J18" s="448"/>
      <c r="K18" s="672"/>
      <c r="L18" s="1139"/>
      <c r="M18" s="1130"/>
      <c r="N18" s="1130"/>
      <c r="O18" s="1138"/>
      <c r="P18" s="3239"/>
      <c r="Q18" s="1808"/>
      <c r="R18" s="774"/>
      <c r="S18" s="775"/>
      <c r="T18" s="774"/>
      <c r="U18" s="775"/>
      <c r="V18" s="774"/>
      <c r="W18" s="775"/>
      <c r="X18" s="1811"/>
      <c r="Y18" s="3239"/>
      <c r="Z18" s="1812"/>
      <c r="AA18" s="1809">
        <v>1</v>
      </c>
      <c r="AB18" s="1809">
        <v>1</v>
      </c>
      <c r="AC18" s="1809">
        <v>1</v>
      </c>
    </row>
    <row r="19" spans="1:29" ht="15" hidden="1">
      <c r="A19" s="428"/>
      <c r="B19" s="451" t="s">
        <v>2676</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39"/>
      <c r="Q19" s="1808" t="str">
        <f>B19</f>
        <v>办公集聚程度</v>
      </c>
      <c r="R19" s="774" t="s">
        <v>17</v>
      </c>
      <c r="S19" s="775">
        <f>F19</f>
        <v>100</v>
      </c>
      <c r="T19" s="774" t="s">
        <v>17</v>
      </c>
      <c r="U19" s="775">
        <f>H19</f>
        <v>100</v>
      </c>
      <c r="V19" s="774" t="s">
        <v>17</v>
      </c>
      <c r="W19" s="775">
        <f>J19</f>
        <v>100</v>
      </c>
      <c r="X19" s="1811"/>
      <c r="Y19" s="3239"/>
      <c r="Z19" s="1812" t="str">
        <f>Q19</f>
        <v>办公集聚程度</v>
      </c>
      <c r="AA19" s="1809">
        <f t="shared" si="3"/>
        <v>1</v>
      </c>
      <c r="AB19" s="1809">
        <f t="shared" si="4"/>
        <v>1</v>
      </c>
      <c r="AC19" s="1809">
        <f t="shared" si="5"/>
        <v>1</v>
      </c>
    </row>
    <row r="20" spans="1:29" ht="15" hidden="1">
      <c r="A20" s="428"/>
      <c r="B20" s="456"/>
      <c r="C20" s="447"/>
      <c r="D20" s="448"/>
      <c r="E20" s="2599"/>
      <c r="F20" s="448"/>
      <c r="G20" s="2599"/>
      <c r="H20" s="448"/>
      <c r="I20" s="2598"/>
      <c r="J20" s="448"/>
      <c r="K20" s="672"/>
      <c r="L20" s="1139"/>
      <c r="M20" s="1130"/>
      <c r="N20" s="1130"/>
      <c r="O20" s="1138"/>
      <c r="P20" s="3239"/>
      <c r="Q20" s="1808"/>
      <c r="R20" s="774"/>
      <c r="S20" s="775"/>
      <c r="T20" s="774"/>
      <c r="U20" s="775"/>
      <c r="V20" s="774"/>
      <c r="W20" s="775"/>
      <c r="X20" s="1811"/>
      <c r="Y20" s="3239"/>
      <c r="Z20" s="1812"/>
      <c r="AA20" s="1809">
        <v>1</v>
      </c>
      <c r="AB20" s="1809">
        <v>1</v>
      </c>
      <c r="AC20" s="1809">
        <v>1</v>
      </c>
    </row>
    <row r="21" spans="1:29" ht="15">
      <c r="A21" s="428"/>
      <c r="B21" s="451" t="s">
        <v>2698</v>
      </c>
      <c r="C21" s="2601" t="str">
        <f>估价对象房地状况!C18</f>
        <v>差</v>
      </c>
      <c r="D21" s="450">
        <v>100</v>
      </c>
      <c r="E21" s="452"/>
      <c r="F21" s="455">
        <f>SUMIF(94:94,E22,95:95)-SUMIF(94:94,C22,95:95)+100</f>
        <v>102</v>
      </c>
      <c r="G21" s="452"/>
      <c r="H21" s="450">
        <f>SUMIF(94:94,G22,95:95)-SUMIF(94:94,C22,95:95)+100</f>
        <v>102</v>
      </c>
      <c r="I21" s="454"/>
      <c r="J21" s="450">
        <f>SUMIF(94:94,I22,95:95)-SUMIF(94:94,C22,95:95)+100</f>
        <v>101</v>
      </c>
      <c r="K21" s="673">
        <v>1</v>
      </c>
      <c r="L21" s="1139"/>
      <c r="M21" s="1130"/>
      <c r="N21" s="1130"/>
      <c r="O21" s="1138"/>
      <c r="P21" s="3239"/>
      <c r="Q21" s="1808" t="str">
        <f>B21</f>
        <v>交通便捷度</v>
      </c>
      <c r="R21" s="774" t="s">
        <v>17</v>
      </c>
      <c r="S21" s="775">
        <f>F21</f>
        <v>102</v>
      </c>
      <c r="T21" s="774" t="s">
        <v>17</v>
      </c>
      <c r="U21" s="775">
        <f>H21</f>
        <v>102</v>
      </c>
      <c r="V21" s="774" t="s">
        <v>17</v>
      </c>
      <c r="W21" s="775">
        <f>J21</f>
        <v>101</v>
      </c>
      <c r="X21" s="1811"/>
      <c r="Y21" s="3239"/>
      <c r="Z21" s="1812" t="str">
        <f>Q21</f>
        <v>交通便捷度</v>
      </c>
      <c r="AA21" s="1809">
        <f t="shared" si="3"/>
        <v>0.98039215686274506</v>
      </c>
      <c r="AB21" s="1809">
        <f t="shared" si="4"/>
        <v>0.98039215686274506</v>
      </c>
      <c r="AC21" s="1809">
        <f t="shared" si="5"/>
        <v>0.99009900990099009</v>
      </c>
    </row>
    <row r="22" spans="1:29" ht="15">
      <c r="A22" s="428"/>
      <c r="B22" s="1383"/>
      <c r="C22" s="447" t="s">
        <v>3432</v>
      </c>
      <c r="D22" s="450"/>
      <c r="E22" s="2599" t="s">
        <v>3436</v>
      </c>
      <c r="F22" s="448"/>
      <c r="G22" s="2599" t="s">
        <v>3436</v>
      </c>
      <c r="H22" s="448"/>
      <c r="I22" s="2599" t="s">
        <v>3430</v>
      </c>
      <c r="J22" s="448"/>
      <c r="K22" s="672"/>
      <c r="L22" s="1139"/>
      <c r="M22" s="1130"/>
      <c r="N22" s="1130"/>
      <c r="O22" s="1138"/>
      <c r="P22" s="3239"/>
      <c r="Q22" s="1808"/>
      <c r="R22" s="774"/>
      <c r="S22" s="775"/>
      <c r="T22" s="774"/>
      <c r="U22" s="775"/>
      <c r="V22" s="774"/>
      <c r="W22" s="775"/>
      <c r="X22" s="1811"/>
      <c r="Y22" s="3239"/>
      <c r="Z22" s="1812"/>
      <c r="AA22" s="1809">
        <v>1</v>
      </c>
      <c r="AB22" s="1809">
        <v>1</v>
      </c>
      <c r="AC22" s="1809">
        <v>1</v>
      </c>
    </row>
    <row r="23" spans="1:29" ht="13.95" customHeight="1">
      <c r="A23" s="404"/>
      <c r="B23" s="451" t="s">
        <v>2737</v>
      </c>
      <c r="C23" s="1388" t="str">
        <f>估价对象房地状况!C19</f>
        <v>一般</v>
      </c>
      <c r="D23" s="455">
        <v>100</v>
      </c>
      <c r="E23" s="452"/>
      <c r="F23" s="455">
        <f>SUMIF(96:96,E24,97:97)-SUMIF(96:96,C24,97:97)+100</f>
        <v>101</v>
      </c>
      <c r="G23" s="454"/>
      <c r="H23" s="455">
        <f>SUMIF(96:96,G24,97:97)-SUMIF(96:96,C24,97:97)+100</f>
        <v>101</v>
      </c>
      <c r="I23" s="454"/>
      <c r="J23" s="455">
        <f>SUMIF(96:96,I24,97:97)-SUMIF(96:96,C24,97:97)+100</f>
        <v>100</v>
      </c>
      <c r="K23" s="673">
        <v>1</v>
      </c>
      <c r="L23" s="1139"/>
      <c r="M23" s="1130"/>
      <c r="N23" s="1130"/>
      <c r="O23" s="1138"/>
      <c r="P23" s="3239"/>
      <c r="Q23" s="1808" t="str">
        <f t="shared" ref="Q23:Q37" si="8">B23</f>
        <v>区域土地利用方向</v>
      </c>
      <c r="R23" s="774" t="s">
        <v>17</v>
      </c>
      <c r="S23" s="775">
        <f>F23</f>
        <v>101</v>
      </c>
      <c r="T23" s="774" t="s">
        <v>17</v>
      </c>
      <c r="U23" s="775">
        <f>H23</f>
        <v>101</v>
      </c>
      <c r="V23" s="774" t="s">
        <v>17</v>
      </c>
      <c r="W23" s="775">
        <f>J23</f>
        <v>100</v>
      </c>
      <c r="X23" s="1811"/>
      <c r="Y23" s="3239"/>
      <c r="Z23" s="1812" t="str">
        <f>Q23</f>
        <v>区域土地利用方向</v>
      </c>
      <c r="AA23" s="1809">
        <f t="shared" si="3"/>
        <v>0.99009900990099009</v>
      </c>
      <c r="AB23" s="1809">
        <f t="shared" si="4"/>
        <v>0.99009900990099009</v>
      </c>
      <c r="AC23" s="1809">
        <f t="shared" si="5"/>
        <v>1</v>
      </c>
    </row>
    <row r="24" spans="1:29" ht="15">
      <c r="A24" s="404"/>
      <c r="B24" s="456"/>
      <c r="C24" s="616" t="s">
        <v>3436</v>
      </c>
      <c r="D24" s="448"/>
      <c r="E24" s="2598" t="s">
        <v>3443</v>
      </c>
      <c r="F24" s="448"/>
      <c r="G24" s="2598" t="s">
        <v>3443</v>
      </c>
      <c r="H24" s="448"/>
      <c r="I24" s="2598" t="s">
        <v>3436</v>
      </c>
      <c r="J24" s="448"/>
      <c r="K24" s="812"/>
      <c r="L24" s="1139"/>
      <c r="M24" s="1130"/>
      <c r="N24" s="1130"/>
      <c r="O24" s="1138"/>
      <c r="P24" s="3239"/>
      <c r="Q24" s="1808"/>
      <c r="R24" s="774"/>
      <c r="S24" s="775"/>
      <c r="T24" s="774"/>
      <c r="U24" s="775"/>
      <c r="V24" s="774"/>
      <c r="W24" s="775"/>
      <c r="X24" s="1811"/>
      <c r="Y24" s="3239"/>
      <c r="Z24" s="1812"/>
      <c r="AA24" s="1809"/>
      <c r="AB24" s="1809"/>
      <c r="AC24" s="1809"/>
    </row>
    <row r="25" spans="1:29" ht="11.4" customHeight="1">
      <c r="A25" s="404"/>
      <c r="B25" s="1383" t="s">
        <v>2738</v>
      </c>
      <c r="C25" s="2657"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1</v>
      </c>
      <c r="L25" s="1139"/>
      <c r="M25" s="1130"/>
      <c r="N25" s="1130"/>
      <c r="O25" s="1138"/>
      <c r="P25" s="3239"/>
      <c r="Q25" s="1808" t="str">
        <f t="shared" si="8"/>
        <v>自然及人文环境状况</v>
      </c>
      <c r="R25" s="774" t="s">
        <v>17</v>
      </c>
      <c r="S25" s="775">
        <f>F25</f>
        <v>100</v>
      </c>
      <c r="T25" s="774" t="s">
        <v>17</v>
      </c>
      <c r="U25" s="775">
        <f>H25</f>
        <v>100</v>
      </c>
      <c r="V25" s="774" t="s">
        <v>17</v>
      </c>
      <c r="W25" s="775">
        <f>J25</f>
        <v>100</v>
      </c>
      <c r="X25" s="1811"/>
      <c r="Y25" s="3239"/>
      <c r="Z25" s="1812" t="str">
        <f>Q25</f>
        <v>自然及人文环境状况</v>
      </c>
      <c r="AA25" s="1809">
        <f t="shared" si="3"/>
        <v>1</v>
      </c>
      <c r="AB25" s="1809">
        <f t="shared" si="4"/>
        <v>1</v>
      </c>
      <c r="AC25" s="1809">
        <f t="shared" si="5"/>
        <v>1</v>
      </c>
    </row>
    <row r="26" spans="1:29" ht="15">
      <c r="A26" s="404"/>
      <c r="B26" s="456"/>
      <c r="C26" s="447" t="s">
        <v>3436</v>
      </c>
      <c r="D26" s="448"/>
      <c r="E26" s="2599" t="s">
        <v>3436</v>
      </c>
      <c r="F26" s="448"/>
      <c r="G26" s="2599" t="s">
        <v>3436</v>
      </c>
      <c r="H26" s="448"/>
      <c r="I26" s="2599" t="s">
        <v>3436</v>
      </c>
      <c r="J26" s="448"/>
      <c r="K26" s="672"/>
      <c r="L26" s="1139"/>
      <c r="M26" s="1130"/>
      <c r="N26" s="1130"/>
      <c r="O26" s="1138"/>
      <c r="P26" s="3239"/>
      <c r="Q26" s="1808"/>
      <c r="R26" s="774"/>
      <c r="S26" s="775"/>
      <c r="T26" s="774"/>
      <c r="U26" s="775"/>
      <c r="V26" s="774"/>
      <c r="W26" s="775"/>
      <c r="X26" s="1811"/>
      <c r="Y26" s="3239"/>
      <c r="Z26" s="1812"/>
      <c r="AA26" s="1809">
        <v>1</v>
      </c>
      <c r="AB26" s="1809">
        <v>1</v>
      </c>
      <c r="AC26" s="1809">
        <v>1</v>
      </c>
    </row>
    <row r="27" spans="1:29" s="117" customFormat="1" ht="15" customHeight="1">
      <c r="A27" s="649"/>
      <c r="B27" s="1383" t="s">
        <v>2643</v>
      </c>
      <c r="C27" s="2601" t="str">
        <f>估价对象房地状况!C21</f>
        <v>差</v>
      </c>
      <c r="D27" s="450">
        <v>100</v>
      </c>
      <c r="E27" s="452"/>
      <c r="F27" s="450">
        <f>SUMIF(100:100,E28,101:101)-SUMIF(100:100,C28,101:101)+100</f>
        <v>102</v>
      </c>
      <c r="G27" s="452"/>
      <c r="H27" s="450">
        <f>SUMIF(100:100,G28,101:101)-SUMIF(100:100,C28,101:101)+100</f>
        <v>102</v>
      </c>
      <c r="I27" s="454"/>
      <c r="J27" s="450">
        <f>SUMIF(100:100,I28,101:101)-SUMIF(100:100,C28,101:101)+100</f>
        <v>101</v>
      </c>
      <c r="K27" s="673">
        <v>1</v>
      </c>
      <c r="L27" s="1131"/>
      <c r="M27" s="1132"/>
      <c r="N27" s="1132"/>
      <c r="O27" s="1133"/>
      <c r="P27" s="3239"/>
      <c r="Q27" s="1793" t="str">
        <f t="shared" si="8"/>
        <v>公共配套设施</v>
      </c>
      <c r="R27" s="770" t="s">
        <v>17</v>
      </c>
      <c r="S27" s="771">
        <f>F27</f>
        <v>102</v>
      </c>
      <c r="T27" s="770" t="s">
        <v>17</v>
      </c>
      <c r="U27" s="771">
        <f>H27</f>
        <v>102</v>
      </c>
      <c r="V27" s="770" t="s">
        <v>17</v>
      </c>
      <c r="W27" s="771">
        <f>J27</f>
        <v>101</v>
      </c>
      <c r="X27" s="772"/>
      <c r="Y27" s="3239"/>
      <c r="Z27" s="55" t="str">
        <f>Q27</f>
        <v>公共配套设施</v>
      </c>
      <c r="AA27" s="1809">
        <f>D27/F27</f>
        <v>0.98039215686274506</v>
      </c>
      <c r="AB27" s="1809">
        <f>D27/H27</f>
        <v>0.98039215686274506</v>
      </c>
      <c r="AC27" s="1809">
        <f>D27/J27</f>
        <v>0.99009900990099009</v>
      </c>
    </row>
    <row r="28" spans="1:29" s="117" customFormat="1" ht="15">
      <c r="A28" s="649"/>
      <c r="B28" s="456"/>
      <c r="C28" s="2693" t="s">
        <v>3432</v>
      </c>
      <c r="D28" s="448"/>
      <c r="E28" s="2599" t="s">
        <v>3436</v>
      </c>
      <c r="F28" s="448"/>
      <c r="G28" s="2599" t="s">
        <v>3436</v>
      </c>
      <c r="H28" s="448"/>
      <c r="I28" s="2599" t="s">
        <v>3430</v>
      </c>
      <c r="J28" s="448"/>
      <c r="K28" s="672"/>
      <c r="L28" s="1131"/>
      <c r="M28" s="1132"/>
      <c r="N28" s="1132"/>
      <c r="O28" s="1133"/>
      <c r="P28" s="3239"/>
      <c r="Q28" s="1793"/>
      <c r="R28" s="770"/>
      <c r="S28" s="771"/>
      <c r="T28" s="770"/>
      <c r="U28" s="771"/>
      <c r="V28" s="770"/>
      <c r="W28" s="771"/>
      <c r="X28" s="772"/>
      <c r="Y28" s="3239"/>
      <c r="Z28" s="55"/>
      <c r="AA28" s="1809">
        <v>1</v>
      </c>
      <c r="AB28" s="1809">
        <v>1</v>
      </c>
      <c r="AC28" s="1809">
        <v>1</v>
      </c>
    </row>
    <row r="29" spans="1:29" s="117" customFormat="1" ht="15">
      <c r="A29" s="649"/>
      <c r="B29" s="1383" t="s">
        <v>2644</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1"/>
      <c r="M29" s="1132"/>
      <c r="N29" s="1132"/>
      <c r="O29" s="1133"/>
      <c r="P29" s="3239"/>
      <c r="Q29" s="1793" t="str">
        <f>B29</f>
        <v>基础设施水平</v>
      </c>
      <c r="R29" s="770" t="s">
        <v>17</v>
      </c>
      <c r="S29" s="771">
        <f>F29</f>
        <v>100</v>
      </c>
      <c r="T29" s="770" t="s">
        <v>17</v>
      </c>
      <c r="U29" s="771">
        <f>H29</f>
        <v>100</v>
      </c>
      <c r="V29" s="770" t="s">
        <v>17</v>
      </c>
      <c r="W29" s="771">
        <f>J29</f>
        <v>100</v>
      </c>
      <c r="X29" s="772"/>
      <c r="Y29" s="3239"/>
      <c r="Z29" s="55" t="str">
        <f>Q29</f>
        <v>基础设施水平</v>
      </c>
      <c r="AA29" s="1809">
        <f>D29/F29</f>
        <v>1</v>
      </c>
      <c r="AB29" s="1809">
        <f>D29/H29</f>
        <v>1</v>
      </c>
      <c r="AC29" s="1809">
        <f>D29/J29</f>
        <v>1</v>
      </c>
    </row>
    <row r="30" spans="1:29" s="117" customFormat="1" ht="15">
      <c r="A30" s="649"/>
      <c r="B30" s="456"/>
      <c r="C30" s="2693" t="s">
        <v>3434</v>
      </c>
      <c r="D30" s="448"/>
      <c r="E30" s="2693" t="s">
        <v>3434</v>
      </c>
      <c r="F30" s="448"/>
      <c r="G30" s="2693" t="s">
        <v>3434</v>
      </c>
      <c r="H30" s="448"/>
      <c r="I30" s="2693" t="s">
        <v>3434</v>
      </c>
      <c r="J30" s="448"/>
      <c r="K30" s="672"/>
      <c r="L30" s="1131"/>
      <c r="M30" s="1132"/>
      <c r="N30" s="1132"/>
      <c r="O30" s="1133"/>
      <c r="P30" s="3239"/>
      <c r="Q30" s="1793"/>
      <c r="R30" s="770"/>
      <c r="S30" s="771"/>
      <c r="T30" s="770"/>
      <c r="U30" s="771"/>
      <c r="V30" s="770"/>
      <c r="W30" s="771"/>
      <c r="X30" s="772"/>
      <c r="Y30" s="3239"/>
      <c r="Z30" s="55"/>
      <c r="AA30" s="1809">
        <v>1</v>
      </c>
      <c r="AB30" s="1809">
        <v>1</v>
      </c>
      <c r="AC30" s="1809">
        <v>1</v>
      </c>
    </row>
    <row r="31" spans="1:29" ht="15" hidden="1">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39"/>
      <c r="Q31" s="1808" t="str">
        <f t="shared" si="8"/>
        <v>临街状况</v>
      </c>
      <c r="R31" s="774" t="s">
        <v>17</v>
      </c>
      <c r="S31" s="775">
        <f t="shared" ref="S31:S45" si="9">F31</f>
        <v>100</v>
      </c>
      <c r="T31" s="774" t="s">
        <v>17</v>
      </c>
      <c r="U31" s="775">
        <f t="shared" ref="U31:U45" si="10">H31</f>
        <v>100</v>
      </c>
      <c r="V31" s="774" t="s">
        <v>17</v>
      </c>
      <c r="W31" s="775">
        <f t="shared" ref="W31:W45" si="11">J31</f>
        <v>100</v>
      </c>
      <c r="X31" s="1811"/>
      <c r="Y31" s="3239"/>
      <c r="Z31" s="1812" t="str">
        <f t="shared" ref="Z31:Z45" si="12">Q31</f>
        <v>临街状况</v>
      </c>
      <c r="AA31" s="1809">
        <f t="shared" si="3"/>
        <v>1</v>
      </c>
      <c r="AB31" s="1809">
        <f t="shared" si="4"/>
        <v>1</v>
      </c>
      <c r="AC31" s="1809">
        <f t="shared" si="5"/>
        <v>1</v>
      </c>
    </row>
    <row r="32" spans="1:29" ht="28.8">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39"/>
      <c r="M32" s="1130"/>
      <c r="N32" s="1130"/>
      <c r="O32" s="1138"/>
      <c r="P32" s="3239"/>
      <c r="Q32" s="1808" t="str">
        <f t="shared" si="8"/>
        <v>毗邻道路的类型与等级</v>
      </c>
      <c r="R32" s="774" t="s">
        <v>17</v>
      </c>
      <c r="S32" s="775">
        <f t="shared" si="9"/>
        <v>100</v>
      </c>
      <c r="T32" s="774" t="s">
        <v>17</v>
      </c>
      <c r="U32" s="775">
        <f t="shared" si="10"/>
        <v>100</v>
      </c>
      <c r="V32" s="774" t="s">
        <v>17</v>
      </c>
      <c r="W32" s="775">
        <f t="shared" si="11"/>
        <v>100</v>
      </c>
      <c r="X32" s="1811"/>
      <c r="Y32" s="3239"/>
      <c r="Z32" s="1812" t="str">
        <f t="shared" si="12"/>
        <v>毗邻道路的类型与等级</v>
      </c>
      <c r="AA32" s="1809">
        <f t="shared" si="3"/>
        <v>1</v>
      </c>
      <c r="AB32" s="1809">
        <f t="shared" si="4"/>
        <v>1</v>
      </c>
      <c r="AC32" s="1809">
        <f t="shared" si="5"/>
        <v>1</v>
      </c>
    </row>
    <row r="33" spans="1:29" ht="15.6" thickBot="1">
      <c r="A33" s="428"/>
      <c r="B33" s="456"/>
      <c r="C33" s="447" t="s">
        <v>3464</v>
      </c>
      <c r="D33" s="448"/>
      <c r="E33" s="447" t="s">
        <v>3464</v>
      </c>
      <c r="F33" s="448"/>
      <c r="G33" s="447" t="s">
        <v>3464</v>
      </c>
      <c r="H33" s="448"/>
      <c r="I33" s="447" t="s">
        <v>3464</v>
      </c>
      <c r="J33" s="448"/>
      <c r="K33" s="613"/>
      <c r="L33" s="1139"/>
      <c r="M33" s="1130"/>
      <c r="N33" s="1130"/>
      <c r="O33" s="1138"/>
      <c r="P33" s="3239"/>
      <c r="Q33" s="1808"/>
      <c r="R33" s="774"/>
      <c r="S33" s="775"/>
      <c r="T33" s="774"/>
      <c r="U33" s="775"/>
      <c r="V33" s="774"/>
      <c r="W33" s="775"/>
      <c r="X33" s="1811"/>
      <c r="Y33" s="3239"/>
      <c r="Z33" s="1812"/>
      <c r="AA33" s="1809">
        <v>1</v>
      </c>
      <c r="AB33" s="1809">
        <v>1</v>
      </c>
      <c r="AC33" s="1809">
        <v>1</v>
      </c>
    </row>
    <row r="34" spans="1:29" ht="15" hidden="1">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39"/>
      <c r="Q34" s="1808" t="str">
        <f t="shared" si="8"/>
        <v>土地级别</v>
      </c>
      <c r="R34" s="774" t="s">
        <v>17</v>
      </c>
      <c r="S34" s="775">
        <f t="shared" si="9"/>
        <v>100</v>
      </c>
      <c r="T34" s="774" t="s">
        <v>17</v>
      </c>
      <c r="U34" s="775">
        <f t="shared" si="10"/>
        <v>100</v>
      </c>
      <c r="V34" s="774" t="s">
        <v>17</v>
      </c>
      <c r="W34" s="775">
        <f t="shared" si="11"/>
        <v>100</v>
      </c>
      <c r="X34" s="1811"/>
      <c r="Y34" s="3239"/>
      <c r="Z34" s="1812" t="str">
        <f t="shared" si="12"/>
        <v>土地级别</v>
      </c>
      <c r="AA34" s="1809">
        <f t="shared" si="3"/>
        <v>1</v>
      </c>
      <c r="AB34" s="1809">
        <f t="shared" si="4"/>
        <v>1</v>
      </c>
      <c r="AC34" s="1809">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9"/>
      <c r="Q35" s="1808">
        <f t="shared" si="8"/>
        <v>111</v>
      </c>
      <c r="R35" s="774" t="s">
        <v>17</v>
      </c>
      <c r="S35" s="775">
        <f t="shared" si="9"/>
        <v>100</v>
      </c>
      <c r="T35" s="774" t="s">
        <v>17</v>
      </c>
      <c r="U35" s="775">
        <f t="shared" si="10"/>
        <v>100</v>
      </c>
      <c r="V35" s="774" t="s">
        <v>17</v>
      </c>
      <c r="W35" s="775">
        <f t="shared" si="11"/>
        <v>100</v>
      </c>
      <c r="X35" s="1811"/>
      <c r="Y35" s="3239"/>
      <c r="Z35" s="1812">
        <f t="shared" si="12"/>
        <v>111</v>
      </c>
      <c r="AA35" s="1809">
        <f t="shared" si="3"/>
        <v>1</v>
      </c>
      <c r="AB35" s="1809">
        <f t="shared" si="4"/>
        <v>1</v>
      </c>
      <c r="AC35" s="1809">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7" t="s">
        <v>2554</v>
      </c>
      <c r="Q36" s="1808">
        <f t="shared" si="8"/>
        <v>111</v>
      </c>
      <c r="R36" s="774" t="s">
        <v>17</v>
      </c>
      <c r="S36" s="775">
        <f t="shared" si="9"/>
        <v>100</v>
      </c>
      <c r="T36" s="774" t="s">
        <v>17</v>
      </c>
      <c r="U36" s="775">
        <f t="shared" si="10"/>
        <v>100</v>
      </c>
      <c r="V36" s="774" t="s">
        <v>17</v>
      </c>
      <c r="W36" s="775">
        <f t="shared" si="11"/>
        <v>100</v>
      </c>
      <c r="X36" s="1811"/>
      <c r="Y36" s="3243" t="s">
        <v>2554</v>
      </c>
      <c r="Z36" s="1812">
        <f t="shared" si="12"/>
        <v>111</v>
      </c>
      <c r="AA36" s="1809">
        <f t="shared" si="3"/>
        <v>1</v>
      </c>
      <c r="AB36" s="1809">
        <f t="shared" si="4"/>
        <v>1</v>
      </c>
      <c r="AC36" s="1809">
        <f t="shared" si="5"/>
        <v>1</v>
      </c>
    </row>
    <row r="37" spans="1:29" s="471" customFormat="1" ht="15.6"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3"/>
      <c r="Q37" s="1808">
        <f t="shared" si="8"/>
        <v>111</v>
      </c>
      <c r="R37" s="777" t="s">
        <v>17</v>
      </c>
      <c r="S37" s="778">
        <f t="shared" si="9"/>
        <v>100</v>
      </c>
      <c r="T37" s="777" t="s">
        <v>17</v>
      </c>
      <c r="U37" s="778">
        <f t="shared" si="10"/>
        <v>100</v>
      </c>
      <c r="V37" s="777" t="s">
        <v>17</v>
      </c>
      <c r="W37" s="778">
        <f t="shared" si="11"/>
        <v>100</v>
      </c>
      <c r="X37" s="779"/>
      <c r="Y37" s="3243"/>
      <c r="Z37" s="780">
        <f t="shared" si="12"/>
        <v>111</v>
      </c>
      <c r="AA37" s="1809">
        <f t="shared" si="3"/>
        <v>1</v>
      </c>
      <c r="AB37" s="1809">
        <f t="shared" si="4"/>
        <v>1</v>
      </c>
      <c r="AC37" s="1809">
        <f t="shared" si="5"/>
        <v>1</v>
      </c>
    </row>
    <row r="38" spans="1:29" ht="15.6">
      <c r="A38" s="472" t="s">
        <v>2552</v>
      </c>
      <c r="B38" s="456" t="s">
        <v>2740</v>
      </c>
      <c r="C38" s="679">
        <f>'数据-基础表'!A3</f>
        <v>138914.79999999999</v>
      </c>
      <c r="D38" s="467">
        <v>100</v>
      </c>
      <c r="E38" s="679">
        <f>土地案例!J9</f>
        <v>92056</v>
      </c>
      <c r="F38" s="467">
        <f>LOOKUP(E38,117:117,118:118)-LOOKUP(C38,117:117,118:118)+100</f>
        <v>99</v>
      </c>
      <c r="G38" s="679">
        <f>土地案例!J47</f>
        <v>87678.5</v>
      </c>
      <c r="H38" s="467">
        <f>LOOKUP(G38,117:117,118:118)-LOOKUP(C38,117:117,118:118)+100</f>
        <v>99</v>
      </c>
      <c r="I38" s="530">
        <f>土地案例!J50</f>
        <v>264903.8</v>
      </c>
      <c r="J38" s="467">
        <f>LOOKUP(I38,117:117,118:118)-LOOKUP(C38,117:117,118:118)+100</f>
        <v>103</v>
      </c>
      <c r="K38" s="613"/>
      <c r="L38" s="1139"/>
      <c r="M38" s="1130"/>
      <c r="N38" s="1130"/>
      <c r="O38" s="1138"/>
      <c r="P38" s="3243"/>
      <c r="Q38" s="1808" t="str">
        <f>B38</f>
        <v>宗地面积</v>
      </c>
      <c r="R38" s="774" t="s">
        <v>17</v>
      </c>
      <c r="S38" s="775">
        <f t="shared" si="9"/>
        <v>99</v>
      </c>
      <c r="T38" s="774" t="s">
        <v>17</v>
      </c>
      <c r="U38" s="775">
        <f t="shared" si="10"/>
        <v>99</v>
      </c>
      <c r="V38" s="774" t="s">
        <v>17</v>
      </c>
      <c r="W38" s="775">
        <f t="shared" si="11"/>
        <v>103</v>
      </c>
      <c r="X38" s="1811"/>
      <c r="Y38" s="3243"/>
      <c r="Z38" s="1812" t="str">
        <f t="shared" si="12"/>
        <v>宗地面积</v>
      </c>
      <c r="AA38" s="1809">
        <f t="shared" si="3"/>
        <v>1.0101010101010102</v>
      </c>
      <c r="AB38" s="1809">
        <f t="shared" si="4"/>
        <v>1.0101010101010102</v>
      </c>
      <c r="AC38" s="1809">
        <f t="shared" si="5"/>
        <v>0.970873786407767</v>
      </c>
    </row>
    <row r="39" spans="1:29" ht="15">
      <c r="A39" s="472"/>
      <c r="B39" s="422" t="s">
        <v>2741</v>
      </c>
      <c r="C39" s="2607" t="s">
        <v>3541</v>
      </c>
      <c r="D39" s="435">
        <v>100</v>
      </c>
      <c r="E39" s="2607" t="s">
        <v>3455</v>
      </c>
      <c r="F39" s="435">
        <f>SUMIF(119:119,E39,120:120)-SUMIF(119:119,C39,120:120)+100</f>
        <v>100.5</v>
      </c>
      <c r="G39" s="2607" t="s">
        <v>3455</v>
      </c>
      <c r="H39" s="435">
        <f>SUMIF(119:119,G39,120:120)-SUMIF(119:119,C39,120:120)+100</f>
        <v>100.5</v>
      </c>
      <c r="I39" s="2607" t="s">
        <v>3455</v>
      </c>
      <c r="J39" s="435">
        <f>SUMIF(119:119,I39,120:120)-SUMIF(119:119,C39,120:120)+100</f>
        <v>100.5</v>
      </c>
      <c r="K39" s="612">
        <v>0.5</v>
      </c>
      <c r="L39" s="1139"/>
      <c r="M39" s="1130"/>
      <c r="N39" s="1130"/>
      <c r="O39" s="1138"/>
      <c r="P39" s="3243"/>
      <c r="Q39" s="1808" t="str">
        <f t="shared" ref="Q39:Q45" si="13">B39</f>
        <v>宗地形状</v>
      </c>
      <c r="R39" s="774" t="s">
        <v>17</v>
      </c>
      <c r="S39" s="775">
        <f t="shared" si="9"/>
        <v>100.5</v>
      </c>
      <c r="T39" s="774" t="s">
        <v>17</v>
      </c>
      <c r="U39" s="775">
        <f t="shared" si="10"/>
        <v>100.5</v>
      </c>
      <c r="V39" s="774" t="s">
        <v>17</v>
      </c>
      <c r="W39" s="775">
        <f t="shared" si="11"/>
        <v>100.5</v>
      </c>
      <c r="X39" s="1811"/>
      <c r="Y39" s="3243"/>
      <c r="Z39" s="1812" t="str">
        <f t="shared" si="12"/>
        <v>宗地形状</v>
      </c>
      <c r="AA39" s="1809">
        <f t="shared" si="3"/>
        <v>0.99502487562189057</v>
      </c>
      <c r="AB39" s="1809">
        <f t="shared" si="4"/>
        <v>0.99502487562189057</v>
      </c>
      <c r="AC39" s="1809">
        <f t="shared" si="5"/>
        <v>0.99502487562189057</v>
      </c>
    </row>
    <row r="40" spans="1:29" ht="15">
      <c r="A40" s="472"/>
      <c r="B40" s="422" t="s">
        <v>2742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9"/>
      <c r="M40" s="1130"/>
      <c r="N40" s="1130"/>
      <c r="O40" s="1138"/>
      <c r="P40" s="3243"/>
      <c r="Q40" s="1808" t="str">
        <f t="shared" si="13"/>
        <v>临街宽度及深度</v>
      </c>
      <c r="R40" s="774" t="s">
        <v>17</v>
      </c>
      <c r="S40" s="775">
        <f t="shared" si="9"/>
        <v>100</v>
      </c>
      <c r="T40" s="774" t="s">
        <v>17</v>
      </c>
      <c r="U40" s="775">
        <f t="shared" si="10"/>
        <v>100</v>
      </c>
      <c r="V40" s="774" t="s">
        <v>17</v>
      </c>
      <c r="W40" s="775">
        <f t="shared" si="11"/>
        <v>100</v>
      </c>
      <c r="X40" s="1811"/>
      <c r="Y40" s="3243"/>
      <c r="Z40" s="1812" t="str">
        <f t="shared" si="12"/>
        <v>临街宽度及深度</v>
      </c>
      <c r="AA40" s="1809">
        <f t="shared" si="3"/>
        <v>1</v>
      </c>
      <c r="AB40" s="1809">
        <f t="shared" si="4"/>
        <v>1</v>
      </c>
      <c r="AC40" s="1809">
        <f t="shared" si="5"/>
        <v>1</v>
      </c>
    </row>
    <row r="41" spans="1:29" s="117" customFormat="1" ht="15">
      <c r="A41" s="473"/>
      <c r="B41" s="422" t="s">
        <v>2743</v>
      </c>
      <c r="C41" s="2695" t="s">
        <v>3453</v>
      </c>
      <c r="D41" s="136">
        <v>100</v>
      </c>
      <c r="E41" s="2695" t="s">
        <v>3453</v>
      </c>
      <c r="F41" s="435">
        <f>SUMIF(123:123,E41,124:124)-SUMIF(123:123,C41,124:124)+100</f>
        <v>100</v>
      </c>
      <c r="G41" s="2695" t="s">
        <v>3453</v>
      </c>
      <c r="H41" s="435">
        <f>SUMIF(123:123,G41,124:124)-SUMIF(123:123,C41,124:124)+100</f>
        <v>100</v>
      </c>
      <c r="I41" s="2695" t="s">
        <v>3453</v>
      </c>
      <c r="J41" s="435">
        <f>SUMIF(123:123,I41,124:124)-SUMIF(123:123,C41,124:124)+100</f>
        <v>100</v>
      </c>
      <c r="K41" s="612">
        <v>1</v>
      </c>
      <c r="L41" s="1131"/>
      <c r="M41" s="1132"/>
      <c r="N41" s="1132"/>
      <c r="O41" s="1133"/>
      <c r="P41" s="3243"/>
      <c r="Q41" s="1808" t="str">
        <f t="shared" si="13"/>
        <v>宗地开发程度</v>
      </c>
      <c r="R41" s="770" t="s">
        <v>17</v>
      </c>
      <c r="S41" s="771">
        <f t="shared" si="9"/>
        <v>100</v>
      </c>
      <c r="T41" s="770" t="s">
        <v>17</v>
      </c>
      <c r="U41" s="771">
        <f t="shared" si="10"/>
        <v>100</v>
      </c>
      <c r="V41" s="770" t="s">
        <v>17</v>
      </c>
      <c r="W41" s="771">
        <f t="shared" si="11"/>
        <v>100</v>
      </c>
      <c r="X41" s="772"/>
      <c r="Y41" s="3243"/>
      <c r="Z41" s="55" t="str">
        <f t="shared" si="12"/>
        <v>宗地开发程度</v>
      </c>
      <c r="AA41" s="773">
        <f t="shared" si="3"/>
        <v>1</v>
      </c>
      <c r="AB41" s="773">
        <f t="shared" si="4"/>
        <v>1</v>
      </c>
      <c r="AC41" s="773">
        <f t="shared" si="5"/>
        <v>1</v>
      </c>
    </row>
    <row r="42" spans="1:29" ht="15.6" thickBot="1">
      <c r="A42" s="472"/>
      <c r="B42" s="422" t="s">
        <v>2744</v>
      </c>
      <c r="C42" s="2607" t="s">
        <v>3443</v>
      </c>
      <c r="D42" s="435">
        <v>100</v>
      </c>
      <c r="E42" s="2607" t="s">
        <v>3443</v>
      </c>
      <c r="F42" s="435">
        <f>SUMIF(125:125,E42,126:126)-SUMIF(125:125,C42,126:126)+100</f>
        <v>100</v>
      </c>
      <c r="G42" s="2607" t="s">
        <v>3443</v>
      </c>
      <c r="H42" s="435">
        <f>SUMIF(125:125,G42,126:126)-SUMIF(125:125,C42,126:126)+100</f>
        <v>100</v>
      </c>
      <c r="I42" s="2607" t="s">
        <v>3443</v>
      </c>
      <c r="J42" s="435">
        <f>SUMIF(125:125,I42,126:126)-SUMIF(125:125,C42,126:126)+100</f>
        <v>100</v>
      </c>
      <c r="K42" s="612">
        <v>1</v>
      </c>
      <c r="L42" s="1139"/>
      <c r="M42" s="1130"/>
      <c r="N42" s="1130"/>
      <c r="O42" s="1138"/>
      <c r="P42" s="3243" t="s">
        <v>2554</v>
      </c>
      <c r="Q42" s="1808" t="str">
        <f t="shared" si="13"/>
        <v>工程地质条件</v>
      </c>
      <c r="R42" s="774" t="s">
        <v>17</v>
      </c>
      <c r="S42" s="775">
        <f t="shared" si="9"/>
        <v>100</v>
      </c>
      <c r="T42" s="774" t="s">
        <v>17</v>
      </c>
      <c r="U42" s="775">
        <f t="shared" si="10"/>
        <v>100</v>
      </c>
      <c r="V42" s="774" t="s">
        <v>17</v>
      </c>
      <c r="W42" s="775">
        <f t="shared" si="11"/>
        <v>100</v>
      </c>
      <c r="X42" s="1811"/>
      <c r="Y42" s="3243" t="s">
        <v>2554</v>
      </c>
      <c r="Z42" s="1812" t="str">
        <f t="shared" si="12"/>
        <v>工程地质条件</v>
      </c>
      <c r="AA42" s="1809">
        <f t="shared" si="3"/>
        <v>1</v>
      </c>
      <c r="AB42" s="1809">
        <f t="shared" si="4"/>
        <v>1</v>
      </c>
      <c r="AC42" s="1809">
        <f t="shared" si="5"/>
        <v>1</v>
      </c>
    </row>
    <row r="43" spans="1:29" ht="15" hidden="1">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3"/>
      <c r="Q43" s="1808">
        <f t="shared" si="13"/>
        <v>111</v>
      </c>
      <c r="R43" s="774" t="s">
        <v>17</v>
      </c>
      <c r="S43" s="775">
        <f t="shared" si="9"/>
        <v>100</v>
      </c>
      <c r="T43" s="774" t="s">
        <v>17</v>
      </c>
      <c r="U43" s="775">
        <f t="shared" si="10"/>
        <v>100</v>
      </c>
      <c r="V43" s="774" t="s">
        <v>17</v>
      </c>
      <c r="W43" s="775">
        <f t="shared" si="11"/>
        <v>100</v>
      </c>
      <c r="X43" s="1811"/>
      <c r="Y43" s="3243"/>
      <c r="Z43" s="1812">
        <f t="shared" si="12"/>
        <v>111</v>
      </c>
      <c r="AA43" s="1809">
        <f t="shared" si="3"/>
        <v>1</v>
      </c>
      <c r="AB43" s="1809">
        <f t="shared" si="4"/>
        <v>1</v>
      </c>
      <c r="AC43" s="1809">
        <f t="shared" si="5"/>
        <v>1</v>
      </c>
    </row>
    <row r="44" spans="1:29" ht="15" hidden="1">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3"/>
      <c r="Q44" s="1808">
        <f t="shared" si="13"/>
        <v>111</v>
      </c>
      <c r="R44" s="774" t="s">
        <v>17</v>
      </c>
      <c r="S44" s="775">
        <f t="shared" si="9"/>
        <v>100</v>
      </c>
      <c r="T44" s="774" t="s">
        <v>17</v>
      </c>
      <c r="U44" s="775">
        <f t="shared" si="10"/>
        <v>100</v>
      </c>
      <c r="V44" s="774" t="s">
        <v>17</v>
      </c>
      <c r="W44" s="775">
        <f t="shared" si="11"/>
        <v>100</v>
      </c>
      <c r="X44" s="1811"/>
      <c r="Y44" s="3243"/>
      <c r="Z44" s="1812">
        <f t="shared" si="12"/>
        <v>111</v>
      </c>
      <c r="AA44" s="1809">
        <f t="shared" si="3"/>
        <v>1</v>
      </c>
      <c r="AB44" s="1809">
        <f t="shared" si="4"/>
        <v>1</v>
      </c>
      <c r="AC44" s="1809">
        <f t="shared" si="5"/>
        <v>1</v>
      </c>
    </row>
    <row r="45" spans="1:29" s="471" customFormat="1" ht="15.6" hidden="1" thickBot="1">
      <c r="A45" s="468"/>
      <c r="B45" s="1386">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3"/>
      <c r="Q45" s="1808">
        <f t="shared" si="13"/>
        <v>111</v>
      </c>
      <c r="R45" s="777" t="s">
        <v>17</v>
      </c>
      <c r="S45" s="778">
        <f t="shared" si="9"/>
        <v>100</v>
      </c>
      <c r="T45" s="777" t="s">
        <v>17</v>
      </c>
      <c r="U45" s="778">
        <f t="shared" si="10"/>
        <v>100</v>
      </c>
      <c r="V45" s="777" t="s">
        <v>17</v>
      </c>
      <c r="W45" s="778">
        <f t="shared" si="11"/>
        <v>100</v>
      </c>
      <c r="X45" s="779"/>
      <c r="Y45" s="3243"/>
      <c r="Z45" s="780">
        <f t="shared" si="12"/>
        <v>111</v>
      </c>
      <c r="AA45" s="1809">
        <f t="shared" si="3"/>
        <v>1</v>
      </c>
      <c r="AB45" s="1809">
        <f t="shared" si="4"/>
        <v>1</v>
      </c>
      <c r="AC45" s="1809">
        <f t="shared" si="5"/>
        <v>1</v>
      </c>
    </row>
    <row r="46" spans="1:29" ht="14.4">
      <c r="A46" s="479" t="s">
        <v>2709</v>
      </c>
      <c r="B46" s="2697" t="s">
        <v>2745</v>
      </c>
      <c r="C46" s="682" t="s">
        <v>1</v>
      </c>
      <c r="D46" s="481"/>
      <c r="E46" s="482">
        <f>ROUND(土地案例!AK9,0)</f>
        <v>7172</v>
      </c>
      <c r="F46" s="483"/>
      <c r="G46" s="482">
        <f>ROUND(土地案例!AK47,0)</f>
        <v>6664</v>
      </c>
      <c r="H46" s="485"/>
      <c r="I46" s="482">
        <f>ROUND(土地案例!AK50,0)</f>
        <v>6442</v>
      </c>
      <c r="J46" s="485"/>
      <c r="K46" s="783"/>
      <c r="L46" s="1142"/>
      <c r="M46" s="1143"/>
      <c r="N46" s="1130"/>
      <c r="O46" s="1143"/>
      <c r="P46" s="3245" t="str">
        <f>A46</f>
        <v>成交单价</v>
      </c>
      <c r="Q46" s="3245"/>
      <c r="R46" s="3231">
        <f>E46</f>
        <v>7172</v>
      </c>
      <c r="S46" s="3231"/>
      <c r="T46" s="3231">
        <f>G46</f>
        <v>6664</v>
      </c>
      <c r="U46" s="3231"/>
      <c r="V46" s="3231">
        <f>I46</f>
        <v>6442</v>
      </c>
      <c r="W46" s="3231"/>
      <c r="X46" s="759"/>
      <c r="Y46" s="781"/>
      <c r="Z46" s="759"/>
      <c r="AA46" s="759"/>
      <c r="AB46" s="759"/>
      <c r="AC46" s="759"/>
    </row>
    <row r="47" spans="1:29" ht="15" thickBot="1">
      <c r="A47" s="486" t="s">
        <v>2658</v>
      </c>
      <c r="B47" s="683"/>
      <c r="C47" s="490">
        <f>R48</f>
        <v>5668</v>
      </c>
      <c r="D47" s="489"/>
      <c r="E47" s="490">
        <f>R47</f>
        <v>5805</v>
      </c>
      <c r="F47" s="491"/>
      <c r="G47" s="488">
        <f>T47</f>
        <v>5558</v>
      </c>
      <c r="H47" s="489"/>
      <c r="I47" s="490">
        <f>V47</f>
        <v>5640</v>
      </c>
      <c r="J47" s="489"/>
      <c r="K47" s="784"/>
      <c r="L47" s="1142"/>
      <c r="M47" s="1143"/>
      <c r="N47" s="1143"/>
      <c r="O47" s="1143"/>
      <c r="P47" s="3245" t="str">
        <f>A47</f>
        <v>比较价值（元/平方米）</v>
      </c>
      <c r="Q47" s="3245"/>
      <c r="R47" s="3268">
        <f>ROUND(PRODUCT(R46,AA7:AA45),0)</f>
        <v>5805</v>
      </c>
      <c r="S47" s="3268"/>
      <c r="T47" s="3268">
        <f>ROUND(PRODUCT(T46,AB7:AB45),0)</f>
        <v>5558</v>
      </c>
      <c r="U47" s="3268"/>
      <c r="V47" s="3268">
        <f>ROUND(PRODUCT(V46,AC7:AC45),0)</f>
        <v>5640</v>
      </c>
      <c r="W47" s="3268"/>
      <c r="X47" s="759"/>
      <c r="Y47" s="759"/>
      <c r="Z47" s="759"/>
      <c r="AA47" s="759"/>
      <c r="AB47" s="759"/>
      <c r="AC47" s="759"/>
    </row>
    <row r="48" spans="1:29" ht="15" thickBot="1">
      <c r="A48" s="492" t="s">
        <v>2746</v>
      </c>
      <c r="B48" s="493"/>
      <c r="C48" s="494">
        <f>R48</f>
        <v>5668</v>
      </c>
      <c r="D48" s="494"/>
      <c r="E48" s="494"/>
      <c r="F48" s="494"/>
      <c r="G48" s="494"/>
      <c r="H48" s="494"/>
      <c r="I48" s="494"/>
      <c r="J48" s="494"/>
      <c r="K48" s="785"/>
      <c r="L48" s="1142"/>
      <c r="M48" s="1143"/>
      <c r="N48" s="1143"/>
      <c r="O48" s="1143"/>
      <c r="P48" s="3247" t="str">
        <f>A48</f>
        <v>估价对象XX用房的比较价值（楼面单价，元/平方米）</v>
      </c>
      <c r="Q48" s="3248"/>
      <c r="R48" s="3269">
        <f>ROUND(AVERAGE(R47:V47),0)</f>
        <v>5668</v>
      </c>
      <c r="S48" s="3269"/>
      <c r="T48" s="3269"/>
      <c r="U48" s="3269"/>
      <c r="V48" s="3269"/>
      <c r="W48" s="326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f>IF(E46&lt;E47,E47/E46-1,E46/E47-1)</f>
        <v>0.23548664944013775</v>
      </c>
      <c r="F51" s="500" t="str">
        <f>IF(OR(E51&gt;=0.3,E51&lt;=-0.3),"超过30%","")</f>
        <v/>
      </c>
      <c r="G51" s="499">
        <f>IF(G46&lt;G47,G47/G46-1,G46/G47-1)</f>
        <v>0.19899244332493704</v>
      </c>
      <c r="H51" s="500" t="str">
        <f>IF(OR(G51&gt;=0.3,G51&lt;=-0.3),"超过30%","")</f>
        <v/>
      </c>
      <c r="I51" s="499">
        <f>IF(I46&lt;I47,I47/I46-1,I46/I47-1)</f>
        <v>0.14219858156028375</v>
      </c>
      <c r="J51" s="500" t="str">
        <f>IF(OR(I51&gt;=0.3,I51&lt;=-0.3),"超过30%","")</f>
        <v/>
      </c>
      <c r="K51" s="1104"/>
      <c r="L51" s="1105"/>
      <c r="M51" s="1143"/>
      <c r="N51" s="1143"/>
      <c r="O51" s="1143"/>
    </row>
    <row r="52" spans="1:15" ht="13.5" customHeight="1">
      <c r="A52" s="1143"/>
      <c r="B52" s="1143"/>
      <c r="C52" s="497" t="s">
        <v>2661</v>
      </c>
      <c r="D52" s="501"/>
      <c r="E52" s="499">
        <f>IF(E47&lt;G47,G47/E47-1,E47/G47-1)</f>
        <v>4.4440446203670492E-2</v>
      </c>
      <c r="F52" s="500" t="str">
        <f>IF(OR(E52&gt;=0.2,E52&lt;=-0.2),"超过20%","")</f>
        <v/>
      </c>
      <c r="G52" s="499">
        <f>IF(G47&lt;I47,I47/G47-1,G47/I47-1)</f>
        <v>1.4753508456279318E-2</v>
      </c>
      <c r="H52" s="500" t="str">
        <f>IF(OR(G52&gt;=0.2,G52&lt;=-0.2),"超过20%","")</f>
        <v/>
      </c>
      <c r="I52" s="499">
        <f>IF(I47&lt;E47,E47/I47-1,I47/E47-1)</f>
        <v>2.9255319148936199E-2</v>
      </c>
      <c r="J52" s="500" t="str">
        <f>IF(OR(I52&gt;=0.2,I52&lt;=-0.2),"超过20%","")</f>
        <v/>
      </c>
      <c r="K52" s="1104"/>
      <c r="L52" s="1105"/>
      <c r="M52" s="1143"/>
      <c r="N52" s="1143"/>
      <c r="O52" s="1143"/>
    </row>
    <row r="53" spans="1:15" s="502" customFormat="1" ht="13.5" customHeight="1">
      <c r="A53" s="1144"/>
      <c r="B53" s="1144"/>
      <c r="C53" s="497" t="s">
        <v>2662</v>
      </c>
      <c r="D53" s="501"/>
      <c r="E53" s="499">
        <f>IF(E46&lt;G46,G46/E46-1,E46/G46-1)</f>
        <v>7.623049219687883E-2</v>
      </c>
      <c r="F53" s="500" t="str">
        <f>IF(OR(E53&gt;=0.3,E53&lt;=-0.3),"超过30%","")</f>
        <v/>
      </c>
      <c r="G53" s="499">
        <f>IF(G46&lt;I46,I46/G46-1,G46/I46-1)</f>
        <v>3.4461347407637399E-2</v>
      </c>
      <c r="H53" s="500" t="str">
        <f>IF(OR(G53&gt;=0.3,G53&lt;=-0.3),"超过30%","")</f>
        <v/>
      </c>
      <c r="I53" s="499">
        <f>IF(I46&lt;E46,E46/I46-1,I46/E46-1)</f>
        <v>0.11331884507916801</v>
      </c>
      <c r="J53" s="500" t="str">
        <f>IF(OR(I53&gt;=0.3,I53&lt;=-0.3),"超过30%","")</f>
        <v/>
      </c>
      <c r="K53" s="1147"/>
      <c r="L53" s="1148"/>
      <c r="M53" s="1144"/>
      <c r="N53" s="1144"/>
      <c r="O53" s="1144"/>
    </row>
    <row r="54" spans="1:15" s="502" customFormat="1" ht="14.4" thickBot="1">
      <c r="A54" s="1144"/>
      <c r="B54" s="1145"/>
      <c r="C54" s="762"/>
      <c r="D54" s="760"/>
      <c r="E54" s="760"/>
      <c r="F54" s="760"/>
      <c r="G54" s="760"/>
      <c r="H54" s="760"/>
      <c r="I54" s="760"/>
      <c r="J54" s="760"/>
      <c r="K54" s="1147"/>
      <c r="L54" s="1148"/>
      <c r="M54" s="1144"/>
      <c r="N54" s="1144"/>
      <c r="O54" s="1144"/>
    </row>
    <row r="55" spans="1:15" ht="27" customHeight="1">
      <c r="A55" s="684" t="s">
        <v>2747</v>
      </c>
      <c r="B55" s="685" t="s">
        <v>2748</v>
      </c>
      <c r="C55" s="2698" t="s">
        <v>2749</v>
      </c>
      <c r="D55" s="2699" t="s">
        <v>2750</v>
      </c>
      <c r="E55" s="686" t="s">
        <v>2751</v>
      </c>
      <c r="F55" s="1106" t="s">
        <v>2752</v>
      </c>
      <c r="G55" s="3205" t="s">
        <v>2753</v>
      </c>
      <c r="H55" s="3270"/>
      <c r="I55" s="144" t="s">
        <v>2754</v>
      </c>
      <c r="J55" s="2700" t="str">
        <f>项目基本情况!F35</f>
        <v>天津市</v>
      </c>
      <c r="K55" s="2701" t="s">
        <v>2755</v>
      </c>
      <c r="L55" s="1105"/>
      <c r="M55" s="1143"/>
      <c r="N55" s="1143"/>
      <c r="O55" s="1143"/>
    </row>
    <row r="56" spans="1:15" s="692" customFormat="1">
      <c r="A56" s="688" t="s">
        <v>2756</v>
      </c>
      <c r="B56" s="689">
        <f>C48</f>
        <v>5668</v>
      </c>
      <c r="C56" s="690">
        <v>1</v>
      </c>
      <c r="D56" s="1162">
        <v>1</v>
      </c>
      <c r="E56" s="690">
        <f>'数据-汇总表'!E8+'数据-汇总表'!E9</f>
        <v>14966.349999999999</v>
      </c>
      <c r="F56" s="1102">
        <f t="shared" ref="F56:F65" si="14">ROUND(B56*E56/10000,0)</f>
        <v>8483</v>
      </c>
      <c r="G56" s="3235"/>
      <c r="H56" s="3245"/>
      <c r="I56" s="1107">
        <v>1</v>
      </c>
      <c r="J56" s="1110">
        <v>1</v>
      </c>
      <c r="K56" s="1144"/>
      <c r="L56" s="941"/>
      <c r="M56" s="941"/>
      <c r="N56" s="941"/>
      <c r="O56" s="941"/>
    </row>
    <row r="57" spans="1:15" s="692" customFormat="1">
      <c r="A57" s="693" t="s">
        <v>2757</v>
      </c>
      <c r="B57" s="262">
        <f>ROUND($C$48*C57*D57,0)</f>
        <v>0</v>
      </c>
      <c r="C57" s="200">
        <f t="shared" ref="C57:C65" si="15">IF($C$55="北京市系数",I57,J57)</f>
        <v>0</v>
      </c>
      <c r="D57" s="1163">
        <v>0.25</v>
      </c>
      <c r="E57" s="694"/>
      <c r="F57" s="1102">
        <f t="shared" si="14"/>
        <v>0</v>
      </c>
      <c r="G57" s="3271" t="s">
        <v>2758</v>
      </c>
      <c r="H57" s="1103">
        <f>项目基本情况!B37</f>
        <v>0</v>
      </c>
      <c r="I57" s="1107">
        <f>SUMIF(修正!A45:A56,H57,修正!B45:B56)</f>
        <v>0</v>
      </c>
      <c r="J57" s="1111"/>
      <c r="K57" s="1143"/>
      <c r="L57" s="941"/>
      <c r="M57" s="941"/>
      <c r="N57" s="941"/>
      <c r="O57" s="941"/>
    </row>
    <row r="58" spans="1:15" s="692" customFormat="1">
      <c r="A58" s="693" t="s">
        <v>2759</v>
      </c>
      <c r="B58" s="262">
        <f t="shared" ref="B58:B65" si="16">ROUND($C$48*C58*D58,0)</f>
        <v>0</v>
      </c>
      <c r="C58" s="200">
        <f t="shared" si="15"/>
        <v>0</v>
      </c>
      <c r="D58" s="1163">
        <v>0.25</v>
      </c>
      <c r="E58" s="694"/>
      <c r="F58" s="1102">
        <f t="shared" si="14"/>
        <v>0</v>
      </c>
      <c r="G58" s="3271"/>
      <c r="H58" s="1103">
        <f>项目基本情况!B37</f>
        <v>0</v>
      </c>
      <c r="I58" s="1107">
        <f>SUMIF(修正!A45:A56,H58,修正!C45:C56)</f>
        <v>0</v>
      </c>
      <c r="J58" s="1111"/>
      <c r="K58" s="1144"/>
      <c r="L58" s="941"/>
      <c r="M58" s="941"/>
      <c r="N58" s="941"/>
      <c r="O58" s="941"/>
    </row>
    <row r="59" spans="1:15" s="692" customFormat="1">
      <c r="A59" s="693" t="s">
        <v>2760</v>
      </c>
      <c r="B59" s="262">
        <f t="shared" si="16"/>
        <v>0</v>
      </c>
      <c r="C59" s="200">
        <f t="shared" si="15"/>
        <v>0</v>
      </c>
      <c r="D59" s="1163">
        <v>0.25</v>
      </c>
      <c r="E59" s="694"/>
      <c r="F59" s="1102">
        <f t="shared" si="14"/>
        <v>0</v>
      </c>
      <c r="G59" s="3271"/>
      <c r="H59" s="1103">
        <f>项目基本情况!B37</f>
        <v>0</v>
      </c>
      <c r="I59" s="1107">
        <f>SUMIF(修正!A45:A56,H59,修正!D45:D56)</f>
        <v>0</v>
      </c>
      <c r="J59" s="1111"/>
      <c r="K59" s="1143"/>
      <c r="L59" s="941"/>
      <c r="M59" s="941"/>
      <c r="N59" s="941"/>
      <c r="O59" s="941"/>
    </row>
    <row r="60" spans="1:15" s="692" customFormat="1">
      <c r="A60" s="693" t="s">
        <v>2761</v>
      </c>
      <c r="B60" s="262">
        <f t="shared" si="16"/>
        <v>0</v>
      </c>
      <c r="C60" s="200">
        <f t="shared" si="15"/>
        <v>0</v>
      </c>
      <c r="D60" s="1163">
        <v>0.25</v>
      </c>
      <c r="E60" s="694"/>
      <c r="F60" s="1102">
        <f t="shared" si="14"/>
        <v>0</v>
      </c>
      <c r="G60" s="3271"/>
      <c r="H60" s="1103">
        <f>项目基本情况!B37</f>
        <v>0</v>
      </c>
      <c r="I60" s="1107">
        <f>SUMIF(修正!A45:A56,H60,修正!E45:E56)</f>
        <v>0</v>
      </c>
      <c r="J60" s="1111"/>
      <c r="K60" s="1144"/>
      <c r="L60" s="941"/>
      <c r="M60" s="941"/>
      <c r="N60" s="941"/>
      <c r="O60" s="941"/>
    </row>
    <row r="61" spans="1:15" s="692" customFormat="1">
      <c r="A61" s="693" t="s">
        <v>2762</v>
      </c>
      <c r="B61" s="262">
        <f t="shared" si="16"/>
        <v>0</v>
      </c>
      <c r="C61" s="200">
        <f t="shared" si="15"/>
        <v>0</v>
      </c>
      <c r="D61" s="1163">
        <v>0.25</v>
      </c>
      <c r="E61" s="261">
        <f>'数据-汇总表'!E11</f>
        <v>0</v>
      </c>
      <c r="F61" s="1102">
        <f t="shared" si="14"/>
        <v>0</v>
      </c>
      <c r="G61" s="2702" t="s">
        <v>2763</v>
      </c>
      <c r="H61" s="1103">
        <f>项目基本情况!C37</f>
        <v>0</v>
      </c>
      <c r="I61" s="1107">
        <f>SUMIF(修正!A45:A56,H61,修正!F45:F56)</f>
        <v>0</v>
      </c>
      <c r="J61" s="1111"/>
      <c r="K61" s="1143"/>
      <c r="L61" s="941"/>
      <c r="M61" s="941"/>
      <c r="N61" s="941"/>
      <c r="O61" s="941"/>
    </row>
    <row r="62" spans="1:15" s="692" customFormat="1">
      <c r="A62" s="693" t="s">
        <v>2764</v>
      </c>
      <c r="B62" s="262">
        <f t="shared" si="16"/>
        <v>0</v>
      </c>
      <c r="C62" s="200">
        <f t="shared" si="15"/>
        <v>0</v>
      </c>
      <c r="D62" s="1163">
        <v>0.25</v>
      </c>
      <c r="E62" s="261">
        <f>'数据-汇总表'!E12</f>
        <v>0</v>
      </c>
      <c r="F62" s="1102">
        <f t="shared" si="14"/>
        <v>0</v>
      </c>
      <c r="G62" s="1108" t="s">
        <v>2765</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2766</v>
      </c>
      <c r="B63" s="262">
        <f t="shared" si="16"/>
        <v>0</v>
      </c>
      <c r="C63" s="200">
        <f t="shared" si="15"/>
        <v>0</v>
      </c>
      <c r="D63" s="1163">
        <v>0.25</v>
      </c>
      <c r="E63" s="261">
        <f>'数据-汇总表'!E13</f>
        <v>0</v>
      </c>
      <c r="F63" s="1102">
        <f t="shared" si="14"/>
        <v>0</v>
      </c>
      <c r="G63" s="1108" t="s">
        <v>2767</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2768</v>
      </c>
      <c r="B64" s="262">
        <f t="shared" si="16"/>
        <v>0</v>
      </c>
      <c r="C64" s="200">
        <f t="shared" si="15"/>
        <v>0</v>
      </c>
      <c r="D64" s="1163">
        <v>0.25</v>
      </c>
      <c r="E64" s="261">
        <f>'数据-汇总表'!E14</f>
        <v>0</v>
      </c>
      <c r="F64" s="1102">
        <f t="shared" si="14"/>
        <v>0</v>
      </c>
      <c r="G64" s="2702" t="s">
        <v>2758</v>
      </c>
      <c r="H64" s="1103">
        <f>项目基本情况!B37</f>
        <v>0</v>
      </c>
      <c r="I64" s="1107">
        <f>SUMIF(修正!A45:A56,H64,修正!H45:H56)</f>
        <v>0</v>
      </c>
      <c r="J64" s="1111"/>
      <c r="K64" s="1144"/>
      <c r="L64" s="941"/>
      <c r="M64" s="941"/>
      <c r="N64" s="941"/>
      <c r="O64" s="941"/>
    </row>
    <row r="65" spans="1:17" s="692" customFormat="1" ht="14.4" thickBot="1">
      <c r="A65" s="693" t="s">
        <v>2769</v>
      </c>
      <c r="B65" s="262">
        <f t="shared" si="16"/>
        <v>0</v>
      </c>
      <c r="C65" s="200">
        <f t="shared" si="15"/>
        <v>0</v>
      </c>
      <c r="D65" s="1163">
        <v>0.25</v>
      </c>
      <c r="E65" s="261">
        <f>'数据-汇总表'!E15</f>
        <v>0</v>
      </c>
      <c r="F65" s="1102">
        <f t="shared" si="14"/>
        <v>0</v>
      </c>
      <c r="G65" s="2703" t="s">
        <v>2763</v>
      </c>
      <c r="H65" s="1113">
        <f>项目基本情况!C37</f>
        <v>0</v>
      </c>
      <c r="I65" s="1109">
        <f>SUMIF(修正!A45:A56,H65,修正!H45:H56)</f>
        <v>0</v>
      </c>
      <c r="J65" s="1112"/>
      <c r="K65" s="1143"/>
      <c r="L65" s="941"/>
      <c r="M65" s="941"/>
      <c r="N65" s="941"/>
      <c r="O65" s="941"/>
    </row>
    <row r="66" spans="1:17" s="692" customFormat="1" thickBot="1">
      <c r="A66" s="695" t="s">
        <v>2770</v>
      </c>
      <c r="B66" s="696" t="s">
        <v>28</v>
      </c>
      <c r="C66" s="696" t="s">
        <v>29</v>
      </c>
      <c r="D66" s="696" t="s">
        <v>1026</v>
      </c>
      <c r="E66" s="696">
        <f>IF(B46="楼面地价",SUM(E56:E65),'数据-汇总表'!D3)</f>
        <v>14966.349999999999</v>
      </c>
      <c r="F66" s="697">
        <f>IF(B46="楼面地价",SUM(F56:F65),ROUND(C48*E66/10000,0))</f>
        <v>8483</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2019-9-1</v>
      </c>
      <c r="D68" s="761">
        <f>EDATE(C68,-3)</f>
        <v>43617</v>
      </c>
      <c r="E68" s="761">
        <f>EDATE(D68,-3)</f>
        <v>43525</v>
      </c>
      <c r="F68" s="761">
        <f t="shared" ref="F68:O68" si="17">EDATE(E68,-3)</f>
        <v>43435</v>
      </c>
      <c r="G68" s="761">
        <f t="shared" si="17"/>
        <v>43344</v>
      </c>
      <c r="H68" s="761">
        <f t="shared" si="17"/>
        <v>43252</v>
      </c>
      <c r="I68" s="761">
        <f t="shared" si="17"/>
        <v>43160</v>
      </c>
      <c r="J68" s="761">
        <f t="shared" si="17"/>
        <v>43070</v>
      </c>
      <c r="K68" s="761">
        <f t="shared" si="17"/>
        <v>42979</v>
      </c>
      <c r="L68" s="761">
        <f t="shared" si="17"/>
        <v>42887</v>
      </c>
      <c r="M68" s="761">
        <f t="shared" si="17"/>
        <v>42795</v>
      </c>
      <c r="N68" s="761">
        <f t="shared" si="17"/>
        <v>42705</v>
      </c>
      <c r="O68" s="761">
        <f t="shared" si="17"/>
        <v>42614</v>
      </c>
    </row>
    <row r="69" spans="1:17" ht="22.2" thickBot="1">
      <c r="A69" s="763" t="s">
        <v>2663</v>
      </c>
      <c r="B69" s="759"/>
      <c r="C69" s="764"/>
      <c r="D69" s="764"/>
      <c r="E69" s="764"/>
      <c r="F69" s="765"/>
      <c r="G69" s="765"/>
      <c r="H69" s="764"/>
      <c r="I69" s="764"/>
      <c r="J69" s="1158"/>
      <c r="K69" s="1159"/>
      <c r="L69" s="1160"/>
      <c r="M69" s="1158"/>
      <c r="N69" s="1158"/>
      <c r="O69" s="1158"/>
      <c r="P69" s="503"/>
      <c r="Q69" s="504"/>
    </row>
    <row r="70" spans="1:17" s="508" customFormat="1" ht="14.4">
      <c r="A70" s="2704" t="s">
        <v>2771</v>
      </c>
      <c r="B70" s="1358"/>
      <c r="C70" s="1570" t="str">
        <f>YEAR(C68)&amp;"-"&amp;ROUNDUP(MONTH(C68)/3,0)</f>
        <v>2019-3</v>
      </c>
      <c r="D70" s="1570" t="str">
        <f>YEAR(D68)&amp;"-"&amp;ROUNDUP(MONTH(D68)/3,0)</f>
        <v>2019-2</v>
      </c>
      <c r="E70" s="1570" t="str">
        <f t="shared" ref="E70:O70" si="18">YEAR(E68)&amp;"-"&amp;ROUNDUP(MONTH(E68)/3,0)</f>
        <v>2019-1</v>
      </c>
      <c r="F70" s="1570" t="str">
        <f t="shared" si="18"/>
        <v>2018-4</v>
      </c>
      <c r="G70" s="1570" t="str">
        <f t="shared" si="18"/>
        <v>2018-3</v>
      </c>
      <c r="H70" s="1570" t="str">
        <f t="shared" si="18"/>
        <v>2018-2</v>
      </c>
      <c r="I70" s="1570" t="str">
        <f t="shared" si="18"/>
        <v>2018-1</v>
      </c>
      <c r="J70" s="1570" t="str">
        <f t="shared" si="18"/>
        <v>2017-4</v>
      </c>
      <c r="K70" s="1570" t="str">
        <f t="shared" si="18"/>
        <v>2017-3</v>
      </c>
      <c r="L70" s="1570" t="str">
        <f t="shared" si="18"/>
        <v>2017-2</v>
      </c>
      <c r="M70" s="1570" t="str">
        <f t="shared" si="18"/>
        <v>2017-1</v>
      </c>
      <c r="N70" s="1570" t="str">
        <f t="shared" si="18"/>
        <v>2016-4</v>
      </c>
      <c r="O70" s="1570" t="str">
        <f t="shared" si="18"/>
        <v>2016-3</v>
      </c>
      <c r="P70" s="507"/>
    </row>
    <row r="71" spans="1:17" s="117" customFormat="1" ht="30" customHeight="1">
      <c r="A71" s="2705" t="s">
        <v>2772</v>
      </c>
      <c r="B71" s="332" t="str">
        <f>"北京市平均增长率"&amp;TEXT(SUMIF(基准地价修正!N21:N25,A71,基准地价修正!P21:P25),"0.00%")</f>
        <v>北京市平均增长率2.23%</v>
      </c>
      <c r="C71" s="603">
        <v>100</v>
      </c>
      <c r="D71" s="595">
        <f>C71-$C$72</f>
        <v>99.5</v>
      </c>
      <c r="E71" s="595">
        <f t="shared" ref="E71:O71" si="19">D71-$C$72</f>
        <v>99</v>
      </c>
      <c r="F71" s="595">
        <f t="shared" si="19"/>
        <v>98.5</v>
      </c>
      <c r="G71" s="595">
        <f t="shared" si="19"/>
        <v>98</v>
      </c>
      <c r="H71" s="595">
        <f t="shared" si="19"/>
        <v>97.5</v>
      </c>
      <c r="I71" s="595">
        <f t="shared" si="19"/>
        <v>97</v>
      </c>
      <c r="J71" s="595">
        <f t="shared" si="19"/>
        <v>96.5</v>
      </c>
      <c r="K71" s="595">
        <f t="shared" si="19"/>
        <v>96</v>
      </c>
      <c r="L71" s="595">
        <f t="shared" si="19"/>
        <v>95.5</v>
      </c>
      <c r="M71" s="595">
        <f t="shared" si="19"/>
        <v>95</v>
      </c>
      <c r="N71" s="595">
        <f t="shared" si="19"/>
        <v>94.5</v>
      </c>
      <c r="O71" s="595">
        <f t="shared" si="19"/>
        <v>94</v>
      </c>
      <c r="P71" s="504"/>
    </row>
    <row r="72" spans="1:17" s="117" customFormat="1" ht="15" thickBot="1">
      <c r="A72" s="515" t="s">
        <v>2574</v>
      </c>
      <c r="B72" s="516"/>
      <c r="C72" s="517">
        <v>0.5</v>
      </c>
      <c r="D72" s="518"/>
      <c r="E72" s="518"/>
      <c r="F72" s="518"/>
      <c r="G72" s="518"/>
      <c r="H72" s="518"/>
      <c r="I72" s="518"/>
      <c r="J72" s="518"/>
      <c r="K72" s="518"/>
      <c r="L72" s="518"/>
      <c r="M72" s="519"/>
      <c r="N72" s="518"/>
      <c r="O72" s="1161"/>
      <c r="P72" s="504"/>
      <c r="Q72" s="504"/>
    </row>
    <row r="73" spans="1:17" s="117" customFormat="1" ht="14.4">
      <c r="A73" s="521" t="s">
        <v>2539</v>
      </c>
      <c r="B73" s="510"/>
      <c r="C73" s="522" t="s">
        <v>2641</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2577</v>
      </c>
      <c r="B75" s="528" t="s">
        <v>2543</v>
      </c>
      <c r="C75" s="2959" t="s">
        <v>3419</v>
      </c>
      <c r="D75" s="2959" t="s">
        <v>3420</v>
      </c>
      <c r="E75" s="530"/>
      <c r="F75" s="530"/>
      <c r="G75" s="530"/>
      <c r="H75" s="530"/>
      <c r="I75" s="530"/>
      <c r="J75" s="530"/>
      <c r="K75" s="531"/>
      <c r="L75" s="532"/>
      <c r="M75" s="533"/>
      <c r="N75" s="1151"/>
      <c r="O75" s="1151"/>
      <c r="P75" s="45"/>
      <c r="Q75" s="504"/>
    </row>
    <row r="76" spans="1:17" ht="14.4" thickBot="1">
      <c r="A76" s="534"/>
      <c r="B76" s="535"/>
      <c r="C76" s="536">
        <v>100</v>
      </c>
      <c r="D76" s="536">
        <v>95</v>
      </c>
      <c r="E76" s="536"/>
      <c r="F76" s="536"/>
      <c r="G76" s="536"/>
      <c r="H76" s="536"/>
      <c r="I76" s="536"/>
      <c r="J76" s="536"/>
      <c r="K76" s="536"/>
      <c r="L76" s="536"/>
      <c r="M76" s="537"/>
      <c r="N76" s="1152"/>
      <c r="O76" s="1152"/>
      <c r="P76" s="45"/>
      <c r="Q76" s="504"/>
    </row>
    <row r="77" spans="1:17" ht="29.4" thickTop="1">
      <c r="A77" s="534"/>
      <c r="B77" s="538" t="s">
        <v>2546</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2547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v>0</v>
      </c>
      <c r="D80" s="549">
        <v>1</v>
      </c>
      <c r="E80" s="549">
        <v>2</v>
      </c>
      <c r="F80" s="549">
        <v>3</v>
      </c>
      <c r="G80" s="549">
        <v>4</v>
      </c>
      <c r="H80" s="549">
        <v>5</v>
      </c>
      <c r="I80" s="549"/>
      <c r="J80" s="549"/>
      <c r="K80" s="550"/>
      <c r="L80" s="551"/>
      <c r="M80" s="552"/>
      <c r="N80" s="1151"/>
      <c r="O80" s="1151"/>
      <c r="P80" s="45"/>
      <c r="Q80" s="504"/>
    </row>
    <row r="81" spans="1:17" ht="14.4"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2"/>
      <c r="O89" s="1152"/>
      <c r="P89" s="45"/>
      <c r="Q89" s="504"/>
    </row>
    <row r="90" spans="1:17" ht="1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4.4" thickBot="1">
      <c r="A95" s="534"/>
      <c r="B95" s="543"/>
      <c r="C95" s="544">
        <v>100</v>
      </c>
      <c r="D95" s="544">
        <f>C95-$K21</f>
        <v>99</v>
      </c>
      <c r="E95" s="544">
        <f>D95-$K21</f>
        <v>98</v>
      </c>
      <c r="F95" s="544">
        <f>E95-$K21</f>
        <v>97</v>
      </c>
      <c r="G95" s="544">
        <f>F95-$K21</f>
        <v>96</v>
      </c>
      <c r="H95" s="544"/>
      <c r="I95" s="544"/>
      <c r="J95" s="544"/>
      <c r="K95" s="544"/>
      <c r="L95" s="544"/>
      <c r="M95" s="545"/>
      <c r="N95" s="1152"/>
      <c r="O95" s="1152"/>
      <c r="P95" s="45"/>
      <c r="Q95" s="504"/>
    </row>
    <row r="96" spans="1:17" s="117" customFormat="1" ht="29.4"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2"/>
      <c r="O97" s="1152"/>
      <c r="P97" s="45"/>
      <c r="Q97" s="504"/>
    </row>
    <row r="98" spans="1:17" s="117" customFormat="1" ht="29.4"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4.4" thickBot="1">
      <c r="A99" s="579"/>
      <c r="B99" s="543"/>
      <c r="C99" s="544">
        <v>100</v>
      </c>
      <c r="D99" s="544">
        <f>C99-$K25</f>
        <v>99</v>
      </c>
      <c r="E99" s="544">
        <f>D99-$K25</f>
        <v>98</v>
      </c>
      <c r="F99" s="544">
        <f>E99-$K25</f>
        <v>97</v>
      </c>
      <c r="G99" s="544">
        <f>F99-$K25</f>
        <v>96</v>
      </c>
      <c r="H99" s="544"/>
      <c r="I99" s="544"/>
      <c r="J99" s="544"/>
      <c r="K99" s="544"/>
      <c r="L99" s="544"/>
      <c r="M99" s="545"/>
      <c r="N99" s="1152"/>
      <c r="O99" s="1152"/>
      <c r="P99" s="45"/>
      <c r="Q99" s="504"/>
    </row>
    <row r="100" spans="1:17" s="471" customFormat="1" ht="1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3"/>
      <c r="O101" s="1153"/>
      <c r="P101" s="558"/>
      <c r="Q101" s="559"/>
    </row>
    <row r="102" spans="1:17" s="471" customFormat="1" ht="1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4"/>
      <c r="N103" s="1153"/>
      <c r="O103" s="1153"/>
      <c r="P103" s="558"/>
      <c r="Q103" s="559"/>
    </row>
    <row r="104" spans="1:17" ht="1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2680</v>
      </c>
      <c r="C106" s="2966" t="s">
        <v>3460</v>
      </c>
      <c r="D106" s="2966" t="s">
        <v>3461</v>
      </c>
      <c r="E106" s="2966" t="s">
        <v>3462</v>
      </c>
      <c r="F106" s="2966" t="s">
        <v>3463</v>
      </c>
      <c r="G106" s="2966" t="s">
        <v>3465</v>
      </c>
      <c r="H106" s="583"/>
      <c r="I106" s="583"/>
      <c r="J106" s="583"/>
      <c r="K106" s="584"/>
      <c r="L106" s="585"/>
      <c r="M106" s="586"/>
      <c r="N106" s="1151"/>
      <c r="O106" s="1151"/>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2"/>
      <c r="O107" s="1152"/>
      <c r="P107" s="45"/>
      <c r="Q107" s="504"/>
    </row>
    <row r="108" spans="1:17" ht="15" thickTop="1">
      <c r="A108" s="534"/>
      <c r="B108" s="538" t="s">
        <v>2739</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27.6">
      <c r="A116" s="527" t="s">
        <v>2552</v>
      </c>
      <c r="B116" s="528" t="s">
        <v>2780</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v>
      </c>
      <c r="K116" s="529" t="str">
        <f t="shared" si="25"/>
        <v>(含)-</v>
      </c>
      <c r="L116" s="529" t="str">
        <f t="shared" si="25"/>
        <v>(含)-</v>
      </c>
      <c r="M116" s="529" t="str">
        <f t="shared" si="25"/>
        <v>(含)-</v>
      </c>
      <c r="N116" s="1151"/>
      <c r="O116" s="1151"/>
      <c r="P116" s="45"/>
      <c r="Q116" s="504"/>
    </row>
    <row r="117" spans="1:17">
      <c r="A117" s="534"/>
      <c r="B117" s="546"/>
      <c r="C117" s="595">
        <v>0</v>
      </c>
      <c r="D117" s="595">
        <f>C117+50000</f>
        <v>50000</v>
      </c>
      <c r="E117" s="595">
        <f t="shared" ref="E117:J117" si="26">D117+50000</f>
        <v>100000</v>
      </c>
      <c r="F117" s="595">
        <f t="shared" si="26"/>
        <v>150000</v>
      </c>
      <c r="G117" s="595">
        <f t="shared" si="26"/>
        <v>200000</v>
      </c>
      <c r="H117" s="595">
        <f t="shared" si="26"/>
        <v>250000</v>
      </c>
      <c r="I117" s="595">
        <f t="shared" si="26"/>
        <v>300000</v>
      </c>
      <c r="J117" s="595">
        <f t="shared" si="26"/>
        <v>350000</v>
      </c>
      <c r="K117" s="596"/>
      <c r="L117" s="597"/>
      <c r="M117" s="598"/>
      <c r="N117" s="1151"/>
      <c r="O117" s="1151"/>
      <c r="P117" s="45"/>
      <c r="Q117" s="504"/>
    </row>
    <row r="118" spans="1:17" ht="14.4" thickBot="1">
      <c r="A118" s="534"/>
      <c r="B118" s="543"/>
      <c r="C118" s="570">
        <v>100</v>
      </c>
      <c r="D118" s="591">
        <f>C118+1</f>
        <v>101</v>
      </c>
      <c r="E118" s="591">
        <f t="shared" ref="E118:J118" si="27">D118+1</f>
        <v>102</v>
      </c>
      <c r="F118" s="591">
        <f t="shared" si="27"/>
        <v>103</v>
      </c>
      <c r="G118" s="591">
        <f t="shared" si="27"/>
        <v>104</v>
      </c>
      <c r="H118" s="591">
        <f t="shared" si="27"/>
        <v>105</v>
      </c>
      <c r="I118" s="591">
        <f t="shared" si="27"/>
        <v>106</v>
      </c>
      <c r="J118" s="591">
        <f t="shared" si="27"/>
        <v>107</v>
      </c>
      <c r="K118" s="591"/>
      <c r="L118" s="591"/>
      <c r="M118" s="592"/>
      <c r="N118" s="1152"/>
      <c r="O118" s="1152"/>
      <c r="P118" s="45"/>
      <c r="Q118" s="504"/>
    </row>
    <row r="119" spans="1:17" ht="15" thickTop="1">
      <c r="A119" s="599"/>
      <c r="B119" s="538" t="s">
        <v>2781</v>
      </c>
      <c r="C119" s="2967" t="s">
        <v>3456</v>
      </c>
      <c r="D119" s="2967" t="s">
        <v>3457</v>
      </c>
      <c r="E119" s="2967" t="s">
        <v>3458</v>
      </c>
      <c r="F119" s="2967" t="s">
        <v>3459</v>
      </c>
      <c r="G119" s="583"/>
      <c r="H119" s="583"/>
      <c r="I119" s="583"/>
      <c r="J119" s="583"/>
      <c r="K119" s="584"/>
      <c r="L119" s="585"/>
      <c r="M119" s="586"/>
      <c r="N119" s="1151"/>
      <c r="O119" s="1151"/>
      <c r="P119" s="45"/>
      <c r="Q119" s="504"/>
    </row>
    <row r="120" spans="1:17" ht="14.4" thickBot="1">
      <c r="A120" s="534"/>
      <c r="B120" s="543"/>
      <c r="C120" s="544">
        <v>100</v>
      </c>
      <c r="D120" s="544">
        <f t="shared" ref="D120:M120" si="28">C120-$K39</f>
        <v>99.5</v>
      </c>
      <c r="E120" s="544">
        <f t="shared" si="28"/>
        <v>99</v>
      </c>
      <c r="F120" s="544">
        <f t="shared" si="28"/>
        <v>98.5</v>
      </c>
      <c r="G120" s="544">
        <f t="shared" si="28"/>
        <v>98</v>
      </c>
      <c r="H120" s="544">
        <f t="shared" si="28"/>
        <v>97.5</v>
      </c>
      <c r="I120" s="544">
        <f t="shared" si="28"/>
        <v>97</v>
      </c>
      <c r="J120" s="544">
        <f t="shared" si="28"/>
        <v>96.5</v>
      </c>
      <c r="K120" s="544">
        <f t="shared" si="28"/>
        <v>96</v>
      </c>
      <c r="L120" s="544">
        <f t="shared" si="28"/>
        <v>95.5</v>
      </c>
      <c r="M120" s="545">
        <f t="shared" si="28"/>
        <v>95</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2"/>
      <c r="O122" s="1152"/>
      <c r="P122" s="45"/>
      <c r="Q122" s="504"/>
    </row>
    <row r="123" spans="1:17" s="471" customFormat="1" ht="15" thickTop="1">
      <c r="A123" s="593"/>
      <c r="B123" s="538" t="s">
        <v>2783</v>
      </c>
      <c r="C123" s="2966" t="s">
        <v>3448</v>
      </c>
      <c r="D123" s="2966" t="s">
        <v>3450</v>
      </c>
      <c r="E123" s="2966" t="s">
        <v>3451</v>
      </c>
      <c r="F123" s="2966" t="s">
        <v>3452</v>
      </c>
      <c r="G123" s="2966" t="s">
        <v>3454</v>
      </c>
      <c r="H123" s="583"/>
      <c r="I123" s="583"/>
      <c r="J123" s="583"/>
      <c r="K123" s="584"/>
      <c r="L123" s="585"/>
      <c r="M123" s="586"/>
      <c r="N123" s="1153"/>
      <c r="O123" s="1153"/>
      <c r="P123" s="558"/>
      <c r="Q123" s="559"/>
    </row>
    <row r="124" spans="1:17" s="471" customFormat="1" ht="14.4"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558"/>
      <c r="Q124" s="559"/>
    </row>
    <row r="125" spans="1:17" ht="15" thickTop="1">
      <c r="A125" s="599"/>
      <c r="B125" s="538" t="s">
        <v>2784</v>
      </c>
      <c r="C125" s="2966" t="s">
        <v>3442</v>
      </c>
      <c r="D125" s="2966" t="s">
        <v>3444</v>
      </c>
      <c r="E125" s="2967" t="s">
        <v>3445</v>
      </c>
      <c r="F125" s="2967" t="s">
        <v>3446</v>
      </c>
      <c r="G125" s="2967" t="s">
        <v>3447</v>
      </c>
      <c r="H125" s="583"/>
      <c r="I125" s="583"/>
      <c r="J125" s="583"/>
      <c r="K125" s="584"/>
      <c r="L125" s="585"/>
      <c r="M125" s="586"/>
      <c r="N125" s="1151"/>
      <c r="O125" s="1151"/>
      <c r="P125" s="45"/>
      <c r="Q125" s="504"/>
    </row>
    <row r="126" spans="1:17" ht="14.4" thickBot="1">
      <c r="A126" s="534"/>
      <c r="B126" s="543"/>
      <c r="C126" s="544">
        <v>100</v>
      </c>
      <c r="D126" s="544">
        <f t="shared" ref="D126:M126" si="31">C126-$K42</f>
        <v>99</v>
      </c>
      <c r="E126" s="544">
        <f t="shared" si="31"/>
        <v>98</v>
      </c>
      <c r="F126" s="544">
        <f t="shared" si="31"/>
        <v>97</v>
      </c>
      <c r="G126" s="544">
        <f t="shared" si="31"/>
        <v>96</v>
      </c>
      <c r="H126" s="544">
        <f t="shared" si="31"/>
        <v>95</v>
      </c>
      <c r="I126" s="544">
        <f t="shared" si="31"/>
        <v>94</v>
      </c>
      <c r="J126" s="544">
        <f t="shared" si="31"/>
        <v>93</v>
      </c>
      <c r="K126" s="544">
        <f t="shared" si="31"/>
        <v>92</v>
      </c>
      <c r="L126" s="544">
        <f t="shared" si="31"/>
        <v>91</v>
      </c>
      <c r="M126" s="545">
        <f t="shared" si="31"/>
        <v>90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2634</v>
      </c>
      <c r="B4" s="402"/>
      <c r="C4" s="3205" t="s">
        <v>2635</v>
      </c>
      <c r="D4" s="3206"/>
      <c r="E4" s="3207" t="s">
        <v>2636</v>
      </c>
      <c r="F4" s="3208"/>
      <c r="G4" s="3205" t="s">
        <v>2637</v>
      </c>
      <c r="H4" s="3206"/>
      <c r="I4" s="3205" t="s">
        <v>2638</v>
      </c>
      <c r="J4" s="3206"/>
      <c r="K4" s="610" t="s">
        <v>2639</v>
      </c>
      <c r="L4" s="1129"/>
      <c r="M4" s="1130"/>
      <c r="N4" s="1130"/>
      <c r="O4" s="1130"/>
      <c r="P4" s="3209" t="s">
        <v>2640</v>
      </c>
      <c r="Q4" s="3210"/>
      <c r="R4" s="3215" t="s">
        <v>2636</v>
      </c>
      <c r="S4" s="3216"/>
      <c r="T4" s="3215" t="s">
        <v>2637</v>
      </c>
      <c r="U4" s="3216"/>
      <c r="V4" s="3231" t="s">
        <v>2638</v>
      </c>
      <c r="W4" s="3231"/>
      <c r="X4" s="1811"/>
      <c r="Y4" s="3215" t="s">
        <v>2640</v>
      </c>
      <c r="Z4" s="3216"/>
      <c r="AA4" s="3202" t="s">
        <v>2636</v>
      </c>
      <c r="AB4" s="3203" t="s">
        <v>2637</v>
      </c>
      <c r="AC4" s="3202" t="s">
        <v>2638</v>
      </c>
    </row>
    <row r="5" spans="1:29">
      <c r="A5" s="404"/>
      <c r="B5" s="405"/>
      <c r="C5" s="3250" t="s">
        <v>2531</v>
      </c>
      <c r="D5" s="3220"/>
      <c r="E5" s="3251" t="s">
        <v>2532</v>
      </c>
      <c r="F5" s="3222"/>
      <c r="G5" s="3250" t="s">
        <v>2533</v>
      </c>
      <c r="H5" s="3220"/>
      <c r="I5" s="3250" t="s">
        <v>2534</v>
      </c>
      <c r="J5" s="3220"/>
      <c r="K5" s="610"/>
      <c r="L5" s="1129"/>
      <c r="M5" s="1130"/>
      <c r="N5" s="1130"/>
      <c r="O5" s="1130"/>
      <c r="P5" s="3211"/>
      <c r="Q5" s="3212"/>
      <c r="R5" s="3217"/>
      <c r="S5" s="3218"/>
      <c r="T5" s="3217"/>
      <c r="U5" s="3218"/>
      <c r="V5" s="3231"/>
      <c r="W5" s="3231"/>
      <c r="X5" s="1811"/>
      <c r="Y5" s="3217"/>
      <c r="Z5" s="3218"/>
      <c r="AA5" s="3203"/>
      <c r="AB5" s="3203"/>
      <c r="AC5" s="3203"/>
    </row>
    <row r="6" spans="1:29" ht="15" thickBot="1">
      <c r="A6" s="406"/>
      <c r="B6" s="407"/>
      <c r="C6" s="3272" t="s">
        <v>2786</v>
      </c>
      <c r="D6" s="3273"/>
      <c r="E6" s="3274" t="s">
        <v>2786</v>
      </c>
      <c r="F6" s="3275"/>
      <c r="G6" s="3272" t="s">
        <v>2786</v>
      </c>
      <c r="H6" s="3273"/>
      <c r="I6" s="3272" t="s">
        <v>2786</v>
      </c>
      <c r="J6" s="3273"/>
      <c r="K6" s="610" t="s">
        <v>2536</v>
      </c>
      <c r="L6" s="1129"/>
      <c r="M6" s="1130"/>
      <c r="N6" s="1130"/>
      <c r="O6" s="1130"/>
      <c r="P6" s="3213"/>
      <c r="Q6" s="3214"/>
      <c r="R6" s="3217"/>
      <c r="S6" s="3218"/>
      <c r="T6" s="3229"/>
      <c r="U6" s="3230"/>
      <c r="V6" s="3231"/>
      <c r="W6" s="3231"/>
      <c r="X6" s="1811"/>
      <c r="Y6" s="3229"/>
      <c r="Z6" s="3230"/>
      <c r="AA6" s="3204"/>
      <c r="AB6" s="3204"/>
      <c r="AC6" s="3204"/>
    </row>
    <row r="7" spans="1:29" s="117" customFormat="1" ht="15" thickBot="1">
      <c r="A7" s="408" t="s">
        <v>2537</v>
      </c>
      <c r="B7" s="409"/>
      <c r="C7" s="410">
        <f>'数据-取费表'!B2</f>
        <v>43725</v>
      </c>
      <c r="D7" s="411">
        <v>100</v>
      </c>
      <c r="E7" s="412"/>
      <c r="F7" s="413">
        <f>SUMIF(65:65,YEAR(E7)&amp;"-"&amp;INT((MONTH(E7)+2)/3),66:66)</f>
        <v>0</v>
      </c>
      <c r="G7" s="2689"/>
      <c r="H7" s="411">
        <f>SUMIF(65:65,YEAR(G7)&amp;"-"&amp;INT((MONTH(G7)+2)/3),66:66)</f>
        <v>0</v>
      </c>
      <c r="I7" s="2689"/>
      <c r="J7" s="411">
        <f>SUMIF(65:65,YEAR(I7)&amp;"-"&amp;INT((MONTH(I7)+2)/3),66:66)</f>
        <v>0</v>
      </c>
      <c r="K7" s="611"/>
      <c r="L7" s="1131"/>
      <c r="M7" s="1132"/>
      <c r="N7" s="1132"/>
      <c r="O7" s="1132"/>
      <c r="P7" s="3232" t="s">
        <v>2538</v>
      </c>
      <c r="Q7" s="3233"/>
      <c r="R7" s="770" t="s">
        <v>17</v>
      </c>
      <c r="S7" s="771">
        <f t="shared" ref="S7:S15" si="0">F7</f>
        <v>0</v>
      </c>
      <c r="T7" s="770" t="s">
        <v>17</v>
      </c>
      <c r="U7" s="771">
        <f t="shared" ref="U7:U15" si="1">H7</f>
        <v>0</v>
      </c>
      <c r="V7" s="770" t="s">
        <v>17</v>
      </c>
      <c r="W7" s="771">
        <f t="shared" ref="W7:W15" si="2">J7</f>
        <v>0</v>
      </c>
      <c r="X7" s="772"/>
      <c r="Y7" s="3232" t="s">
        <v>2538</v>
      </c>
      <c r="Z7" s="3234"/>
      <c r="AA7" s="773" t="e">
        <f>D7/F7</f>
        <v>#DIV/0!</v>
      </c>
      <c r="AB7" s="773" t="e">
        <f>D7/H7</f>
        <v>#DIV/0!</v>
      </c>
      <c r="AC7" s="773" t="e">
        <f>D7/J7</f>
        <v>#DIV/0!</v>
      </c>
    </row>
    <row r="8" spans="1:29" s="117" customFormat="1" ht="1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32" t="s">
        <v>2541</v>
      </c>
      <c r="Q8" s="3234"/>
      <c r="R8" s="770" t="s">
        <v>17</v>
      </c>
      <c r="S8" s="771">
        <f t="shared" si="0"/>
        <v>0</v>
      </c>
      <c r="T8" s="770" t="s">
        <v>17</v>
      </c>
      <c r="U8" s="771">
        <f t="shared" si="1"/>
        <v>0</v>
      </c>
      <c r="V8" s="770" t="s">
        <v>17</v>
      </c>
      <c r="W8" s="771">
        <f t="shared" si="2"/>
        <v>0</v>
      </c>
      <c r="X8" s="772"/>
      <c r="Y8" s="3232" t="s">
        <v>2541</v>
      </c>
      <c r="Z8" s="3234"/>
      <c r="AA8" s="773" t="e">
        <f t="shared" ref="AA8:AA40" si="3">D8/F8</f>
        <v>#DIV/0!</v>
      </c>
      <c r="AB8" s="773" t="e">
        <f t="shared" ref="AB8:AB40" si="4">D8/H8</f>
        <v>#DIV/0!</v>
      </c>
      <c r="AC8" s="773" t="e">
        <f t="shared" ref="AC8:AC40" si="5">D8/J8</f>
        <v>#DIV/0!</v>
      </c>
    </row>
    <row r="9" spans="1:29" s="117" customFormat="1" ht="14.4">
      <c r="A9" s="415" t="s">
        <v>2542</v>
      </c>
      <c r="B9" s="71" t="s">
        <v>2543</v>
      </c>
      <c r="C9" s="2692"/>
      <c r="D9" s="135">
        <v>100</v>
      </c>
      <c r="E9" s="2692"/>
      <c r="F9" s="135">
        <f>SUMIF(70:70,E9,71:71)-SUMIF(70:70,C9,71:71)+100</f>
        <v>100</v>
      </c>
      <c r="G9" s="2692"/>
      <c r="H9" s="135">
        <f>SUMIF(70:70,G9,71:71)-SUMIF(70:70,C9,71:71)+100</f>
        <v>100</v>
      </c>
      <c r="I9" s="2692"/>
      <c r="J9" s="135">
        <f>SUMIF(70:70,I9,71:71)-SUMIF(70:70,C9,71:71)+100</f>
        <v>100</v>
      </c>
      <c r="K9" s="611"/>
      <c r="L9" s="1131"/>
      <c r="M9" s="1132"/>
      <c r="N9" s="1132"/>
      <c r="O9" s="1133"/>
      <c r="P9" s="3245" t="s">
        <v>2544</v>
      </c>
      <c r="Q9" s="1793" t="str">
        <f t="shared" ref="Q9:Q15" si="6">B9</f>
        <v>用途</v>
      </c>
      <c r="R9" s="770" t="s">
        <v>17</v>
      </c>
      <c r="S9" s="771">
        <f t="shared" si="0"/>
        <v>100</v>
      </c>
      <c r="T9" s="770" t="s">
        <v>17</v>
      </c>
      <c r="U9" s="771">
        <f t="shared" si="1"/>
        <v>100</v>
      </c>
      <c r="V9" s="770" t="s">
        <v>17</v>
      </c>
      <c r="W9" s="771">
        <f t="shared" si="2"/>
        <v>100</v>
      </c>
      <c r="X9" s="772"/>
      <c r="Y9" s="3024" t="s">
        <v>2545</v>
      </c>
      <c r="Z9" s="55" t="str">
        <f t="shared" ref="Z9:Z15" si="7">Q9</f>
        <v>用途</v>
      </c>
      <c r="AA9" s="773">
        <f t="shared" si="3"/>
        <v>1</v>
      </c>
      <c r="AB9" s="773">
        <f t="shared" si="4"/>
        <v>1</v>
      </c>
      <c r="AC9" s="773">
        <f t="shared" si="5"/>
        <v>1</v>
      </c>
    </row>
    <row r="10" spans="1:29" s="427" customFormat="1" ht="28.8">
      <c r="A10" s="421"/>
      <c r="B10" s="422" t="s">
        <v>2546</v>
      </c>
      <c r="C10" s="432"/>
      <c r="D10" s="136">
        <v>100</v>
      </c>
      <c r="E10" s="432"/>
      <c r="F10" s="136">
        <f>ROUND(100/'数据-取费表'!G16,0)</f>
        <v>103</v>
      </c>
      <c r="G10" s="432"/>
      <c r="H10" s="136">
        <f>ROUND(100/'数据-取费表'!G16,0)</f>
        <v>103</v>
      </c>
      <c r="I10" s="432"/>
      <c r="J10" s="136">
        <f>ROUND(100/'数据-取费表'!G16,0)</f>
        <v>103</v>
      </c>
      <c r="K10" s="672"/>
      <c r="L10" s="1134"/>
      <c r="M10" s="1135"/>
      <c r="N10" s="1135"/>
      <c r="O10" s="1136"/>
      <c r="P10" s="3245"/>
      <c r="Q10" s="1793"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5"/>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5"/>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5"/>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5"/>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69">
      <c r="A15" s="440" t="s">
        <v>2548</v>
      </c>
      <c r="B15" s="629" t="s">
        <v>2787</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8" t="s">
        <v>2549</v>
      </c>
      <c r="Q15" s="1808" t="str">
        <f t="shared" si="6"/>
        <v>产业集聚程度</v>
      </c>
      <c r="R15" s="774" t="s">
        <v>17</v>
      </c>
      <c r="S15" s="775">
        <f t="shared" si="0"/>
        <v>100</v>
      </c>
      <c r="T15" s="774" t="s">
        <v>17</v>
      </c>
      <c r="U15" s="775">
        <f t="shared" si="1"/>
        <v>100</v>
      </c>
      <c r="V15" s="774" t="s">
        <v>17</v>
      </c>
      <c r="W15" s="775">
        <f t="shared" si="2"/>
        <v>100</v>
      </c>
      <c r="X15" s="1811"/>
      <c r="Y15" s="3238" t="s">
        <v>2549</v>
      </c>
      <c r="Z15" s="1812" t="str">
        <f t="shared" si="7"/>
        <v>产业集聚程度</v>
      </c>
      <c r="AA15" s="1809">
        <f t="shared" si="3"/>
        <v>1</v>
      </c>
      <c r="AB15" s="1809">
        <f t="shared" si="4"/>
        <v>1</v>
      </c>
      <c r="AC15" s="1809">
        <f t="shared" si="5"/>
        <v>1</v>
      </c>
    </row>
    <row r="16" spans="1:29" ht="15">
      <c r="A16" s="428"/>
      <c r="B16" s="630"/>
      <c r="C16" s="447"/>
      <c r="D16" s="448"/>
      <c r="E16" s="2605"/>
      <c r="F16" s="448"/>
      <c r="G16" s="2605"/>
      <c r="H16" s="450"/>
      <c r="I16" s="2605"/>
      <c r="J16" s="448"/>
      <c r="K16" s="672"/>
      <c r="L16" s="1139"/>
      <c r="M16" s="1130"/>
      <c r="N16" s="1130"/>
      <c r="O16" s="1138"/>
      <c r="P16" s="3239"/>
      <c r="Q16" s="1808"/>
      <c r="R16" s="774"/>
      <c r="S16" s="775"/>
      <c r="T16" s="774"/>
      <c r="U16" s="775"/>
      <c r="V16" s="774"/>
      <c r="W16" s="775"/>
      <c r="X16" s="1811"/>
      <c r="Y16" s="3239"/>
      <c r="Z16" s="1812"/>
      <c r="AA16" s="1809">
        <v>1</v>
      </c>
      <c r="AB16" s="1809">
        <v>1</v>
      </c>
      <c r="AC16" s="1809">
        <v>1</v>
      </c>
    </row>
    <row r="17" spans="1:29" ht="96.6">
      <c r="A17" s="428"/>
      <c r="B17" s="631" t="s">
        <v>2698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9"/>
      <c r="Q17" s="1808" t="str">
        <f>B17</f>
        <v>交通便捷度</v>
      </c>
      <c r="R17" s="774" t="s">
        <v>17</v>
      </c>
      <c r="S17" s="775">
        <f>F17</f>
        <v>100</v>
      </c>
      <c r="T17" s="774" t="s">
        <v>17</v>
      </c>
      <c r="U17" s="775">
        <f>H17</f>
        <v>100</v>
      </c>
      <c r="V17" s="774" t="s">
        <v>17</v>
      </c>
      <c r="W17" s="775">
        <f>J17</f>
        <v>100</v>
      </c>
      <c r="X17" s="1811"/>
      <c r="Y17" s="3239"/>
      <c r="Z17" s="1812" t="str">
        <f>Q17</f>
        <v>交通便捷度</v>
      </c>
      <c r="AA17" s="1809">
        <f t="shared" si="3"/>
        <v>1</v>
      </c>
      <c r="AB17" s="1809">
        <f t="shared" si="4"/>
        <v>1</v>
      </c>
      <c r="AC17" s="1809">
        <f t="shared" si="5"/>
        <v>1</v>
      </c>
    </row>
    <row r="18" spans="1:29" ht="15">
      <c r="A18" s="428"/>
      <c r="B18" s="632"/>
      <c r="C18" s="447"/>
      <c r="D18" s="448"/>
      <c r="E18" s="2599"/>
      <c r="F18" s="448"/>
      <c r="G18" s="2599"/>
      <c r="H18" s="448"/>
      <c r="I18" s="2598"/>
      <c r="J18" s="448"/>
      <c r="K18" s="672"/>
      <c r="L18" s="1139"/>
      <c r="M18" s="1130"/>
      <c r="N18" s="1130"/>
      <c r="O18" s="1138"/>
      <c r="P18" s="3239"/>
      <c r="Q18" s="1808"/>
      <c r="R18" s="774"/>
      <c r="S18" s="775"/>
      <c r="T18" s="774"/>
      <c r="U18" s="775"/>
      <c r="V18" s="774"/>
      <c r="W18" s="775"/>
      <c r="X18" s="1811"/>
      <c r="Y18" s="3239"/>
      <c r="Z18" s="1812"/>
      <c r="AA18" s="1809">
        <v>1</v>
      </c>
      <c r="AB18" s="1809">
        <v>1</v>
      </c>
      <c r="AC18" s="1809">
        <v>1</v>
      </c>
    </row>
    <row r="19" spans="1:29" ht="28.8">
      <c r="A19" s="428"/>
      <c r="B19" s="631" t="s">
        <v>2737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9"/>
      <c r="Q19" s="1808" t="str">
        <f t="shared" ref="Q19:Q33" si="8">B19</f>
        <v>区域土地利用方向</v>
      </c>
      <c r="R19" s="774" t="s">
        <v>17</v>
      </c>
      <c r="S19" s="775">
        <f>F19</f>
        <v>100</v>
      </c>
      <c r="T19" s="774" t="s">
        <v>17</v>
      </c>
      <c r="U19" s="775">
        <f>H19</f>
        <v>100</v>
      </c>
      <c r="V19" s="774" t="s">
        <v>17</v>
      </c>
      <c r="W19" s="775">
        <f>J19</f>
        <v>100</v>
      </c>
      <c r="X19" s="1811"/>
      <c r="Y19" s="3239"/>
      <c r="Z19" s="1812" t="str">
        <f>Q19</f>
        <v>区域土地利用方向</v>
      </c>
      <c r="AA19" s="1809">
        <f t="shared" si="3"/>
        <v>1</v>
      </c>
      <c r="AB19" s="1809">
        <f t="shared" si="4"/>
        <v>1</v>
      </c>
      <c r="AC19" s="1809">
        <f t="shared" si="5"/>
        <v>1</v>
      </c>
    </row>
    <row r="20" spans="1:29" ht="15">
      <c r="A20" s="404"/>
      <c r="B20" s="632"/>
      <c r="C20" s="447"/>
      <c r="D20" s="448"/>
      <c r="E20" s="2599"/>
      <c r="F20" s="448"/>
      <c r="G20" s="2599"/>
      <c r="H20" s="448"/>
      <c r="I20" s="2599"/>
      <c r="J20" s="448"/>
      <c r="K20" s="812"/>
      <c r="L20" s="1139"/>
      <c r="M20" s="1130"/>
      <c r="N20" s="1130"/>
      <c r="O20" s="1138"/>
      <c r="P20" s="3239"/>
      <c r="Q20" s="1808"/>
      <c r="R20" s="774"/>
      <c r="S20" s="775"/>
      <c r="T20" s="774"/>
      <c r="U20" s="775"/>
      <c r="V20" s="774"/>
      <c r="W20" s="775"/>
      <c r="X20" s="1811"/>
      <c r="Y20" s="3239"/>
      <c r="Z20" s="1812"/>
      <c r="AA20" s="1809"/>
      <c r="AB20" s="1809"/>
      <c r="AC20" s="1809"/>
    </row>
    <row r="21" spans="1:29" ht="82.8">
      <c r="A21" s="404"/>
      <c r="B21" s="631" t="s">
        <v>2788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9"/>
      <c r="Q21" s="1808" t="str">
        <f t="shared" si="8"/>
        <v>环境状况</v>
      </c>
      <c r="R21" s="774" t="s">
        <v>17</v>
      </c>
      <c r="S21" s="775">
        <f>F21</f>
        <v>100</v>
      </c>
      <c r="T21" s="774" t="s">
        <v>17</v>
      </c>
      <c r="U21" s="775">
        <f>H21</f>
        <v>100</v>
      </c>
      <c r="V21" s="774" t="s">
        <v>17</v>
      </c>
      <c r="W21" s="775">
        <f>J21</f>
        <v>100</v>
      </c>
      <c r="X21" s="1811"/>
      <c r="Y21" s="3239"/>
      <c r="Z21" s="1812" t="str">
        <f>Q21</f>
        <v>环境状况</v>
      </c>
      <c r="AA21" s="1809">
        <f t="shared" si="3"/>
        <v>1</v>
      </c>
      <c r="AB21" s="1809">
        <f t="shared" si="4"/>
        <v>1</v>
      </c>
      <c r="AC21" s="1809">
        <f t="shared" si="5"/>
        <v>1</v>
      </c>
    </row>
    <row r="22" spans="1:29" ht="15">
      <c r="A22" s="404"/>
      <c r="B22" s="632"/>
      <c r="C22" s="447"/>
      <c r="D22" s="448"/>
      <c r="E22" s="2605"/>
      <c r="F22" s="448"/>
      <c r="G22" s="2605"/>
      <c r="H22" s="448"/>
      <c r="I22" s="447"/>
      <c r="J22" s="448"/>
      <c r="K22" s="672"/>
      <c r="L22" s="1139"/>
      <c r="M22" s="1130"/>
      <c r="N22" s="1130"/>
      <c r="O22" s="1138"/>
      <c r="P22" s="3239"/>
      <c r="Q22" s="1808"/>
      <c r="R22" s="774"/>
      <c r="S22" s="775"/>
      <c r="T22" s="774"/>
      <c r="U22" s="775"/>
      <c r="V22" s="774"/>
      <c r="W22" s="775"/>
      <c r="X22" s="1811"/>
      <c r="Y22" s="3239"/>
      <c r="Z22" s="1812"/>
      <c r="AA22" s="1809">
        <v>1</v>
      </c>
      <c r="AB22" s="1809">
        <v>1</v>
      </c>
      <c r="AC22" s="1809">
        <v>1</v>
      </c>
    </row>
    <row r="23" spans="1:29" s="117" customFormat="1" ht="41.4">
      <c r="A23" s="649"/>
      <c r="B23" s="633" t="s">
        <v>2643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9"/>
      <c r="Q23" s="1793" t="str">
        <f t="shared" si="8"/>
        <v>公共配套设施</v>
      </c>
      <c r="R23" s="770" t="s">
        <v>17</v>
      </c>
      <c r="S23" s="771">
        <f>F23</f>
        <v>100</v>
      </c>
      <c r="T23" s="770" t="s">
        <v>17</v>
      </c>
      <c r="U23" s="771">
        <f>H23</f>
        <v>100</v>
      </c>
      <c r="V23" s="770" t="s">
        <v>17</v>
      </c>
      <c r="W23" s="771">
        <f>J23</f>
        <v>100</v>
      </c>
      <c r="X23" s="772"/>
      <c r="Y23" s="3239"/>
      <c r="Z23" s="55" t="str">
        <f>Q23</f>
        <v>公共配套设施</v>
      </c>
      <c r="AA23" s="1809">
        <f>D23/F23</f>
        <v>1</v>
      </c>
      <c r="AB23" s="1809">
        <f>D23/H23</f>
        <v>1</v>
      </c>
      <c r="AC23" s="1809">
        <f>D23/J23</f>
        <v>1</v>
      </c>
    </row>
    <row r="24" spans="1:29" s="117" customFormat="1" ht="15">
      <c r="A24" s="649"/>
      <c r="B24" s="632"/>
      <c r="C24" s="2693"/>
      <c r="D24" s="448"/>
      <c r="E24" s="2605"/>
      <c r="F24" s="448"/>
      <c r="G24" s="2605"/>
      <c r="H24" s="448"/>
      <c r="I24" s="447"/>
      <c r="J24" s="448"/>
      <c r="K24" s="672"/>
      <c r="L24" s="1131"/>
      <c r="M24" s="1132"/>
      <c r="N24" s="1132"/>
      <c r="O24" s="1133"/>
      <c r="P24" s="3239"/>
      <c r="Q24" s="1793"/>
      <c r="R24" s="770"/>
      <c r="S24" s="771"/>
      <c r="T24" s="770"/>
      <c r="U24" s="771"/>
      <c r="V24" s="770"/>
      <c r="W24" s="771"/>
      <c r="X24" s="772"/>
      <c r="Y24" s="3239"/>
      <c r="Z24" s="55"/>
      <c r="AA24" s="773">
        <v>1</v>
      </c>
      <c r="AB24" s="773">
        <v>1</v>
      </c>
      <c r="AC24" s="773">
        <v>1</v>
      </c>
    </row>
    <row r="25" spans="1:29" s="117" customFormat="1" ht="41.4">
      <c r="A25" s="649"/>
      <c r="B25" s="633" t="s">
        <v>2644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9"/>
      <c r="Q25" s="1793" t="str">
        <f>B25</f>
        <v>基础设施水平</v>
      </c>
      <c r="R25" s="770" t="s">
        <v>17</v>
      </c>
      <c r="S25" s="771">
        <f>F25</f>
        <v>100</v>
      </c>
      <c r="T25" s="770" t="s">
        <v>17</v>
      </c>
      <c r="U25" s="771">
        <f>H25</f>
        <v>100</v>
      </c>
      <c r="V25" s="770" t="s">
        <v>17</v>
      </c>
      <c r="W25" s="771">
        <f>J25</f>
        <v>100</v>
      </c>
      <c r="X25" s="772"/>
      <c r="Y25" s="3239"/>
      <c r="Z25" s="55" t="str">
        <f>Q25</f>
        <v>基础设施水平</v>
      </c>
      <c r="AA25" s="1809">
        <f>D25/F25</f>
        <v>1</v>
      </c>
      <c r="AB25" s="1809">
        <f>D25/H25</f>
        <v>1</v>
      </c>
      <c r="AC25" s="1809">
        <f>D25/J25</f>
        <v>1</v>
      </c>
    </row>
    <row r="26" spans="1:29" s="117" customFormat="1" ht="15">
      <c r="A26" s="649"/>
      <c r="B26" s="632"/>
      <c r="C26" s="2693"/>
      <c r="D26" s="448"/>
      <c r="E26" s="2694"/>
      <c r="F26" s="448"/>
      <c r="G26" s="2694"/>
      <c r="H26" s="448"/>
      <c r="I26" s="2694"/>
      <c r="J26" s="448"/>
      <c r="K26" s="672"/>
      <c r="L26" s="1131"/>
      <c r="M26" s="1132"/>
      <c r="N26" s="1132"/>
      <c r="O26" s="1133"/>
      <c r="P26" s="3239"/>
      <c r="Q26" s="1793"/>
      <c r="R26" s="770"/>
      <c r="S26" s="771"/>
      <c r="T26" s="770"/>
      <c r="U26" s="771"/>
      <c r="V26" s="770"/>
      <c r="W26" s="771"/>
      <c r="X26" s="772"/>
      <c r="Y26" s="3239"/>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9"/>
      <c r="Q27" s="1808" t="str">
        <f t="shared" si="8"/>
        <v>临街状况</v>
      </c>
      <c r="R27" s="774" t="s">
        <v>17</v>
      </c>
      <c r="S27" s="775">
        <f t="shared" ref="S27:S40" si="9">F27</f>
        <v>100</v>
      </c>
      <c r="T27" s="774" t="s">
        <v>17</v>
      </c>
      <c r="U27" s="775">
        <f t="shared" ref="U27:U40" si="10">H27</f>
        <v>100</v>
      </c>
      <c r="V27" s="774" t="s">
        <v>17</v>
      </c>
      <c r="W27" s="775">
        <f t="shared" ref="W27:W40" si="11">J27</f>
        <v>100</v>
      </c>
      <c r="X27" s="1811"/>
      <c r="Y27" s="3239"/>
      <c r="Z27" s="1812" t="str">
        <f t="shared" ref="Z27:Z40" si="12">Q27</f>
        <v>临街状况</v>
      </c>
      <c r="AA27" s="1809">
        <f t="shared" si="3"/>
        <v>1</v>
      </c>
      <c r="AB27" s="1809">
        <f t="shared" si="4"/>
        <v>1</v>
      </c>
      <c r="AC27" s="1809">
        <f t="shared" si="5"/>
        <v>1</v>
      </c>
    </row>
    <row r="28" spans="1:29" ht="28.8">
      <c r="A28" s="428"/>
      <c r="B28" s="633" t="s">
        <v>2680</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9"/>
      <c r="Q28" s="1808" t="str">
        <f t="shared" si="8"/>
        <v>毗邻道路的类型与等级</v>
      </c>
      <c r="R28" s="774" t="s">
        <v>17</v>
      </c>
      <c r="S28" s="775">
        <f t="shared" si="9"/>
        <v>100</v>
      </c>
      <c r="T28" s="774" t="s">
        <v>17</v>
      </c>
      <c r="U28" s="775">
        <f t="shared" si="10"/>
        <v>100</v>
      </c>
      <c r="V28" s="774" t="s">
        <v>17</v>
      </c>
      <c r="W28" s="775">
        <f t="shared" si="11"/>
        <v>100</v>
      </c>
      <c r="X28" s="1811"/>
      <c r="Y28" s="3239"/>
      <c r="Z28" s="1812" t="str">
        <f t="shared" si="12"/>
        <v>毗邻道路的类型与等级</v>
      </c>
      <c r="AA28" s="1809">
        <f t="shared" si="3"/>
        <v>1</v>
      </c>
      <c r="AB28" s="1809">
        <f t="shared" si="4"/>
        <v>1</v>
      </c>
      <c r="AC28" s="1809">
        <f t="shared" si="5"/>
        <v>1</v>
      </c>
    </row>
    <row r="29" spans="1:29" ht="15">
      <c r="A29" s="428"/>
      <c r="B29" s="632"/>
      <c r="C29" s="447"/>
      <c r="D29" s="448"/>
      <c r="E29" s="2605"/>
      <c r="F29" s="448"/>
      <c r="G29" s="2605"/>
      <c r="H29" s="448"/>
      <c r="I29" s="2605"/>
      <c r="J29" s="448"/>
      <c r="K29" s="613"/>
      <c r="L29" s="1139"/>
      <c r="M29" s="1130"/>
      <c r="N29" s="1130"/>
      <c r="O29" s="1138"/>
      <c r="P29" s="3239"/>
      <c r="Q29" s="1808"/>
      <c r="R29" s="774"/>
      <c r="S29" s="775"/>
      <c r="T29" s="774"/>
      <c r="U29" s="775"/>
      <c r="V29" s="774"/>
      <c r="W29" s="775"/>
      <c r="X29" s="1811"/>
      <c r="Y29" s="3239"/>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9"/>
      <c r="Q30" s="1808" t="str">
        <f t="shared" si="8"/>
        <v>土地级别</v>
      </c>
      <c r="R30" s="774" t="s">
        <v>17</v>
      </c>
      <c r="S30" s="775">
        <f t="shared" si="9"/>
        <v>100</v>
      </c>
      <c r="T30" s="774" t="s">
        <v>17</v>
      </c>
      <c r="U30" s="775">
        <f t="shared" si="10"/>
        <v>100</v>
      </c>
      <c r="V30" s="774" t="s">
        <v>17</v>
      </c>
      <c r="W30" s="775">
        <f t="shared" si="11"/>
        <v>100</v>
      </c>
      <c r="X30" s="1811"/>
      <c r="Y30" s="3239"/>
      <c r="Z30" s="1812" t="str">
        <f t="shared" si="12"/>
        <v>土地级别</v>
      </c>
      <c r="AA30" s="1809">
        <f t="shared" si="3"/>
        <v>1</v>
      </c>
      <c r="AB30" s="1809">
        <f t="shared" si="4"/>
        <v>1</v>
      </c>
      <c r="AC30" s="1809">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9"/>
      <c r="Q31" s="1808">
        <f t="shared" si="8"/>
        <v>111</v>
      </c>
      <c r="R31" s="774" t="s">
        <v>17</v>
      </c>
      <c r="S31" s="775">
        <f t="shared" si="9"/>
        <v>100</v>
      </c>
      <c r="T31" s="774" t="s">
        <v>17</v>
      </c>
      <c r="U31" s="775">
        <f t="shared" si="10"/>
        <v>100</v>
      </c>
      <c r="V31" s="774" t="s">
        <v>17</v>
      </c>
      <c r="W31" s="775">
        <f t="shared" si="11"/>
        <v>100</v>
      </c>
      <c r="X31" s="1811"/>
      <c r="Y31" s="3239"/>
      <c r="Z31" s="1812">
        <f t="shared" si="12"/>
        <v>111</v>
      </c>
      <c r="AA31" s="1809">
        <f t="shared" si="3"/>
        <v>1</v>
      </c>
      <c r="AB31" s="1809">
        <f t="shared" si="4"/>
        <v>1</v>
      </c>
      <c r="AC31" s="1809">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7" t="s">
        <v>2554</v>
      </c>
      <c r="Q32" s="1808">
        <f t="shared" si="8"/>
        <v>111</v>
      </c>
      <c r="R32" s="774" t="s">
        <v>17</v>
      </c>
      <c r="S32" s="775">
        <f t="shared" si="9"/>
        <v>100</v>
      </c>
      <c r="T32" s="774" t="s">
        <v>17</v>
      </c>
      <c r="U32" s="775">
        <f t="shared" si="10"/>
        <v>100</v>
      </c>
      <c r="V32" s="774" t="s">
        <v>17</v>
      </c>
      <c r="W32" s="775">
        <f t="shared" si="11"/>
        <v>100</v>
      </c>
      <c r="X32" s="1811"/>
      <c r="Y32" s="3243" t="s">
        <v>2554</v>
      </c>
      <c r="Z32" s="1812">
        <f t="shared" si="12"/>
        <v>111</v>
      </c>
      <c r="AA32" s="1809">
        <f t="shared" si="3"/>
        <v>1</v>
      </c>
      <c r="AB32" s="1809">
        <f t="shared" si="4"/>
        <v>1</v>
      </c>
      <c r="AC32" s="1809">
        <f t="shared" si="5"/>
        <v>1</v>
      </c>
    </row>
    <row r="33" spans="1:29" s="471" customFormat="1" ht="15.6"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3"/>
      <c r="Q33" s="1808">
        <f t="shared" si="8"/>
        <v>111</v>
      </c>
      <c r="R33" s="777" t="s">
        <v>17</v>
      </c>
      <c r="S33" s="778">
        <f t="shared" si="9"/>
        <v>100</v>
      </c>
      <c r="T33" s="777" t="s">
        <v>17</v>
      </c>
      <c r="U33" s="778">
        <f t="shared" si="10"/>
        <v>100</v>
      </c>
      <c r="V33" s="777" t="s">
        <v>17</v>
      </c>
      <c r="W33" s="778">
        <f t="shared" si="11"/>
        <v>100</v>
      </c>
      <c r="X33" s="779"/>
      <c r="Y33" s="3243"/>
      <c r="Z33" s="780">
        <f t="shared" si="12"/>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3"/>
      <c r="Q34" s="1808" t="str">
        <f>B34</f>
        <v>宗地面积</v>
      </c>
      <c r="R34" s="774" t="s">
        <v>17</v>
      </c>
      <c r="S34" s="775" t="e">
        <f t="shared" si="9"/>
        <v>#N/A</v>
      </c>
      <c r="T34" s="774" t="s">
        <v>17</v>
      </c>
      <c r="U34" s="775" t="e">
        <f t="shared" si="10"/>
        <v>#N/A</v>
      </c>
      <c r="V34" s="774" t="s">
        <v>17</v>
      </c>
      <c r="W34" s="775" t="e">
        <f t="shared" si="11"/>
        <v>#N/A</v>
      </c>
      <c r="X34" s="1811"/>
      <c r="Y34" s="3243"/>
      <c r="Z34" s="1812" t="str">
        <f t="shared" si="12"/>
        <v>宗地面积</v>
      </c>
      <c r="AA34" s="1809" t="e">
        <f t="shared" si="3"/>
        <v>#N/A</v>
      </c>
      <c r="AB34" s="1809" t="e">
        <f t="shared" si="4"/>
        <v>#N/A</v>
      </c>
      <c r="AC34" s="1809" t="e">
        <f t="shared" si="5"/>
        <v>#N/A</v>
      </c>
    </row>
    <row r="35" spans="1:29" ht="15">
      <c r="A35" s="472"/>
      <c r="B35" s="422" t="s">
        <v>2741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9"/>
      <c r="M35" s="1130"/>
      <c r="N35" s="1130"/>
      <c r="O35" s="1138"/>
      <c r="P35" s="3243"/>
      <c r="Q35" s="1808" t="str">
        <f t="shared" ref="Q35:Q40" si="13">B35</f>
        <v>宗地形状</v>
      </c>
      <c r="R35" s="774" t="s">
        <v>17</v>
      </c>
      <c r="S35" s="775">
        <f t="shared" si="9"/>
        <v>100</v>
      </c>
      <c r="T35" s="774" t="s">
        <v>17</v>
      </c>
      <c r="U35" s="775">
        <f t="shared" si="10"/>
        <v>100</v>
      </c>
      <c r="V35" s="774" t="s">
        <v>17</v>
      </c>
      <c r="W35" s="775">
        <f t="shared" si="11"/>
        <v>100</v>
      </c>
      <c r="X35" s="1811"/>
      <c r="Y35" s="3243"/>
      <c r="Z35" s="1812" t="str">
        <f t="shared" si="12"/>
        <v>宗地形状</v>
      </c>
      <c r="AA35" s="1809">
        <f t="shared" si="3"/>
        <v>1</v>
      </c>
      <c r="AB35" s="1809">
        <f t="shared" si="4"/>
        <v>1</v>
      </c>
      <c r="AC35" s="1809">
        <f t="shared" si="5"/>
        <v>1</v>
      </c>
    </row>
    <row r="36" spans="1:29" s="117" customFormat="1" ht="15">
      <c r="A36" s="473"/>
      <c r="B36" s="422" t="s">
        <v>2743</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1"/>
      <c r="M36" s="1132"/>
      <c r="N36" s="1132"/>
      <c r="O36" s="1133"/>
      <c r="P36" s="3243"/>
      <c r="Q36" s="1808" t="str">
        <f t="shared" si="13"/>
        <v>宗地开发程度</v>
      </c>
      <c r="R36" s="770" t="s">
        <v>17</v>
      </c>
      <c r="S36" s="771">
        <f t="shared" si="9"/>
        <v>100</v>
      </c>
      <c r="T36" s="770" t="s">
        <v>17</v>
      </c>
      <c r="U36" s="771">
        <f t="shared" si="10"/>
        <v>100</v>
      </c>
      <c r="V36" s="770" t="s">
        <v>17</v>
      </c>
      <c r="W36" s="771">
        <f t="shared" si="11"/>
        <v>100</v>
      </c>
      <c r="X36" s="772"/>
      <c r="Y36" s="3243"/>
      <c r="Z36" s="55" t="str">
        <f t="shared" si="12"/>
        <v>宗地开发程度</v>
      </c>
      <c r="AA36" s="773">
        <f t="shared" si="3"/>
        <v>1</v>
      </c>
      <c r="AB36" s="773">
        <f t="shared" si="4"/>
        <v>1</v>
      </c>
      <c r="AC36" s="773">
        <f t="shared" si="5"/>
        <v>1</v>
      </c>
    </row>
    <row r="37" spans="1:29" ht="15">
      <c r="A37" s="472"/>
      <c r="B37" s="422" t="s">
        <v>2744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9"/>
      <c r="M37" s="1130"/>
      <c r="N37" s="1130"/>
      <c r="O37" s="1138"/>
      <c r="P37" s="3243" t="s">
        <v>2554</v>
      </c>
      <c r="Q37" s="1808" t="str">
        <f t="shared" si="13"/>
        <v>工程地质条件</v>
      </c>
      <c r="R37" s="774" t="s">
        <v>17</v>
      </c>
      <c r="S37" s="775">
        <f t="shared" si="9"/>
        <v>100</v>
      </c>
      <c r="T37" s="774" t="s">
        <v>17</v>
      </c>
      <c r="U37" s="775">
        <f t="shared" si="10"/>
        <v>100</v>
      </c>
      <c r="V37" s="774" t="s">
        <v>17</v>
      </c>
      <c r="W37" s="775">
        <f t="shared" si="11"/>
        <v>100</v>
      </c>
      <c r="X37" s="1811"/>
      <c r="Y37" s="3243" t="s">
        <v>2554</v>
      </c>
      <c r="Z37" s="1812" t="str">
        <f t="shared" si="12"/>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3"/>
      <c r="Q38" s="1808">
        <f t="shared" si="13"/>
        <v>111</v>
      </c>
      <c r="R38" s="774" t="s">
        <v>17</v>
      </c>
      <c r="S38" s="775">
        <f t="shared" si="9"/>
        <v>100</v>
      </c>
      <c r="T38" s="774" t="s">
        <v>17</v>
      </c>
      <c r="U38" s="775">
        <f t="shared" si="10"/>
        <v>100</v>
      </c>
      <c r="V38" s="774" t="s">
        <v>17</v>
      </c>
      <c r="W38" s="775">
        <f t="shared" si="11"/>
        <v>100</v>
      </c>
      <c r="X38" s="1811"/>
      <c r="Y38" s="3243"/>
      <c r="Z38" s="1812">
        <f t="shared" si="12"/>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3"/>
      <c r="Q39" s="1808">
        <f t="shared" si="13"/>
        <v>111</v>
      </c>
      <c r="R39" s="774" t="s">
        <v>17</v>
      </c>
      <c r="S39" s="775">
        <f t="shared" si="9"/>
        <v>100</v>
      </c>
      <c r="T39" s="774" t="s">
        <v>17</v>
      </c>
      <c r="U39" s="775">
        <f t="shared" si="10"/>
        <v>100</v>
      </c>
      <c r="V39" s="774" t="s">
        <v>17</v>
      </c>
      <c r="W39" s="775">
        <f t="shared" si="11"/>
        <v>100</v>
      </c>
      <c r="X39" s="1811"/>
      <c r="Y39" s="3243"/>
      <c r="Z39" s="1812">
        <f t="shared" si="12"/>
        <v>111</v>
      </c>
      <c r="AA39" s="1809">
        <f t="shared" si="3"/>
        <v>1</v>
      </c>
      <c r="AB39" s="1809">
        <f t="shared" si="4"/>
        <v>1</v>
      </c>
      <c r="AC39" s="1809">
        <f t="shared" si="5"/>
        <v>1</v>
      </c>
    </row>
    <row r="40" spans="1:29" s="471" customFormat="1" ht="15.6" thickBot="1">
      <c r="A40" s="468"/>
      <c r="B40" s="1386">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3"/>
      <c r="Q40" s="1808">
        <f t="shared" si="13"/>
        <v>111</v>
      </c>
      <c r="R40" s="777" t="s">
        <v>17</v>
      </c>
      <c r="S40" s="778">
        <f t="shared" si="9"/>
        <v>100</v>
      </c>
      <c r="T40" s="777" t="s">
        <v>17</v>
      </c>
      <c r="U40" s="778">
        <f t="shared" si="10"/>
        <v>100</v>
      </c>
      <c r="V40" s="777" t="s">
        <v>17</v>
      </c>
      <c r="W40" s="778">
        <f t="shared" si="11"/>
        <v>100</v>
      </c>
      <c r="X40" s="779"/>
      <c r="Y40" s="3243"/>
      <c r="Z40" s="780">
        <f t="shared" si="12"/>
        <v>111</v>
      </c>
      <c r="AA40" s="1809">
        <f t="shared" si="3"/>
        <v>1</v>
      </c>
      <c r="AB40" s="1809">
        <f t="shared" si="4"/>
        <v>1</v>
      </c>
      <c r="AC40" s="1809">
        <f t="shared" si="5"/>
        <v>1</v>
      </c>
    </row>
    <row r="41" spans="1:29" ht="14.4">
      <c r="A41" s="479" t="s">
        <v>2709</v>
      </c>
      <c r="B41" s="2697" t="s">
        <v>2789</v>
      </c>
      <c r="C41" s="682" t="s">
        <v>1</v>
      </c>
      <c r="D41" s="481"/>
      <c r="E41" s="482"/>
      <c r="F41" s="483"/>
      <c r="G41" s="484"/>
      <c r="H41" s="485"/>
      <c r="I41" s="482"/>
      <c r="J41" s="485"/>
      <c r="K41" s="783"/>
      <c r="L41" s="1142"/>
      <c r="M41" s="1130"/>
      <c r="N41" s="1130"/>
      <c r="O41" s="1143"/>
      <c r="P41" s="3245" t="str">
        <f>A41</f>
        <v>成交单价</v>
      </c>
      <c r="Q41" s="3245"/>
      <c r="R41" s="3231">
        <f>E41</f>
        <v>0</v>
      </c>
      <c r="S41" s="3231"/>
      <c r="T41" s="3231">
        <f>G41</f>
        <v>0</v>
      </c>
      <c r="U41" s="3231"/>
      <c r="V41" s="3231">
        <f>I41</f>
        <v>0</v>
      </c>
      <c r="W41" s="3231"/>
      <c r="X41" s="759"/>
      <c r="Y41" s="781"/>
      <c r="Z41" s="759"/>
      <c r="AA41" s="759"/>
      <c r="AB41" s="759"/>
      <c r="AC41" s="759"/>
    </row>
    <row r="42" spans="1:29" ht="15" thickBot="1">
      <c r="A42" s="486" t="s">
        <v>2658</v>
      </c>
      <c r="B42" s="683"/>
      <c r="C42" s="490" t="e">
        <f>R43</f>
        <v>#DIV/0!</v>
      </c>
      <c r="D42" s="489"/>
      <c r="E42" s="490" t="e">
        <f>R42</f>
        <v>#DIV/0!</v>
      </c>
      <c r="F42" s="491"/>
      <c r="G42" s="488" t="e">
        <f>T42</f>
        <v>#DIV/0!</v>
      </c>
      <c r="H42" s="489"/>
      <c r="I42" s="490" t="e">
        <f>V42</f>
        <v>#DIV/0!</v>
      </c>
      <c r="J42" s="489"/>
      <c r="K42" s="784"/>
      <c r="L42" s="1142"/>
      <c r="M42" s="1130"/>
      <c r="N42" s="1130"/>
      <c r="O42" s="1143"/>
      <c r="P42" s="3245" t="str">
        <f>A42</f>
        <v>比较价值（元/平方米）</v>
      </c>
      <c r="Q42" s="3245"/>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 thickBot="1">
      <c r="A43" s="492" t="s">
        <v>2659</v>
      </c>
      <c r="B43" s="493"/>
      <c r="C43" s="494" t="e">
        <f>R43</f>
        <v>#DIV/0!</v>
      </c>
      <c r="D43" s="494"/>
      <c r="E43" s="494"/>
      <c r="F43" s="494"/>
      <c r="G43" s="494"/>
      <c r="H43" s="494"/>
      <c r="I43" s="494"/>
      <c r="J43" s="494"/>
      <c r="K43" s="785"/>
      <c r="L43" s="1142"/>
      <c r="M43" s="1130"/>
      <c r="N43" s="1130"/>
      <c r="O43" s="1143"/>
      <c r="P43" s="3247" t="str">
        <f>A43</f>
        <v>估价对象XX用房的比较价值（楼面单价，元/平方米）</v>
      </c>
      <c r="Q43" s="3248"/>
      <c r="R43" s="3269" t="e">
        <f>ROUND(AVERAGE(R42:V42),0)</f>
        <v>#DIV/0!</v>
      </c>
      <c r="S43" s="3269"/>
      <c r="T43" s="3269"/>
      <c r="U43" s="3269"/>
      <c r="V43" s="3269"/>
      <c r="W43" s="326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2"/>
      <c r="D49" s="760"/>
      <c r="E49" s="760"/>
      <c r="F49" s="760"/>
      <c r="G49" s="760"/>
      <c r="H49" s="760"/>
      <c r="I49" s="760"/>
      <c r="J49" s="760"/>
      <c r="K49" s="1147"/>
      <c r="L49" s="1148"/>
      <c r="M49" s="1144"/>
      <c r="N49" s="1144"/>
      <c r="O49" s="1144"/>
    </row>
    <row r="50" spans="1:17" ht="28.8">
      <c r="A50" s="684" t="s">
        <v>2747</v>
      </c>
      <c r="B50" s="685" t="s">
        <v>2748</v>
      </c>
      <c r="C50" s="2698" t="s">
        <v>2749</v>
      </c>
      <c r="D50" s="2699" t="s">
        <v>2750</v>
      </c>
      <c r="E50" s="686" t="s">
        <v>2751</v>
      </c>
      <c r="F50" s="687" t="s">
        <v>2752</v>
      </c>
      <c r="G50" s="3205" t="s">
        <v>2753</v>
      </c>
      <c r="H50" s="3270"/>
      <c r="I50" s="1812" t="s">
        <v>2790</v>
      </c>
      <c r="J50" s="1812" t="str">
        <f>项目基本情况!F35</f>
        <v>天津市</v>
      </c>
      <c r="K50" s="2701" t="s">
        <v>2755</v>
      </c>
      <c r="L50" s="1105"/>
      <c r="M50" s="1143"/>
      <c r="N50" s="1143"/>
      <c r="O50" s="1143"/>
    </row>
    <row r="51" spans="1:17" s="692" customFormat="1">
      <c r="A51" s="688" t="s">
        <v>2756</v>
      </c>
      <c r="B51" s="689" t="e">
        <f>C43</f>
        <v>#DIV/0!</v>
      </c>
      <c r="C51" s="690">
        <v>1</v>
      </c>
      <c r="D51" s="1162">
        <v>1</v>
      </c>
      <c r="E51" s="690">
        <f>'数据-汇总表'!E8+'数据-汇总表'!E9</f>
        <v>14966.349999999999</v>
      </c>
      <c r="F51" s="691" t="e">
        <f t="shared" ref="F51:F60" si="14">ROUND(B51*E51/10000,0)</f>
        <v>#DIV/0!</v>
      </c>
      <c r="G51" s="3235"/>
      <c r="H51" s="3245"/>
      <c r="I51" s="942">
        <v>1</v>
      </c>
      <c r="J51" s="942">
        <v>1</v>
      </c>
      <c r="K51" s="1144"/>
      <c r="L51" s="941"/>
      <c r="M51" s="941"/>
      <c r="N51" s="941"/>
      <c r="O51" s="941"/>
    </row>
    <row r="52" spans="1:17" s="692" customFormat="1">
      <c r="A52" s="693" t="s">
        <v>2757</v>
      </c>
      <c r="B52" s="262" t="e">
        <f>ROUND($C$43*C52*D52,0)</f>
        <v>#DIV/0!</v>
      </c>
      <c r="C52" s="200">
        <f t="shared" ref="C52:C60" si="15">IF($C$50="北京市系数",I52,J52)</f>
        <v>0</v>
      </c>
      <c r="D52" s="1163">
        <v>0.25</v>
      </c>
      <c r="E52" s="694"/>
      <c r="F52" s="691" t="e">
        <f t="shared" si="14"/>
        <v>#DIV/0!</v>
      </c>
      <c r="G52" s="3271" t="s">
        <v>2758</v>
      </c>
      <c r="H52" s="1103">
        <f>项目基本情况!B37</f>
        <v>0</v>
      </c>
      <c r="I52" s="942">
        <f>SUMIF(修正!A45:A56,H52,修正!B45:B56)</f>
        <v>0</v>
      </c>
      <c r="J52" s="943"/>
      <c r="K52" s="1143"/>
      <c r="L52" s="941"/>
      <c r="M52" s="941"/>
      <c r="N52" s="941"/>
      <c r="O52" s="941"/>
    </row>
    <row r="53" spans="1:17" s="692" customFormat="1">
      <c r="A53" s="693" t="s">
        <v>2759</v>
      </c>
      <c r="B53" s="262" t="e">
        <f t="shared" ref="B53:B60" si="16">ROUND($C$43*C53*D53,0)</f>
        <v>#DIV/0!</v>
      </c>
      <c r="C53" s="200">
        <f t="shared" si="15"/>
        <v>0</v>
      </c>
      <c r="D53" s="1163">
        <v>0.25</v>
      </c>
      <c r="E53" s="694"/>
      <c r="F53" s="691" t="e">
        <f t="shared" si="14"/>
        <v>#DIV/0!</v>
      </c>
      <c r="G53" s="3271"/>
      <c r="H53" s="1103">
        <f>项目基本情况!B37</f>
        <v>0</v>
      </c>
      <c r="I53" s="942">
        <f>SUMIF(修正!A45:A56,H53,修正!C45:C56)</f>
        <v>0</v>
      </c>
      <c r="J53" s="943"/>
      <c r="K53" s="1144"/>
      <c r="L53" s="941"/>
      <c r="M53" s="941"/>
      <c r="N53" s="941"/>
      <c r="O53" s="941"/>
    </row>
    <row r="54" spans="1:17" s="692" customFormat="1">
      <c r="A54" s="693" t="s">
        <v>2760</v>
      </c>
      <c r="B54" s="262" t="e">
        <f t="shared" si="16"/>
        <v>#DIV/0!</v>
      </c>
      <c r="C54" s="200">
        <f t="shared" si="15"/>
        <v>0</v>
      </c>
      <c r="D54" s="1163">
        <v>0.25</v>
      </c>
      <c r="E54" s="694"/>
      <c r="F54" s="691" t="e">
        <f t="shared" si="14"/>
        <v>#DIV/0!</v>
      </c>
      <c r="G54" s="3271"/>
      <c r="H54" s="1103">
        <f>项目基本情况!B37</f>
        <v>0</v>
      </c>
      <c r="I54" s="942">
        <f>SUMIF(修正!A45:A56,H54,修正!D45:D56)</f>
        <v>0</v>
      </c>
      <c r="J54" s="943"/>
      <c r="K54" s="1143"/>
      <c r="L54" s="941"/>
      <c r="M54" s="941"/>
      <c r="N54" s="941"/>
      <c r="O54" s="941"/>
    </row>
    <row r="55" spans="1:17" s="692" customFormat="1">
      <c r="A55" s="693" t="s">
        <v>2761</v>
      </c>
      <c r="B55" s="262" t="e">
        <f t="shared" si="16"/>
        <v>#DIV/0!</v>
      </c>
      <c r="C55" s="200">
        <f t="shared" si="15"/>
        <v>0</v>
      </c>
      <c r="D55" s="1163">
        <v>0.25</v>
      </c>
      <c r="E55" s="694"/>
      <c r="F55" s="691" t="e">
        <f t="shared" si="14"/>
        <v>#DIV/0!</v>
      </c>
      <c r="G55" s="3271"/>
      <c r="H55" s="1103">
        <f>项目基本情况!B37</f>
        <v>0</v>
      </c>
      <c r="I55" s="942">
        <f>SUMIF(修正!A45:A56,H55,修正!E45:E56)</f>
        <v>0</v>
      </c>
      <c r="J55" s="943"/>
      <c r="K55" s="1144"/>
      <c r="L55" s="941"/>
      <c r="M55" s="941"/>
      <c r="N55" s="941"/>
      <c r="O55" s="941"/>
    </row>
    <row r="56" spans="1:17" s="692" customFormat="1">
      <c r="A56" s="693" t="s">
        <v>2762</v>
      </c>
      <c r="B56" s="262" t="e">
        <f t="shared" si="16"/>
        <v>#DIV/0!</v>
      </c>
      <c r="C56" s="200">
        <f t="shared" si="15"/>
        <v>0</v>
      </c>
      <c r="D56" s="1163">
        <v>0.25</v>
      </c>
      <c r="E56" s="261">
        <f>'数据-汇总表'!E11</f>
        <v>0</v>
      </c>
      <c r="F56" s="691" t="e">
        <f t="shared" si="14"/>
        <v>#DIV/0!</v>
      </c>
      <c r="G56" s="2702" t="s">
        <v>2763</v>
      </c>
      <c r="H56" s="1103">
        <f>项目基本情况!C37</f>
        <v>0</v>
      </c>
      <c r="I56" s="942">
        <f>SUMIF(修正!A45:A56,H56,修正!F45:F56)</f>
        <v>0</v>
      </c>
      <c r="J56" s="943"/>
      <c r="K56" s="1143"/>
      <c r="L56" s="941"/>
      <c r="M56" s="941"/>
      <c r="N56" s="941"/>
      <c r="O56" s="941"/>
    </row>
    <row r="57" spans="1:17" s="692" customFormat="1">
      <c r="A57" s="693" t="s">
        <v>2764</v>
      </c>
      <c r="B57" s="262" t="e">
        <f t="shared" si="16"/>
        <v>#DIV/0!</v>
      </c>
      <c r="C57" s="200">
        <f t="shared" si="15"/>
        <v>0</v>
      </c>
      <c r="D57" s="1163">
        <v>0.25</v>
      </c>
      <c r="E57" s="261">
        <f>'数据-汇总表'!E12</f>
        <v>0</v>
      </c>
      <c r="F57" s="691" t="e">
        <f t="shared" si="14"/>
        <v>#DIV/0!</v>
      </c>
      <c r="G57" s="1108" t="s">
        <v>2765</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2766</v>
      </c>
      <c r="B58" s="262" t="e">
        <f t="shared" si="16"/>
        <v>#DIV/0!</v>
      </c>
      <c r="C58" s="200">
        <f t="shared" si="15"/>
        <v>0</v>
      </c>
      <c r="D58" s="1163">
        <v>0.25</v>
      </c>
      <c r="E58" s="261">
        <f>'数据-汇总表'!E13</f>
        <v>0</v>
      </c>
      <c r="F58" s="691" t="e">
        <f t="shared" si="14"/>
        <v>#DIV/0!</v>
      </c>
      <c r="G58" s="1108" t="s">
        <v>2767</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2768</v>
      </c>
      <c r="B59" s="262" t="e">
        <f t="shared" si="16"/>
        <v>#DIV/0!</v>
      </c>
      <c r="C59" s="200">
        <f t="shared" si="15"/>
        <v>0</v>
      </c>
      <c r="D59" s="1163">
        <v>0.25</v>
      </c>
      <c r="E59" s="261">
        <f>'数据-汇总表'!E14</f>
        <v>0</v>
      </c>
      <c r="F59" s="691" t="e">
        <f t="shared" si="14"/>
        <v>#DIV/0!</v>
      </c>
      <c r="G59" s="2702" t="s">
        <v>2758</v>
      </c>
      <c r="H59" s="1103">
        <f>项目基本情况!B37</f>
        <v>0</v>
      </c>
      <c r="I59" s="942">
        <f>SUMIF(修正!A45:A56,H59,修正!H45:H56)</f>
        <v>0</v>
      </c>
      <c r="J59" s="943"/>
      <c r="K59" s="1144"/>
      <c r="L59" s="941"/>
      <c r="M59" s="941"/>
      <c r="N59" s="941"/>
      <c r="O59" s="941"/>
    </row>
    <row r="60" spans="1:17" s="692" customFormat="1" ht="14.4" thickBot="1">
      <c r="A60" s="693" t="s">
        <v>2769</v>
      </c>
      <c r="B60" s="262" t="e">
        <f t="shared" si="16"/>
        <v>#DIV/0!</v>
      </c>
      <c r="C60" s="200">
        <f t="shared" si="15"/>
        <v>0</v>
      </c>
      <c r="D60" s="1163">
        <v>0.25</v>
      </c>
      <c r="E60" s="261">
        <f>'数据-汇总表'!E15</f>
        <v>0</v>
      </c>
      <c r="F60" s="691" t="e">
        <f t="shared" si="14"/>
        <v>#DIV/0!</v>
      </c>
      <c r="G60" s="2703" t="s">
        <v>2763</v>
      </c>
      <c r="H60" s="1113">
        <f>项目基本情况!C37</f>
        <v>0</v>
      </c>
      <c r="I60" s="942">
        <f>SUMIF(修正!A45:A56,H60,修正!H45:H56)</f>
        <v>0</v>
      </c>
      <c r="J60" s="943"/>
      <c r="K60" s="1143"/>
      <c r="L60" s="941"/>
      <c r="M60" s="941"/>
      <c r="N60" s="941"/>
      <c r="O60" s="941"/>
    </row>
    <row r="61" spans="1:17" s="692" customFormat="1" ht="14.4" thickBot="1">
      <c r="A61" s="695" t="s">
        <v>2770</v>
      </c>
      <c r="B61" s="696" t="s">
        <v>28</v>
      </c>
      <c r="C61" s="696" t="s">
        <v>29</v>
      </c>
      <c r="D61" s="696" t="s">
        <v>1026</v>
      </c>
      <c r="E61" s="696">
        <f>IF(B41="楼面地价",SUM(E51:E60),'数据-汇总表'!D3)</f>
        <v>3741.59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2019-9-1</v>
      </c>
      <c r="D63" s="761">
        <f>EDATE(C63,-3)</f>
        <v>43617</v>
      </c>
      <c r="E63" s="761">
        <f>EDATE(D63,-3)</f>
        <v>43525</v>
      </c>
      <c r="F63" s="761">
        <f t="shared" ref="F63:O63" si="17">EDATE(E63,-3)</f>
        <v>43435</v>
      </c>
      <c r="G63" s="761">
        <f t="shared" si="17"/>
        <v>43344</v>
      </c>
      <c r="H63" s="761">
        <f t="shared" si="17"/>
        <v>43252</v>
      </c>
      <c r="I63" s="761">
        <f t="shared" si="17"/>
        <v>43160</v>
      </c>
      <c r="J63" s="761">
        <f t="shared" si="17"/>
        <v>43070</v>
      </c>
      <c r="K63" s="761">
        <f t="shared" si="17"/>
        <v>42979</v>
      </c>
      <c r="L63" s="761">
        <f t="shared" si="17"/>
        <v>42887</v>
      </c>
      <c r="M63" s="761">
        <f t="shared" si="17"/>
        <v>42795</v>
      </c>
      <c r="N63" s="761">
        <f t="shared" si="17"/>
        <v>42705</v>
      </c>
      <c r="O63" s="761">
        <f t="shared" si="17"/>
        <v>42614</v>
      </c>
    </row>
    <row r="64" spans="1:17" ht="22.2" thickBot="1">
      <c r="A64" s="763" t="s">
        <v>2663</v>
      </c>
      <c r="B64" s="759"/>
      <c r="C64" s="764"/>
      <c r="D64" s="764"/>
      <c r="E64" s="764"/>
      <c r="F64" s="765"/>
      <c r="G64" s="765"/>
      <c r="H64" s="764"/>
      <c r="I64" s="764"/>
      <c r="J64" s="764"/>
      <c r="K64" s="766"/>
      <c r="L64" s="767"/>
      <c r="M64" s="764"/>
      <c r="N64" s="764"/>
      <c r="O64" s="1158"/>
      <c r="P64" s="503"/>
      <c r="Q64" s="504"/>
    </row>
    <row r="65" spans="1:17" s="508" customFormat="1" ht="14.4">
      <c r="A65" s="2704" t="s">
        <v>2771</v>
      </c>
      <c r="B65" s="1358"/>
      <c r="C65" s="1570" t="str">
        <f>YEAR(C63)&amp;"-"&amp;ROUNDUP(MONTH(C63)/3,0)</f>
        <v>2019-3</v>
      </c>
      <c r="D65" s="1570" t="str">
        <f t="shared" ref="D65:O65" si="18">YEAR(D63)&amp;"-"&amp;ROUNDUP(MONTH(D63)/3,0)</f>
        <v>2019-2</v>
      </c>
      <c r="E65" s="1570" t="str">
        <f t="shared" si="18"/>
        <v>2019-1</v>
      </c>
      <c r="F65" s="1570" t="str">
        <f t="shared" si="18"/>
        <v>2018-4</v>
      </c>
      <c r="G65" s="1570" t="str">
        <f t="shared" si="18"/>
        <v>2018-3</v>
      </c>
      <c r="H65" s="1570" t="str">
        <f t="shared" si="18"/>
        <v>2018-2</v>
      </c>
      <c r="I65" s="1570" t="str">
        <f t="shared" si="18"/>
        <v>2018-1</v>
      </c>
      <c r="J65" s="1570" t="str">
        <f t="shared" si="18"/>
        <v>2017-4</v>
      </c>
      <c r="K65" s="1570" t="str">
        <f t="shared" si="18"/>
        <v>2017-3</v>
      </c>
      <c r="L65" s="1570" t="str">
        <f t="shared" si="18"/>
        <v>2017-2</v>
      </c>
      <c r="M65" s="1570" t="str">
        <f t="shared" si="18"/>
        <v>2017-1</v>
      </c>
      <c r="N65" s="1570" t="str">
        <f t="shared" si="18"/>
        <v>2016-4</v>
      </c>
      <c r="O65" s="1570" t="str">
        <f t="shared" si="18"/>
        <v>2016-3</v>
      </c>
      <c r="P65" s="507"/>
    </row>
    <row r="66" spans="1:17" s="117" customFormat="1" ht="30.75" customHeight="1">
      <c r="A66" s="2709" t="s">
        <v>2791</v>
      </c>
      <c r="B66" s="332" t="str">
        <f>"北京市平均增长率"&amp;TEXT(基准地价修正!P24,"0.00%")</f>
        <v>北京市平均增长率1.40%</v>
      </c>
      <c r="C66" s="603">
        <v>100</v>
      </c>
      <c r="D66" s="595"/>
      <c r="E66" s="595"/>
      <c r="F66" s="595"/>
      <c r="G66" s="595"/>
      <c r="H66" s="595"/>
      <c r="I66" s="595"/>
      <c r="J66" s="595"/>
      <c r="K66" s="595"/>
      <c r="L66" s="595"/>
      <c r="M66" s="1566"/>
      <c r="N66" s="1566"/>
      <c r="O66" s="1567"/>
      <c r="P66" s="504"/>
    </row>
    <row r="67" spans="1:17" s="117" customFormat="1" ht="15" thickBot="1">
      <c r="A67" s="515" t="s">
        <v>2574</v>
      </c>
      <c r="B67" s="516"/>
      <c r="C67" s="517"/>
      <c r="D67" s="518"/>
      <c r="E67" s="518"/>
      <c r="F67" s="518"/>
      <c r="G67" s="518"/>
      <c r="H67" s="518"/>
      <c r="I67" s="518"/>
      <c r="J67" s="518"/>
      <c r="K67" s="518"/>
      <c r="L67" s="518"/>
      <c r="M67" s="519"/>
      <c r="N67" s="519"/>
      <c r="O67" s="520"/>
      <c r="P67" s="504"/>
      <c r="Q67" s="504"/>
    </row>
    <row r="68" spans="1:17" s="117" customFormat="1" ht="14.4">
      <c r="A68" s="521" t="s">
        <v>2539</v>
      </c>
      <c r="B68" s="510"/>
      <c r="C68" s="522" t="s">
        <v>2641</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2577</v>
      </c>
      <c r="B70" s="528" t="s">
        <v>2543</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2546</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2547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4.4"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2"/>
      <c r="O96" s="1152"/>
      <c r="P96" s="45"/>
      <c r="Q96" s="504"/>
    </row>
    <row r="97" spans="1:17" ht="29.4" thickTop="1">
      <c r="A97" s="534"/>
      <c r="B97" s="538" t="s">
        <v>2680</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2"/>
      <c r="O98" s="1152"/>
      <c r="P98" s="45"/>
      <c r="Q98" s="504"/>
    </row>
    <row r="99" spans="1:17" ht="15" thickTop="1">
      <c r="A99" s="534"/>
      <c r="B99" s="538" t="s">
        <v>2739</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2552</v>
      </c>
      <c r="B107" s="528" t="s">
        <v>2780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AS51"/>
  <sheetViews>
    <sheetView zoomScale="70" zoomScaleNormal="70" workbookViewId="0">
      <selection activeCell="A96" sqref="A96:AD98"/>
    </sheetView>
  </sheetViews>
  <sheetFormatPr defaultRowHeight="14.4"/>
  <cols>
    <col min="1" max="1" width="39.33203125" style="1633" customWidth="1"/>
    <col min="2" max="2" width="7.109375" style="1633" customWidth="1"/>
    <col min="3" max="3" width="15.88671875" style="1633" customWidth="1"/>
    <col min="4" max="4" width="9" style="1633" customWidth="1"/>
    <col min="5" max="5" width="5.21875" style="1633" hidden="1" customWidth="1"/>
    <col min="6" max="6" width="46.88671875" style="1633" hidden="1" customWidth="1"/>
    <col min="7" max="7" width="9" style="1633" hidden="1" customWidth="1"/>
    <col min="8" max="8" width="21.21875" style="1633" hidden="1" customWidth="1"/>
    <col min="9" max="9" width="18" style="1633" customWidth="1"/>
    <col min="10" max="10" width="8" style="1633" customWidth="1"/>
    <col min="11" max="11" width="8.44140625" style="1633" customWidth="1"/>
    <col min="12" max="12" width="12.33203125" style="1633" customWidth="1"/>
    <col min="13" max="13" width="9" style="1633" hidden="1" customWidth="1"/>
    <col min="14" max="14" width="82.6640625" style="1633" hidden="1" customWidth="1"/>
    <col min="15" max="15" width="87.77734375" style="1633" hidden="1" customWidth="1"/>
    <col min="16" max="16" width="11.33203125" style="1633" hidden="1" customWidth="1"/>
    <col min="17" max="18" width="17.77734375" style="1633" hidden="1" customWidth="1"/>
    <col min="19" max="19" width="14.77734375" style="1633" hidden="1" customWidth="1"/>
    <col min="20" max="20" width="32.77734375" style="1633" hidden="1" customWidth="1"/>
    <col min="21" max="21" width="22.77734375" style="1633" hidden="1" customWidth="1"/>
    <col min="22" max="22" width="20.33203125" style="1633" hidden="1" customWidth="1"/>
    <col min="23" max="23" width="9" style="1633" hidden="1" customWidth="1"/>
    <col min="24" max="26" width="10.21875" style="1633" hidden="1" customWidth="1"/>
    <col min="27" max="27" width="10.21875" style="1633" customWidth="1"/>
    <col min="28" max="28" width="21.21875" style="1633" hidden="1" customWidth="1"/>
    <col min="29" max="29" width="9" style="1633" hidden="1" customWidth="1"/>
    <col min="30" max="30" width="25.44140625" style="1633" customWidth="1"/>
    <col min="31" max="32" width="12.109375" style="1633" hidden="1" customWidth="1"/>
    <col min="33" max="33" width="6.44140625" style="1633" customWidth="1"/>
    <col min="34" max="34" width="18.21875" style="1633" hidden="1" customWidth="1"/>
    <col min="35" max="35" width="8.21875" style="1633" customWidth="1"/>
    <col min="36" max="36" width="16.33203125" style="1633" hidden="1" customWidth="1"/>
    <col min="37" max="37" width="16.33203125" style="1633" customWidth="1"/>
    <col min="38" max="39" width="25" style="1633" hidden="1" customWidth="1"/>
    <col min="40" max="40" width="7.109375" style="1633" customWidth="1"/>
    <col min="41" max="41" width="29.44140625" style="1633" customWidth="1"/>
    <col min="42" max="42" width="19.21875" style="1633" customWidth="1"/>
    <col min="43" max="44" width="23" style="1633" customWidth="1"/>
    <col min="45" max="45" width="9" style="1633" customWidth="1"/>
    <col min="46" max="256" width="8.88671875" style="1633"/>
    <col min="257" max="257" width="39.33203125" style="1633" customWidth="1"/>
    <col min="258" max="258" width="7.109375" style="1633" customWidth="1"/>
    <col min="259" max="259" width="15.88671875" style="1633" customWidth="1"/>
    <col min="260" max="260" width="9" style="1633" customWidth="1"/>
    <col min="261" max="264" width="0" style="1633" hidden="1" customWidth="1"/>
    <col min="265" max="265" width="18" style="1633" customWidth="1"/>
    <col min="266" max="266" width="8" style="1633" customWidth="1"/>
    <col min="267" max="267" width="8.44140625" style="1633" customWidth="1"/>
    <col min="268" max="268" width="12.33203125" style="1633" customWidth="1"/>
    <col min="269" max="282" width="0" style="1633" hidden="1" customWidth="1"/>
    <col min="283" max="283" width="10.21875" style="1633" customWidth="1"/>
    <col min="284" max="285" width="0" style="1633" hidden="1" customWidth="1"/>
    <col min="286" max="286" width="25.44140625" style="1633" customWidth="1"/>
    <col min="287" max="288" width="0" style="1633" hidden="1" customWidth="1"/>
    <col min="289" max="289" width="6.44140625" style="1633" customWidth="1"/>
    <col min="290" max="290" width="0" style="1633" hidden="1" customWidth="1"/>
    <col min="291" max="291" width="8.21875" style="1633" customWidth="1"/>
    <col min="292" max="292" width="0" style="1633" hidden="1" customWidth="1"/>
    <col min="293" max="293" width="16.33203125" style="1633" customWidth="1"/>
    <col min="294" max="295" width="0" style="1633" hidden="1" customWidth="1"/>
    <col min="296" max="296" width="7.109375" style="1633" customWidth="1"/>
    <col min="297" max="297" width="29.44140625" style="1633" customWidth="1"/>
    <col min="298" max="298" width="19.21875" style="1633" customWidth="1"/>
    <col min="299" max="300" width="23" style="1633" customWidth="1"/>
    <col min="301" max="301" width="9" style="1633" customWidth="1"/>
    <col min="302" max="512" width="8.88671875" style="1633"/>
    <col min="513" max="513" width="39.33203125" style="1633" customWidth="1"/>
    <col min="514" max="514" width="7.109375" style="1633" customWidth="1"/>
    <col min="515" max="515" width="15.88671875" style="1633" customWidth="1"/>
    <col min="516" max="516" width="9" style="1633" customWidth="1"/>
    <col min="517" max="520" width="0" style="1633" hidden="1" customWidth="1"/>
    <col min="521" max="521" width="18" style="1633" customWidth="1"/>
    <col min="522" max="522" width="8" style="1633" customWidth="1"/>
    <col min="523" max="523" width="8.44140625" style="1633" customWidth="1"/>
    <col min="524" max="524" width="12.33203125" style="1633" customWidth="1"/>
    <col min="525" max="538" width="0" style="1633" hidden="1" customWidth="1"/>
    <col min="539" max="539" width="10.21875" style="1633" customWidth="1"/>
    <col min="540" max="541" width="0" style="1633" hidden="1" customWidth="1"/>
    <col min="542" max="542" width="25.44140625" style="1633" customWidth="1"/>
    <col min="543" max="544" width="0" style="1633" hidden="1" customWidth="1"/>
    <col min="545" max="545" width="6.44140625" style="1633" customWidth="1"/>
    <col min="546" max="546" width="0" style="1633" hidden="1" customWidth="1"/>
    <col min="547" max="547" width="8.21875" style="1633" customWidth="1"/>
    <col min="548" max="548" width="0" style="1633" hidden="1" customWidth="1"/>
    <col min="549" max="549" width="16.33203125" style="1633" customWidth="1"/>
    <col min="550" max="551" width="0" style="1633" hidden="1" customWidth="1"/>
    <col min="552" max="552" width="7.109375" style="1633" customWidth="1"/>
    <col min="553" max="553" width="29.44140625" style="1633" customWidth="1"/>
    <col min="554" max="554" width="19.21875" style="1633" customWidth="1"/>
    <col min="555" max="556" width="23" style="1633" customWidth="1"/>
    <col min="557" max="557" width="9" style="1633" customWidth="1"/>
    <col min="558" max="768" width="8.88671875" style="1633"/>
    <col min="769" max="769" width="39.33203125" style="1633" customWidth="1"/>
    <col min="770" max="770" width="7.109375" style="1633" customWidth="1"/>
    <col min="771" max="771" width="15.88671875" style="1633" customWidth="1"/>
    <col min="772" max="772" width="9" style="1633" customWidth="1"/>
    <col min="773" max="776" width="0" style="1633" hidden="1" customWidth="1"/>
    <col min="777" max="777" width="18" style="1633" customWidth="1"/>
    <col min="778" max="778" width="8" style="1633" customWidth="1"/>
    <col min="779" max="779" width="8.44140625" style="1633" customWidth="1"/>
    <col min="780" max="780" width="12.33203125" style="1633" customWidth="1"/>
    <col min="781" max="794" width="0" style="1633" hidden="1" customWidth="1"/>
    <col min="795" max="795" width="10.21875" style="1633" customWidth="1"/>
    <col min="796" max="797" width="0" style="1633" hidden="1" customWidth="1"/>
    <col min="798" max="798" width="25.44140625" style="1633" customWidth="1"/>
    <col min="799" max="800" width="0" style="1633" hidden="1" customWidth="1"/>
    <col min="801" max="801" width="6.44140625" style="1633" customWidth="1"/>
    <col min="802" max="802" width="0" style="1633" hidden="1" customWidth="1"/>
    <col min="803" max="803" width="8.21875" style="1633" customWidth="1"/>
    <col min="804" max="804" width="0" style="1633" hidden="1" customWidth="1"/>
    <col min="805" max="805" width="16.33203125" style="1633" customWidth="1"/>
    <col min="806" max="807" width="0" style="1633" hidden="1" customWidth="1"/>
    <col min="808" max="808" width="7.109375" style="1633" customWidth="1"/>
    <col min="809" max="809" width="29.44140625" style="1633" customWidth="1"/>
    <col min="810" max="810" width="19.21875" style="1633" customWidth="1"/>
    <col min="811" max="812" width="23" style="1633" customWidth="1"/>
    <col min="813" max="813" width="9" style="1633" customWidth="1"/>
    <col min="814" max="1024" width="8.88671875" style="1633"/>
    <col min="1025" max="1025" width="39.33203125" style="1633" customWidth="1"/>
    <col min="1026" max="1026" width="7.109375" style="1633" customWidth="1"/>
    <col min="1027" max="1027" width="15.88671875" style="1633" customWidth="1"/>
    <col min="1028" max="1028" width="9" style="1633" customWidth="1"/>
    <col min="1029" max="1032" width="0" style="1633" hidden="1" customWidth="1"/>
    <col min="1033" max="1033" width="18" style="1633" customWidth="1"/>
    <col min="1034" max="1034" width="8" style="1633" customWidth="1"/>
    <col min="1035" max="1035" width="8.44140625" style="1633" customWidth="1"/>
    <col min="1036" max="1036" width="12.33203125" style="1633" customWidth="1"/>
    <col min="1037" max="1050" width="0" style="1633" hidden="1" customWidth="1"/>
    <col min="1051" max="1051" width="10.21875" style="1633" customWidth="1"/>
    <col min="1052" max="1053" width="0" style="1633" hidden="1" customWidth="1"/>
    <col min="1054" max="1054" width="25.44140625" style="1633" customWidth="1"/>
    <col min="1055" max="1056" width="0" style="1633" hidden="1" customWidth="1"/>
    <col min="1057" max="1057" width="6.44140625" style="1633" customWidth="1"/>
    <col min="1058" max="1058" width="0" style="1633" hidden="1" customWidth="1"/>
    <col min="1059" max="1059" width="8.21875" style="1633" customWidth="1"/>
    <col min="1060" max="1060" width="0" style="1633" hidden="1" customWidth="1"/>
    <col min="1061" max="1061" width="16.33203125" style="1633" customWidth="1"/>
    <col min="1062" max="1063" width="0" style="1633" hidden="1" customWidth="1"/>
    <col min="1064" max="1064" width="7.109375" style="1633" customWidth="1"/>
    <col min="1065" max="1065" width="29.44140625" style="1633" customWidth="1"/>
    <col min="1066" max="1066" width="19.21875" style="1633" customWidth="1"/>
    <col min="1067" max="1068" width="23" style="1633" customWidth="1"/>
    <col min="1069" max="1069" width="9" style="1633" customWidth="1"/>
    <col min="1070" max="1280" width="8.88671875" style="1633"/>
    <col min="1281" max="1281" width="39.33203125" style="1633" customWidth="1"/>
    <col min="1282" max="1282" width="7.109375" style="1633" customWidth="1"/>
    <col min="1283" max="1283" width="15.88671875" style="1633" customWidth="1"/>
    <col min="1284" max="1284" width="9" style="1633" customWidth="1"/>
    <col min="1285" max="1288" width="0" style="1633" hidden="1" customWidth="1"/>
    <col min="1289" max="1289" width="18" style="1633" customWidth="1"/>
    <col min="1290" max="1290" width="8" style="1633" customWidth="1"/>
    <col min="1291" max="1291" width="8.44140625" style="1633" customWidth="1"/>
    <col min="1292" max="1292" width="12.33203125" style="1633" customWidth="1"/>
    <col min="1293" max="1306" width="0" style="1633" hidden="1" customWidth="1"/>
    <col min="1307" max="1307" width="10.21875" style="1633" customWidth="1"/>
    <col min="1308" max="1309" width="0" style="1633" hidden="1" customWidth="1"/>
    <col min="1310" max="1310" width="25.44140625" style="1633" customWidth="1"/>
    <col min="1311" max="1312" width="0" style="1633" hidden="1" customWidth="1"/>
    <col min="1313" max="1313" width="6.44140625" style="1633" customWidth="1"/>
    <col min="1314" max="1314" width="0" style="1633" hidden="1" customWidth="1"/>
    <col min="1315" max="1315" width="8.21875" style="1633" customWidth="1"/>
    <col min="1316" max="1316" width="0" style="1633" hidden="1" customWidth="1"/>
    <col min="1317" max="1317" width="16.33203125" style="1633" customWidth="1"/>
    <col min="1318" max="1319" width="0" style="1633" hidden="1" customWidth="1"/>
    <col min="1320" max="1320" width="7.109375" style="1633" customWidth="1"/>
    <col min="1321" max="1321" width="29.44140625" style="1633" customWidth="1"/>
    <col min="1322" max="1322" width="19.21875" style="1633" customWidth="1"/>
    <col min="1323" max="1324" width="23" style="1633" customWidth="1"/>
    <col min="1325" max="1325" width="9" style="1633" customWidth="1"/>
    <col min="1326" max="1536" width="8.88671875" style="1633"/>
    <col min="1537" max="1537" width="39.33203125" style="1633" customWidth="1"/>
    <col min="1538" max="1538" width="7.109375" style="1633" customWidth="1"/>
    <col min="1539" max="1539" width="15.88671875" style="1633" customWidth="1"/>
    <col min="1540" max="1540" width="9" style="1633" customWidth="1"/>
    <col min="1541" max="1544" width="0" style="1633" hidden="1" customWidth="1"/>
    <col min="1545" max="1545" width="18" style="1633" customWidth="1"/>
    <col min="1546" max="1546" width="8" style="1633" customWidth="1"/>
    <col min="1547" max="1547" width="8.44140625" style="1633" customWidth="1"/>
    <col min="1548" max="1548" width="12.33203125" style="1633" customWidth="1"/>
    <col min="1549" max="1562" width="0" style="1633" hidden="1" customWidth="1"/>
    <col min="1563" max="1563" width="10.21875" style="1633" customWidth="1"/>
    <col min="1564" max="1565" width="0" style="1633" hidden="1" customWidth="1"/>
    <col min="1566" max="1566" width="25.44140625" style="1633" customWidth="1"/>
    <col min="1567" max="1568" width="0" style="1633" hidden="1" customWidth="1"/>
    <col min="1569" max="1569" width="6.44140625" style="1633" customWidth="1"/>
    <col min="1570" max="1570" width="0" style="1633" hidden="1" customWidth="1"/>
    <col min="1571" max="1571" width="8.21875" style="1633" customWidth="1"/>
    <col min="1572" max="1572" width="0" style="1633" hidden="1" customWidth="1"/>
    <col min="1573" max="1573" width="16.33203125" style="1633" customWidth="1"/>
    <col min="1574" max="1575" width="0" style="1633" hidden="1" customWidth="1"/>
    <col min="1576" max="1576" width="7.109375" style="1633" customWidth="1"/>
    <col min="1577" max="1577" width="29.44140625" style="1633" customWidth="1"/>
    <col min="1578" max="1578" width="19.21875" style="1633" customWidth="1"/>
    <col min="1579" max="1580" width="23" style="1633" customWidth="1"/>
    <col min="1581" max="1581" width="9" style="1633" customWidth="1"/>
    <col min="1582" max="1792" width="8.88671875" style="1633"/>
    <col min="1793" max="1793" width="39.33203125" style="1633" customWidth="1"/>
    <col min="1794" max="1794" width="7.109375" style="1633" customWidth="1"/>
    <col min="1795" max="1795" width="15.88671875" style="1633" customWidth="1"/>
    <col min="1796" max="1796" width="9" style="1633" customWidth="1"/>
    <col min="1797" max="1800" width="0" style="1633" hidden="1" customWidth="1"/>
    <col min="1801" max="1801" width="18" style="1633" customWidth="1"/>
    <col min="1802" max="1802" width="8" style="1633" customWidth="1"/>
    <col min="1803" max="1803" width="8.44140625" style="1633" customWidth="1"/>
    <col min="1804" max="1804" width="12.33203125" style="1633" customWidth="1"/>
    <col min="1805" max="1818" width="0" style="1633" hidden="1" customWidth="1"/>
    <col min="1819" max="1819" width="10.21875" style="1633" customWidth="1"/>
    <col min="1820" max="1821" width="0" style="1633" hidden="1" customWidth="1"/>
    <col min="1822" max="1822" width="25.44140625" style="1633" customWidth="1"/>
    <col min="1823" max="1824" width="0" style="1633" hidden="1" customWidth="1"/>
    <col min="1825" max="1825" width="6.44140625" style="1633" customWidth="1"/>
    <col min="1826" max="1826" width="0" style="1633" hidden="1" customWidth="1"/>
    <col min="1827" max="1827" width="8.21875" style="1633" customWidth="1"/>
    <col min="1828" max="1828" width="0" style="1633" hidden="1" customWidth="1"/>
    <col min="1829" max="1829" width="16.33203125" style="1633" customWidth="1"/>
    <col min="1830" max="1831" width="0" style="1633" hidden="1" customWidth="1"/>
    <col min="1832" max="1832" width="7.109375" style="1633" customWidth="1"/>
    <col min="1833" max="1833" width="29.44140625" style="1633" customWidth="1"/>
    <col min="1834" max="1834" width="19.21875" style="1633" customWidth="1"/>
    <col min="1835" max="1836" width="23" style="1633" customWidth="1"/>
    <col min="1837" max="1837" width="9" style="1633" customWidth="1"/>
    <col min="1838" max="2048" width="8.88671875" style="1633"/>
    <col min="2049" max="2049" width="39.33203125" style="1633" customWidth="1"/>
    <col min="2050" max="2050" width="7.109375" style="1633" customWidth="1"/>
    <col min="2051" max="2051" width="15.88671875" style="1633" customWidth="1"/>
    <col min="2052" max="2052" width="9" style="1633" customWidth="1"/>
    <col min="2053" max="2056" width="0" style="1633" hidden="1" customWidth="1"/>
    <col min="2057" max="2057" width="18" style="1633" customWidth="1"/>
    <col min="2058" max="2058" width="8" style="1633" customWidth="1"/>
    <col min="2059" max="2059" width="8.44140625" style="1633" customWidth="1"/>
    <col min="2060" max="2060" width="12.33203125" style="1633" customWidth="1"/>
    <col min="2061" max="2074" width="0" style="1633" hidden="1" customWidth="1"/>
    <col min="2075" max="2075" width="10.21875" style="1633" customWidth="1"/>
    <col min="2076" max="2077" width="0" style="1633" hidden="1" customWidth="1"/>
    <col min="2078" max="2078" width="25.44140625" style="1633" customWidth="1"/>
    <col min="2079" max="2080" width="0" style="1633" hidden="1" customWidth="1"/>
    <col min="2081" max="2081" width="6.44140625" style="1633" customWidth="1"/>
    <col min="2082" max="2082" width="0" style="1633" hidden="1" customWidth="1"/>
    <col min="2083" max="2083" width="8.21875" style="1633" customWidth="1"/>
    <col min="2084" max="2084" width="0" style="1633" hidden="1" customWidth="1"/>
    <col min="2085" max="2085" width="16.33203125" style="1633" customWidth="1"/>
    <col min="2086" max="2087" width="0" style="1633" hidden="1" customWidth="1"/>
    <col min="2088" max="2088" width="7.109375" style="1633" customWidth="1"/>
    <col min="2089" max="2089" width="29.44140625" style="1633" customWidth="1"/>
    <col min="2090" max="2090" width="19.21875" style="1633" customWidth="1"/>
    <col min="2091" max="2092" width="23" style="1633" customWidth="1"/>
    <col min="2093" max="2093" width="9" style="1633" customWidth="1"/>
    <col min="2094" max="2304" width="8.88671875" style="1633"/>
    <col min="2305" max="2305" width="39.33203125" style="1633" customWidth="1"/>
    <col min="2306" max="2306" width="7.109375" style="1633" customWidth="1"/>
    <col min="2307" max="2307" width="15.88671875" style="1633" customWidth="1"/>
    <col min="2308" max="2308" width="9" style="1633" customWidth="1"/>
    <col min="2309" max="2312" width="0" style="1633" hidden="1" customWidth="1"/>
    <col min="2313" max="2313" width="18" style="1633" customWidth="1"/>
    <col min="2314" max="2314" width="8" style="1633" customWidth="1"/>
    <col min="2315" max="2315" width="8.44140625" style="1633" customWidth="1"/>
    <col min="2316" max="2316" width="12.33203125" style="1633" customWidth="1"/>
    <col min="2317" max="2330" width="0" style="1633" hidden="1" customWidth="1"/>
    <col min="2331" max="2331" width="10.21875" style="1633" customWidth="1"/>
    <col min="2332" max="2333" width="0" style="1633" hidden="1" customWidth="1"/>
    <col min="2334" max="2334" width="25.44140625" style="1633" customWidth="1"/>
    <col min="2335" max="2336" width="0" style="1633" hidden="1" customWidth="1"/>
    <col min="2337" max="2337" width="6.44140625" style="1633" customWidth="1"/>
    <col min="2338" max="2338" width="0" style="1633" hidden="1" customWidth="1"/>
    <col min="2339" max="2339" width="8.21875" style="1633" customWidth="1"/>
    <col min="2340" max="2340" width="0" style="1633" hidden="1" customWidth="1"/>
    <col min="2341" max="2341" width="16.33203125" style="1633" customWidth="1"/>
    <col min="2342" max="2343" width="0" style="1633" hidden="1" customWidth="1"/>
    <col min="2344" max="2344" width="7.109375" style="1633" customWidth="1"/>
    <col min="2345" max="2345" width="29.44140625" style="1633" customWidth="1"/>
    <col min="2346" max="2346" width="19.21875" style="1633" customWidth="1"/>
    <col min="2347" max="2348" width="23" style="1633" customWidth="1"/>
    <col min="2349" max="2349" width="9" style="1633" customWidth="1"/>
    <col min="2350" max="2560" width="8.88671875" style="1633"/>
    <col min="2561" max="2561" width="39.33203125" style="1633" customWidth="1"/>
    <col min="2562" max="2562" width="7.109375" style="1633" customWidth="1"/>
    <col min="2563" max="2563" width="15.88671875" style="1633" customWidth="1"/>
    <col min="2564" max="2564" width="9" style="1633" customWidth="1"/>
    <col min="2565" max="2568" width="0" style="1633" hidden="1" customWidth="1"/>
    <col min="2569" max="2569" width="18" style="1633" customWidth="1"/>
    <col min="2570" max="2570" width="8" style="1633" customWidth="1"/>
    <col min="2571" max="2571" width="8.44140625" style="1633" customWidth="1"/>
    <col min="2572" max="2572" width="12.33203125" style="1633" customWidth="1"/>
    <col min="2573" max="2586" width="0" style="1633" hidden="1" customWidth="1"/>
    <col min="2587" max="2587" width="10.21875" style="1633" customWidth="1"/>
    <col min="2588" max="2589" width="0" style="1633" hidden="1" customWidth="1"/>
    <col min="2590" max="2590" width="25.44140625" style="1633" customWidth="1"/>
    <col min="2591" max="2592" width="0" style="1633" hidden="1" customWidth="1"/>
    <col min="2593" max="2593" width="6.44140625" style="1633" customWidth="1"/>
    <col min="2594" max="2594" width="0" style="1633" hidden="1" customWidth="1"/>
    <col min="2595" max="2595" width="8.21875" style="1633" customWidth="1"/>
    <col min="2596" max="2596" width="0" style="1633" hidden="1" customWidth="1"/>
    <col min="2597" max="2597" width="16.33203125" style="1633" customWidth="1"/>
    <col min="2598" max="2599" width="0" style="1633" hidden="1" customWidth="1"/>
    <col min="2600" max="2600" width="7.109375" style="1633" customWidth="1"/>
    <col min="2601" max="2601" width="29.44140625" style="1633" customWidth="1"/>
    <col min="2602" max="2602" width="19.21875" style="1633" customWidth="1"/>
    <col min="2603" max="2604" width="23" style="1633" customWidth="1"/>
    <col min="2605" max="2605" width="9" style="1633" customWidth="1"/>
    <col min="2606" max="2816" width="8.88671875" style="1633"/>
    <col min="2817" max="2817" width="39.33203125" style="1633" customWidth="1"/>
    <col min="2818" max="2818" width="7.109375" style="1633" customWidth="1"/>
    <col min="2819" max="2819" width="15.88671875" style="1633" customWidth="1"/>
    <col min="2820" max="2820" width="9" style="1633" customWidth="1"/>
    <col min="2821" max="2824" width="0" style="1633" hidden="1" customWidth="1"/>
    <col min="2825" max="2825" width="18" style="1633" customWidth="1"/>
    <col min="2826" max="2826" width="8" style="1633" customWidth="1"/>
    <col min="2827" max="2827" width="8.44140625" style="1633" customWidth="1"/>
    <col min="2828" max="2828" width="12.33203125" style="1633" customWidth="1"/>
    <col min="2829" max="2842" width="0" style="1633" hidden="1" customWidth="1"/>
    <col min="2843" max="2843" width="10.21875" style="1633" customWidth="1"/>
    <col min="2844" max="2845" width="0" style="1633" hidden="1" customWidth="1"/>
    <col min="2846" max="2846" width="25.44140625" style="1633" customWidth="1"/>
    <col min="2847" max="2848" width="0" style="1633" hidden="1" customWidth="1"/>
    <col min="2849" max="2849" width="6.44140625" style="1633" customWidth="1"/>
    <col min="2850" max="2850" width="0" style="1633" hidden="1" customWidth="1"/>
    <col min="2851" max="2851" width="8.21875" style="1633" customWidth="1"/>
    <col min="2852" max="2852" width="0" style="1633" hidden="1" customWidth="1"/>
    <col min="2853" max="2853" width="16.33203125" style="1633" customWidth="1"/>
    <col min="2854" max="2855" width="0" style="1633" hidden="1" customWidth="1"/>
    <col min="2856" max="2856" width="7.109375" style="1633" customWidth="1"/>
    <col min="2857" max="2857" width="29.44140625" style="1633" customWidth="1"/>
    <col min="2858" max="2858" width="19.21875" style="1633" customWidth="1"/>
    <col min="2859" max="2860" width="23" style="1633" customWidth="1"/>
    <col min="2861" max="2861" width="9" style="1633" customWidth="1"/>
    <col min="2862" max="3072" width="8.88671875" style="1633"/>
    <col min="3073" max="3073" width="39.33203125" style="1633" customWidth="1"/>
    <col min="3074" max="3074" width="7.109375" style="1633" customWidth="1"/>
    <col min="3075" max="3075" width="15.88671875" style="1633" customWidth="1"/>
    <col min="3076" max="3076" width="9" style="1633" customWidth="1"/>
    <col min="3077" max="3080" width="0" style="1633" hidden="1" customWidth="1"/>
    <col min="3081" max="3081" width="18" style="1633" customWidth="1"/>
    <col min="3082" max="3082" width="8" style="1633" customWidth="1"/>
    <col min="3083" max="3083" width="8.44140625" style="1633" customWidth="1"/>
    <col min="3084" max="3084" width="12.33203125" style="1633" customWidth="1"/>
    <col min="3085" max="3098" width="0" style="1633" hidden="1" customWidth="1"/>
    <col min="3099" max="3099" width="10.21875" style="1633" customWidth="1"/>
    <col min="3100" max="3101" width="0" style="1633" hidden="1" customWidth="1"/>
    <col min="3102" max="3102" width="25.44140625" style="1633" customWidth="1"/>
    <col min="3103" max="3104" width="0" style="1633" hidden="1" customWidth="1"/>
    <col min="3105" max="3105" width="6.44140625" style="1633" customWidth="1"/>
    <col min="3106" max="3106" width="0" style="1633" hidden="1" customWidth="1"/>
    <col min="3107" max="3107" width="8.21875" style="1633" customWidth="1"/>
    <col min="3108" max="3108" width="0" style="1633" hidden="1" customWidth="1"/>
    <col min="3109" max="3109" width="16.33203125" style="1633" customWidth="1"/>
    <col min="3110" max="3111" width="0" style="1633" hidden="1" customWidth="1"/>
    <col min="3112" max="3112" width="7.109375" style="1633" customWidth="1"/>
    <col min="3113" max="3113" width="29.44140625" style="1633" customWidth="1"/>
    <col min="3114" max="3114" width="19.21875" style="1633" customWidth="1"/>
    <col min="3115" max="3116" width="23" style="1633" customWidth="1"/>
    <col min="3117" max="3117" width="9" style="1633" customWidth="1"/>
    <col min="3118" max="3328" width="8.88671875" style="1633"/>
    <col min="3329" max="3329" width="39.33203125" style="1633" customWidth="1"/>
    <col min="3330" max="3330" width="7.109375" style="1633" customWidth="1"/>
    <col min="3331" max="3331" width="15.88671875" style="1633" customWidth="1"/>
    <col min="3332" max="3332" width="9" style="1633" customWidth="1"/>
    <col min="3333" max="3336" width="0" style="1633" hidden="1" customWidth="1"/>
    <col min="3337" max="3337" width="18" style="1633" customWidth="1"/>
    <col min="3338" max="3338" width="8" style="1633" customWidth="1"/>
    <col min="3339" max="3339" width="8.44140625" style="1633" customWidth="1"/>
    <col min="3340" max="3340" width="12.33203125" style="1633" customWidth="1"/>
    <col min="3341" max="3354" width="0" style="1633" hidden="1" customWidth="1"/>
    <col min="3355" max="3355" width="10.21875" style="1633" customWidth="1"/>
    <col min="3356" max="3357" width="0" style="1633" hidden="1" customWidth="1"/>
    <col min="3358" max="3358" width="25.44140625" style="1633" customWidth="1"/>
    <col min="3359" max="3360" width="0" style="1633" hidden="1" customWidth="1"/>
    <col min="3361" max="3361" width="6.44140625" style="1633" customWidth="1"/>
    <col min="3362" max="3362" width="0" style="1633" hidden="1" customWidth="1"/>
    <col min="3363" max="3363" width="8.21875" style="1633" customWidth="1"/>
    <col min="3364" max="3364" width="0" style="1633" hidden="1" customWidth="1"/>
    <col min="3365" max="3365" width="16.33203125" style="1633" customWidth="1"/>
    <col min="3366" max="3367" width="0" style="1633" hidden="1" customWidth="1"/>
    <col min="3368" max="3368" width="7.109375" style="1633" customWidth="1"/>
    <col min="3369" max="3369" width="29.44140625" style="1633" customWidth="1"/>
    <col min="3370" max="3370" width="19.21875" style="1633" customWidth="1"/>
    <col min="3371" max="3372" width="23" style="1633" customWidth="1"/>
    <col min="3373" max="3373" width="9" style="1633" customWidth="1"/>
    <col min="3374" max="3584" width="8.88671875" style="1633"/>
    <col min="3585" max="3585" width="39.33203125" style="1633" customWidth="1"/>
    <col min="3586" max="3586" width="7.109375" style="1633" customWidth="1"/>
    <col min="3587" max="3587" width="15.88671875" style="1633" customWidth="1"/>
    <col min="3588" max="3588" width="9" style="1633" customWidth="1"/>
    <col min="3589" max="3592" width="0" style="1633" hidden="1" customWidth="1"/>
    <col min="3593" max="3593" width="18" style="1633" customWidth="1"/>
    <col min="3594" max="3594" width="8" style="1633" customWidth="1"/>
    <col min="3595" max="3595" width="8.44140625" style="1633" customWidth="1"/>
    <col min="3596" max="3596" width="12.33203125" style="1633" customWidth="1"/>
    <col min="3597" max="3610" width="0" style="1633" hidden="1" customWidth="1"/>
    <col min="3611" max="3611" width="10.21875" style="1633" customWidth="1"/>
    <col min="3612" max="3613" width="0" style="1633" hidden="1" customWidth="1"/>
    <col min="3614" max="3614" width="25.44140625" style="1633" customWidth="1"/>
    <col min="3615" max="3616" width="0" style="1633" hidden="1" customWidth="1"/>
    <col min="3617" max="3617" width="6.44140625" style="1633" customWidth="1"/>
    <col min="3618" max="3618" width="0" style="1633" hidden="1" customWidth="1"/>
    <col min="3619" max="3619" width="8.21875" style="1633" customWidth="1"/>
    <col min="3620" max="3620" width="0" style="1633" hidden="1" customWidth="1"/>
    <col min="3621" max="3621" width="16.33203125" style="1633" customWidth="1"/>
    <col min="3622" max="3623" width="0" style="1633" hidden="1" customWidth="1"/>
    <col min="3624" max="3624" width="7.109375" style="1633" customWidth="1"/>
    <col min="3625" max="3625" width="29.44140625" style="1633" customWidth="1"/>
    <col min="3626" max="3626" width="19.21875" style="1633" customWidth="1"/>
    <col min="3627" max="3628" width="23" style="1633" customWidth="1"/>
    <col min="3629" max="3629" width="9" style="1633" customWidth="1"/>
    <col min="3630" max="3840" width="8.88671875" style="1633"/>
    <col min="3841" max="3841" width="39.33203125" style="1633" customWidth="1"/>
    <col min="3842" max="3842" width="7.109375" style="1633" customWidth="1"/>
    <col min="3843" max="3843" width="15.88671875" style="1633" customWidth="1"/>
    <col min="3844" max="3844" width="9" style="1633" customWidth="1"/>
    <col min="3845" max="3848" width="0" style="1633" hidden="1" customWidth="1"/>
    <col min="3849" max="3849" width="18" style="1633" customWidth="1"/>
    <col min="3850" max="3850" width="8" style="1633" customWidth="1"/>
    <col min="3851" max="3851" width="8.44140625" style="1633" customWidth="1"/>
    <col min="3852" max="3852" width="12.33203125" style="1633" customWidth="1"/>
    <col min="3853" max="3866" width="0" style="1633" hidden="1" customWidth="1"/>
    <col min="3867" max="3867" width="10.21875" style="1633" customWidth="1"/>
    <col min="3868" max="3869" width="0" style="1633" hidden="1" customWidth="1"/>
    <col min="3870" max="3870" width="25.44140625" style="1633" customWidth="1"/>
    <col min="3871" max="3872" width="0" style="1633" hidden="1" customWidth="1"/>
    <col min="3873" max="3873" width="6.44140625" style="1633" customWidth="1"/>
    <col min="3874" max="3874" width="0" style="1633" hidden="1" customWidth="1"/>
    <col min="3875" max="3875" width="8.21875" style="1633" customWidth="1"/>
    <col min="3876" max="3876" width="0" style="1633" hidden="1" customWidth="1"/>
    <col min="3877" max="3877" width="16.33203125" style="1633" customWidth="1"/>
    <col min="3878" max="3879" width="0" style="1633" hidden="1" customWidth="1"/>
    <col min="3880" max="3880" width="7.109375" style="1633" customWidth="1"/>
    <col min="3881" max="3881" width="29.44140625" style="1633" customWidth="1"/>
    <col min="3882" max="3882" width="19.21875" style="1633" customWidth="1"/>
    <col min="3883" max="3884" width="23" style="1633" customWidth="1"/>
    <col min="3885" max="3885" width="9" style="1633" customWidth="1"/>
    <col min="3886" max="4096" width="8.88671875" style="1633"/>
    <col min="4097" max="4097" width="39.33203125" style="1633" customWidth="1"/>
    <col min="4098" max="4098" width="7.109375" style="1633" customWidth="1"/>
    <col min="4099" max="4099" width="15.88671875" style="1633" customWidth="1"/>
    <col min="4100" max="4100" width="9" style="1633" customWidth="1"/>
    <col min="4101" max="4104" width="0" style="1633" hidden="1" customWidth="1"/>
    <col min="4105" max="4105" width="18" style="1633" customWidth="1"/>
    <col min="4106" max="4106" width="8" style="1633" customWidth="1"/>
    <col min="4107" max="4107" width="8.44140625" style="1633" customWidth="1"/>
    <col min="4108" max="4108" width="12.33203125" style="1633" customWidth="1"/>
    <col min="4109" max="4122" width="0" style="1633" hidden="1" customWidth="1"/>
    <col min="4123" max="4123" width="10.21875" style="1633" customWidth="1"/>
    <col min="4124" max="4125" width="0" style="1633" hidden="1" customWidth="1"/>
    <col min="4126" max="4126" width="25.44140625" style="1633" customWidth="1"/>
    <col min="4127" max="4128" width="0" style="1633" hidden="1" customWidth="1"/>
    <col min="4129" max="4129" width="6.44140625" style="1633" customWidth="1"/>
    <col min="4130" max="4130" width="0" style="1633" hidden="1" customWidth="1"/>
    <col min="4131" max="4131" width="8.21875" style="1633" customWidth="1"/>
    <col min="4132" max="4132" width="0" style="1633" hidden="1" customWidth="1"/>
    <col min="4133" max="4133" width="16.33203125" style="1633" customWidth="1"/>
    <col min="4134" max="4135" width="0" style="1633" hidden="1" customWidth="1"/>
    <col min="4136" max="4136" width="7.109375" style="1633" customWidth="1"/>
    <col min="4137" max="4137" width="29.44140625" style="1633" customWidth="1"/>
    <col min="4138" max="4138" width="19.21875" style="1633" customWidth="1"/>
    <col min="4139" max="4140" width="23" style="1633" customWidth="1"/>
    <col min="4141" max="4141" width="9" style="1633" customWidth="1"/>
    <col min="4142" max="4352" width="8.88671875" style="1633"/>
    <col min="4353" max="4353" width="39.33203125" style="1633" customWidth="1"/>
    <col min="4354" max="4354" width="7.109375" style="1633" customWidth="1"/>
    <col min="4355" max="4355" width="15.88671875" style="1633" customWidth="1"/>
    <col min="4356" max="4356" width="9" style="1633" customWidth="1"/>
    <col min="4357" max="4360" width="0" style="1633" hidden="1" customWidth="1"/>
    <col min="4361" max="4361" width="18" style="1633" customWidth="1"/>
    <col min="4362" max="4362" width="8" style="1633" customWidth="1"/>
    <col min="4363" max="4363" width="8.44140625" style="1633" customWidth="1"/>
    <col min="4364" max="4364" width="12.33203125" style="1633" customWidth="1"/>
    <col min="4365" max="4378" width="0" style="1633" hidden="1" customWidth="1"/>
    <col min="4379" max="4379" width="10.21875" style="1633" customWidth="1"/>
    <col min="4380" max="4381" width="0" style="1633" hidden="1" customWidth="1"/>
    <col min="4382" max="4382" width="25.44140625" style="1633" customWidth="1"/>
    <col min="4383" max="4384" width="0" style="1633" hidden="1" customWidth="1"/>
    <col min="4385" max="4385" width="6.44140625" style="1633" customWidth="1"/>
    <col min="4386" max="4386" width="0" style="1633" hidden="1" customWidth="1"/>
    <col min="4387" max="4387" width="8.21875" style="1633" customWidth="1"/>
    <col min="4388" max="4388" width="0" style="1633" hidden="1" customWidth="1"/>
    <col min="4389" max="4389" width="16.33203125" style="1633" customWidth="1"/>
    <col min="4390" max="4391" width="0" style="1633" hidden="1" customWidth="1"/>
    <col min="4392" max="4392" width="7.109375" style="1633" customWidth="1"/>
    <col min="4393" max="4393" width="29.44140625" style="1633" customWidth="1"/>
    <col min="4394" max="4394" width="19.21875" style="1633" customWidth="1"/>
    <col min="4395" max="4396" width="23" style="1633" customWidth="1"/>
    <col min="4397" max="4397" width="9" style="1633" customWidth="1"/>
    <col min="4398" max="4608" width="8.88671875" style="1633"/>
    <col min="4609" max="4609" width="39.33203125" style="1633" customWidth="1"/>
    <col min="4610" max="4610" width="7.109375" style="1633" customWidth="1"/>
    <col min="4611" max="4611" width="15.88671875" style="1633" customWidth="1"/>
    <col min="4612" max="4612" width="9" style="1633" customWidth="1"/>
    <col min="4613" max="4616" width="0" style="1633" hidden="1" customWidth="1"/>
    <col min="4617" max="4617" width="18" style="1633" customWidth="1"/>
    <col min="4618" max="4618" width="8" style="1633" customWidth="1"/>
    <col min="4619" max="4619" width="8.44140625" style="1633" customWidth="1"/>
    <col min="4620" max="4620" width="12.33203125" style="1633" customWidth="1"/>
    <col min="4621" max="4634" width="0" style="1633" hidden="1" customWidth="1"/>
    <col min="4635" max="4635" width="10.21875" style="1633" customWidth="1"/>
    <col min="4636" max="4637" width="0" style="1633" hidden="1" customWidth="1"/>
    <col min="4638" max="4638" width="25.44140625" style="1633" customWidth="1"/>
    <col min="4639" max="4640" width="0" style="1633" hidden="1" customWidth="1"/>
    <col min="4641" max="4641" width="6.44140625" style="1633" customWidth="1"/>
    <col min="4642" max="4642" width="0" style="1633" hidden="1" customWidth="1"/>
    <col min="4643" max="4643" width="8.21875" style="1633" customWidth="1"/>
    <col min="4644" max="4644" width="0" style="1633" hidden="1" customWidth="1"/>
    <col min="4645" max="4645" width="16.33203125" style="1633" customWidth="1"/>
    <col min="4646" max="4647" width="0" style="1633" hidden="1" customWidth="1"/>
    <col min="4648" max="4648" width="7.109375" style="1633" customWidth="1"/>
    <col min="4649" max="4649" width="29.44140625" style="1633" customWidth="1"/>
    <col min="4650" max="4650" width="19.21875" style="1633" customWidth="1"/>
    <col min="4651" max="4652" width="23" style="1633" customWidth="1"/>
    <col min="4653" max="4653" width="9" style="1633" customWidth="1"/>
    <col min="4654" max="4864" width="8.88671875" style="1633"/>
    <col min="4865" max="4865" width="39.33203125" style="1633" customWidth="1"/>
    <col min="4866" max="4866" width="7.109375" style="1633" customWidth="1"/>
    <col min="4867" max="4867" width="15.88671875" style="1633" customWidth="1"/>
    <col min="4868" max="4868" width="9" style="1633" customWidth="1"/>
    <col min="4869" max="4872" width="0" style="1633" hidden="1" customWidth="1"/>
    <col min="4873" max="4873" width="18" style="1633" customWidth="1"/>
    <col min="4874" max="4874" width="8" style="1633" customWidth="1"/>
    <col min="4875" max="4875" width="8.44140625" style="1633" customWidth="1"/>
    <col min="4876" max="4876" width="12.33203125" style="1633" customWidth="1"/>
    <col min="4877" max="4890" width="0" style="1633" hidden="1" customWidth="1"/>
    <col min="4891" max="4891" width="10.21875" style="1633" customWidth="1"/>
    <col min="4892" max="4893" width="0" style="1633" hidden="1" customWidth="1"/>
    <col min="4894" max="4894" width="25.44140625" style="1633" customWidth="1"/>
    <col min="4895" max="4896" width="0" style="1633" hidden="1" customWidth="1"/>
    <col min="4897" max="4897" width="6.44140625" style="1633" customWidth="1"/>
    <col min="4898" max="4898" width="0" style="1633" hidden="1" customWidth="1"/>
    <col min="4899" max="4899" width="8.21875" style="1633" customWidth="1"/>
    <col min="4900" max="4900" width="0" style="1633" hidden="1" customWidth="1"/>
    <col min="4901" max="4901" width="16.33203125" style="1633" customWidth="1"/>
    <col min="4902" max="4903" width="0" style="1633" hidden="1" customWidth="1"/>
    <col min="4904" max="4904" width="7.109375" style="1633" customWidth="1"/>
    <col min="4905" max="4905" width="29.44140625" style="1633" customWidth="1"/>
    <col min="4906" max="4906" width="19.21875" style="1633" customWidth="1"/>
    <col min="4907" max="4908" width="23" style="1633" customWidth="1"/>
    <col min="4909" max="4909" width="9" style="1633" customWidth="1"/>
    <col min="4910" max="5120" width="8.88671875" style="1633"/>
    <col min="5121" max="5121" width="39.33203125" style="1633" customWidth="1"/>
    <col min="5122" max="5122" width="7.109375" style="1633" customWidth="1"/>
    <col min="5123" max="5123" width="15.88671875" style="1633" customWidth="1"/>
    <col min="5124" max="5124" width="9" style="1633" customWidth="1"/>
    <col min="5125" max="5128" width="0" style="1633" hidden="1" customWidth="1"/>
    <col min="5129" max="5129" width="18" style="1633" customWidth="1"/>
    <col min="5130" max="5130" width="8" style="1633" customWidth="1"/>
    <col min="5131" max="5131" width="8.44140625" style="1633" customWidth="1"/>
    <col min="5132" max="5132" width="12.33203125" style="1633" customWidth="1"/>
    <col min="5133" max="5146" width="0" style="1633" hidden="1" customWidth="1"/>
    <col min="5147" max="5147" width="10.21875" style="1633" customWidth="1"/>
    <col min="5148" max="5149" width="0" style="1633" hidden="1" customWidth="1"/>
    <col min="5150" max="5150" width="25.44140625" style="1633" customWidth="1"/>
    <col min="5151" max="5152" width="0" style="1633" hidden="1" customWidth="1"/>
    <col min="5153" max="5153" width="6.44140625" style="1633" customWidth="1"/>
    <col min="5154" max="5154" width="0" style="1633" hidden="1" customWidth="1"/>
    <col min="5155" max="5155" width="8.21875" style="1633" customWidth="1"/>
    <col min="5156" max="5156" width="0" style="1633" hidden="1" customWidth="1"/>
    <col min="5157" max="5157" width="16.33203125" style="1633" customWidth="1"/>
    <col min="5158" max="5159" width="0" style="1633" hidden="1" customWidth="1"/>
    <col min="5160" max="5160" width="7.109375" style="1633" customWidth="1"/>
    <col min="5161" max="5161" width="29.44140625" style="1633" customWidth="1"/>
    <col min="5162" max="5162" width="19.21875" style="1633" customWidth="1"/>
    <col min="5163" max="5164" width="23" style="1633" customWidth="1"/>
    <col min="5165" max="5165" width="9" style="1633" customWidth="1"/>
    <col min="5166" max="5376" width="8.88671875" style="1633"/>
    <col min="5377" max="5377" width="39.33203125" style="1633" customWidth="1"/>
    <col min="5378" max="5378" width="7.109375" style="1633" customWidth="1"/>
    <col min="5379" max="5379" width="15.88671875" style="1633" customWidth="1"/>
    <col min="5380" max="5380" width="9" style="1633" customWidth="1"/>
    <col min="5381" max="5384" width="0" style="1633" hidden="1" customWidth="1"/>
    <col min="5385" max="5385" width="18" style="1633" customWidth="1"/>
    <col min="5386" max="5386" width="8" style="1633" customWidth="1"/>
    <col min="5387" max="5387" width="8.44140625" style="1633" customWidth="1"/>
    <col min="5388" max="5388" width="12.33203125" style="1633" customWidth="1"/>
    <col min="5389" max="5402" width="0" style="1633" hidden="1" customWidth="1"/>
    <col min="5403" max="5403" width="10.21875" style="1633" customWidth="1"/>
    <col min="5404" max="5405" width="0" style="1633" hidden="1" customWidth="1"/>
    <col min="5406" max="5406" width="25.44140625" style="1633" customWidth="1"/>
    <col min="5407" max="5408" width="0" style="1633" hidden="1" customWidth="1"/>
    <col min="5409" max="5409" width="6.44140625" style="1633" customWidth="1"/>
    <col min="5410" max="5410" width="0" style="1633" hidden="1" customWidth="1"/>
    <col min="5411" max="5411" width="8.21875" style="1633" customWidth="1"/>
    <col min="5412" max="5412" width="0" style="1633" hidden="1" customWidth="1"/>
    <col min="5413" max="5413" width="16.33203125" style="1633" customWidth="1"/>
    <col min="5414" max="5415" width="0" style="1633" hidden="1" customWidth="1"/>
    <col min="5416" max="5416" width="7.109375" style="1633" customWidth="1"/>
    <col min="5417" max="5417" width="29.44140625" style="1633" customWidth="1"/>
    <col min="5418" max="5418" width="19.21875" style="1633" customWidth="1"/>
    <col min="5419" max="5420" width="23" style="1633" customWidth="1"/>
    <col min="5421" max="5421" width="9" style="1633" customWidth="1"/>
    <col min="5422" max="5632" width="8.88671875" style="1633"/>
    <col min="5633" max="5633" width="39.33203125" style="1633" customWidth="1"/>
    <col min="5634" max="5634" width="7.109375" style="1633" customWidth="1"/>
    <col min="5635" max="5635" width="15.88671875" style="1633" customWidth="1"/>
    <col min="5636" max="5636" width="9" style="1633" customWidth="1"/>
    <col min="5637" max="5640" width="0" style="1633" hidden="1" customWidth="1"/>
    <col min="5641" max="5641" width="18" style="1633" customWidth="1"/>
    <col min="5642" max="5642" width="8" style="1633" customWidth="1"/>
    <col min="5643" max="5643" width="8.44140625" style="1633" customWidth="1"/>
    <col min="5644" max="5644" width="12.33203125" style="1633" customWidth="1"/>
    <col min="5645" max="5658" width="0" style="1633" hidden="1" customWidth="1"/>
    <col min="5659" max="5659" width="10.21875" style="1633" customWidth="1"/>
    <col min="5660" max="5661" width="0" style="1633" hidden="1" customWidth="1"/>
    <col min="5662" max="5662" width="25.44140625" style="1633" customWidth="1"/>
    <col min="5663" max="5664" width="0" style="1633" hidden="1" customWidth="1"/>
    <col min="5665" max="5665" width="6.44140625" style="1633" customWidth="1"/>
    <col min="5666" max="5666" width="0" style="1633" hidden="1" customWidth="1"/>
    <col min="5667" max="5667" width="8.21875" style="1633" customWidth="1"/>
    <col min="5668" max="5668" width="0" style="1633" hidden="1" customWidth="1"/>
    <col min="5669" max="5669" width="16.33203125" style="1633" customWidth="1"/>
    <col min="5670" max="5671" width="0" style="1633" hidden="1" customWidth="1"/>
    <col min="5672" max="5672" width="7.109375" style="1633" customWidth="1"/>
    <col min="5673" max="5673" width="29.44140625" style="1633" customWidth="1"/>
    <col min="5674" max="5674" width="19.21875" style="1633" customWidth="1"/>
    <col min="5675" max="5676" width="23" style="1633" customWidth="1"/>
    <col min="5677" max="5677" width="9" style="1633" customWidth="1"/>
    <col min="5678" max="5888" width="8.88671875" style="1633"/>
    <col min="5889" max="5889" width="39.33203125" style="1633" customWidth="1"/>
    <col min="5890" max="5890" width="7.109375" style="1633" customWidth="1"/>
    <col min="5891" max="5891" width="15.88671875" style="1633" customWidth="1"/>
    <col min="5892" max="5892" width="9" style="1633" customWidth="1"/>
    <col min="5893" max="5896" width="0" style="1633" hidden="1" customWidth="1"/>
    <col min="5897" max="5897" width="18" style="1633" customWidth="1"/>
    <col min="5898" max="5898" width="8" style="1633" customWidth="1"/>
    <col min="5899" max="5899" width="8.44140625" style="1633" customWidth="1"/>
    <col min="5900" max="5900" width="12.33203125" style="1633" customWidth="1"/>
    <col min="5901" max="5914" width="0" style="1633" hidden="1" customWidth="1"/>
    <col min="5915" max="5915" width="10.21875" style="1633" customWidth="1"/>
    <col min="5916" max="5917" width="0" style="1633" hidden="1" customWidth="1"/>
    <col min="5918" max="5918" width="25.44140625" style="1633" customWidth="1"/>
    <col min="5919" max="5920" width="0" style="1633" hidden="1" customWidth="1"/>
    <col min="5921" max="5921" width="6.44140625" style="1633" customWidth="1"/>
    <col min="5922" max="5922" width="0" style="1633" hidden="1" customWidth="1"/>
    <col min="5923" max="5923" width="8.21875" style="1633" customWidth="1"/>
    <col min="5924" max="5924" width="0" style="1633" hidden="1" customWidth="1"/>
    <col min="5925" max="5925" width="16.33203125" style="1633" customWidth="1"/>
    <col min="5926" max="5927" width="0" style="1633" hidden="1" customWidth="1"/>
    <col min="5928" max="5928" width="7.109375" style="1633" customWidth="1"/>
    <col min="5929" max="5929" width="29.44140625" style="1633" customWidth="1"/>
    <col min="5930" max="5930" width="19.21875" style="1633" customWidth="1"/>
    <col min="5931" max="5932" width="23" style="1633" customWidth="1"/>
    <col min="5933" max="5933" width="9" style="1633" customWidth="1"/>
    <col min="5934" max="6144" width="8.88671875" style="1633"/>
    <col min="6145" max="6145" width="39.33203125" style="1633" customWidth="1"/>
    <col min="6146" max="6146" width="7.109375" style="1633" customWidth="1"/>
    <col min="6147" max="6147" width="15.88671875" style="1633" customWidth="1"/>
    <col min="6148" max="6148" width="9" style="1633" customWidth="1"/>
    <col min="6149" max="6152" width="0" style="1633" hidden="1" customWidth="1"/>
    <col min="6153" max="6153" width="18" style="1633" customWidth="1"/>
    <col min="6154" max="6154" width="8" style="1633" customWidth="1"/>
    <col min="6155" max="6155" width="8.44140625" style="1633" customWidth="1"/>
    <col min="6156" max="6156" width="12.33203125" style="1633" customWidth="1"/>
    <col min="6157" max="6170" width="0" style="1633" hidden="1" customWidth="1"/>
    <col min="6171" max="6171" width="10.21875" style="1633" customWidth="1"/>
    <col min="6172" max="6173" width="0" style="1633" hidden="1" customWidth="1"/>
    <col min="6174" max="6174" width="25.44140625" style="1633" customWidth="1"/>
    <col min="6175" max="6176" width="0" style="1633" hidden="1" customWidth="1"/>
    <col min="6177" max="6177" width="6.44140625" style="1633" customWidth="1"/>
    <col min="6178" max="6178" width="0" style="1633" hidden="1" customWidth="1"/>
    <col min="6179" max="6179" width="8.21875" style="1633" customWidth="1"/>
    <col min="6180" max="6180" width="0" style="1633" hidden="1" customWidth="1"/>
    <col min="6181" max="6181" width="16.33203125" style="1633" customWidth="1"/>
    <col min="6182" max="6183" width="0" style="1633" hidden="1" customWidth="1"/>
    <col min="6184" max="6184" width="7.109375" style="1633" customWidth="1"/>
    <col min="6185" max="6185" width="29.44140625" style="1633" customWidth="1"/>
    <col min="6186" max="6186" width="19.21875" style="1633" customWidth="1"/>
    <col min="6187" max="6188" width="23" style="1633" customWidth="1"/>
    <col min="6189" max="6189" width="9" style="1633" customWidth="1"/>
    <col min="6190" max="6400" width="8.88671875" style="1633"/>
    <col min="6401" max="6401" width="39.33203125" style="1633" customWidth="1"/>
    <col min="6402" max="6402" width="7.109375" style="1633" customWidth="1"/>
    <col min="6403" max="6403" width="15.88671875" style="1633" customWidth="1"/>
    <col min="6404" max="6404" width="9" style="1633" customWidth="1"/>
    <col min="6405" max="6408" width="0" style="1633" hidden="1" customWidth="1"/>
    <col min="6409" max="6409" width="18" style="1633" customWidth="1"/>
    <col min="6410" max="6410" width="8" style="1633" customWidth="1"/>
    <col min="6411" max="6411" width="8.44140625" style="1633" customWidth="1"/>
    <col min="6412" max="6412" width="12.33203125" style="1633" customWidth="1"/>
    <col min="6413" max="6426" width="0" style="1633" hidden="1" customWidth="1"/>
    <col min="6427" max="6427" width="10.21875" style="1633" customWidth="1"/>
    <col min="6428" max="6429" width="0" style="1633" hidden="1" customWidth="1"/>
    <col min="6430" max="6430" width="25.44140625" style="1633" customWidth="1"/>
    <col min="6431" max="6432" width="0" style="1633" hidden="1" customWidth="1"/>
    <col min="6433" max="6433" width="6.44140625" style="1633" customWidth="1"/>
    <col min="6434" max="6434" width="0" style="1633" hidden="1" customWidth="1"/>
    <col min="6435" max="6435" width="8.21875" style="1633" customWidth="1"/>
    <col min="6436" max="6436" width="0" style="1633" hidden="1" customWidth="1"/>
    <col min="6437" max="6437" width="16.33203125" style="1633" customWidth="1"/>
    <col min="6438" max="6439" width="0" style="1633" hidden="1" customWidth="1"/>
    <col min="6440" max="6440" width="7.109375" style="1633" customWidth="1"/>
    <col min="6441" max="6441" width="29.44140625" style="1633" customWidth="1"/>
    <col min="6442" max="6442" width="19.21875" style="1633" customWidth="1"/>
    <col min="6443" max="6444" width="23" style="1633" customWidth="1"/>
    <col min="6445" max="6445" width="9" style="1633" customWidth="1"/>
    <col min="6446" max="6656" width="8.88671875" style="1633"/>
    <col min="6657" max="6657" width="39.33203125" style="1633" customWidth="1"/>
    <col min="6658" max="6658" width="7.109375" style="1633" customWidth="1"/>
    <col min="6659" max="6659" width="15.88671875" style="1633" customWidth="1"/>
    <col min="6660" max="6660" width="9" style="1633" customWidth="1"/>
    <col min="6661" max="6664" width="0" style="1633" hidden="1" customWidth="1"/>
    <col min="6665" max="6665" width="18" style="1633" customWidth="1"/>
    <col min="6666" max="6666" width="8" style="1633" customWidth="1"/>
    <col min="6667" max="6667" width="8.44140625" style="1633" customWidth="1"/>
    <col min="6668" max="6668" width="12.33203125" style="1633" customWidth="1"/>
    <col min="6669" max="6682" width="0" style="1633" hidden="1" customWidth="1"/>
    <col min="6683" max="6683" width="10.21875" style="1633" customWidth="1"/>
    <col min="6684" max="6685" width="0" style="1633" hidden="1" customWidth="1"/>
    <col min="6686" max="6686" width="25.44140625" style="1633" customWidth="1"/>
    <col min="6687" max="6688" width="0" style="1633" hidden="1" customWidth="1"/>
    <col min="6689" max="6689" width="6.44140625" style="1633" customWidth="1"/>
    <col min="6690" max="6690" width="0" style="1633" hidden="1" customWidth="1"/>
    <col min="6691" max="6691" width="8.21875" style="1633" customWidth="1"/>
    <col min="6692" max="6692" width="0" style="1633" hidden="1" customWidth="1"/>
    <col min="6693" max="6693" width="16.33203125" style="1633" customWidth="1"/>
    <col min="6694" max="6695" width="0" style="1633" hidden="1" customWidth="1"/>
    <col min="6696" max="6696" width="7.109375" style="1633" customWidth="1"/>
    <col min="6697" max="6697" width="29.44140625" style="1633" customWidth="1"/>
    <col min="6698" max="6698" width="19.21875" style="1633" customWidth="1"/>
    <col min="6699" max="6700" width="23" style="1633" customWidth="1"/>
    <col min="6701" max="6701" width="9" style="1633" customWidth="1"/>
    <col min="6702" max="6912" width="8.88671875" style="1633"/>
    <col min="6913" max="6913" width="39.33203125" style="1633" customWidth="1"/>
    <col min="6914" max="6914" width="7.109375" style="1633" customWidth="1"/>
    <col min="6915" max="6915" width="15.88671875" style="1633" customWidth="1"/>
    <col min="6916" max="6916" width="9" style="1633" customWidth="1"/>
    <col min="6917" max="6920" width="0" style="1633" hidden="1" customWidth="1"/>
    <col min="6921" max="6921" width="18" style="1633" customWidth="1"/>
    <col min="6922" max="6922" width="8" style="1633" customWidth="1"/>
    <col min="6923" max="6923" width="8.44140625" style="1633" customWidth="1"/>
    <col min="6924" max="6924" width="12.33203125" style="1633" customWidth="1"/>
    <col min="6925" max="6938" width="0" style="1633" hidden="1" customWidth="1"/>
    <col min="6939" max="6939" width="10.21875" style="1633" customWidth="1"/>
    <col min="6940" max="6941" width="0" style="1633" hidden="1" customWidth="1"/>
    <col min="6942" max="6942" width="25.44140625" style="1633" customWidth="1"/>
    <col min="6943" max="6944" width="0" style="1633" hidden="1" customWidth="1"/>
    <col min="6945" max="6945" width="6.44140625" style="1633" customWidth="1"/>
    <col min="6946" max="6946" width="0" style="1633" hidden="1" customWidth="1"/>
    <col min="6947" max="6947" width="8.21875" style="1633" customWidth="1"/>
    <col min="6948" max="6948" width="0" style="1633" hidden="1" customWidth="1"/>
    <col min="6949" max="6949" width="16.33203125" style="1633" customWidth="1"/>
    <col min="6950" max="6951" width="0" style="1633" hidden="1" customWidth="1"/>
    <col min="6952" max="6952" width="7.109375" style="1633" customWidth="1"/>
    <col min="6953" max="6953" width="29.44140625" style="1633" customWidth="1"/>
    <col min="6954" max="6954" width="19.21875" style="1633" customWidth="1"/>
    <col min="6955" max="6956" width="23" style="1633" customWidth="1"/>
    <col min="6957" max="6957" width="9" style="1633" customWidth="1"/>
    <col min="6958" max="7168" width="8.88671875" style="1633"/>
    <col min="7169" max="7169" width="39.33203125" style="1633" customWidth="1"/>
    <col min="7170" max="7170" width="7.109375" style="1633" customWidth="1"/>
    <col min="7171" max="7171" width="15.88671875" style="1633" customWidth="1"/>
    <col min="7172" max="7172" width="9" style="1633" customWidth="1"/>
    <col min="7173" max="7176" width="0" style="1633" hidden="1" customWidth="1"/>
    <col min="7177" max="7177" width="18" style="1633" customWidth="1"/>
    <col min="7178" max="7178" width="8" style="1633" customWidth="1"/>
    <col min="7179" max="7179" width="8.44140625" style="1633" customWidth="1"/>
    <col min="7180" max="7180" width="12.33203125" style="1633" customWidth="1"/>
    <col min="7181" max="7194" width="0" style="1633" hidden="1" customWidth="1"/>
    <col min="7195" max="7195" width="10.21875" style="1633" customWidth="1"/>
    <col min="7196" max="7197" width="0" style="1633" hidden="1" customWidth="1"/>
    <col min="7198" max="7198" width="25.44140625" style="1633" customWidth="1"/>
    <col min="7199" max="7200" width="0" style="1633" hidden="1" customWidth="1"/>
    <col min="7201" max="7201" width="6.44140625" style="1633" customWidth="1"/>
    <col min="7202" max="7202" width="0" style="1633" hidden="1" customWidth="1"/>
    <col min="7203" max="7203" width="8.21875" style="1633" customWidth="1"/>
    <col min="7204" max="7204" width="0" style="1633" hidden="1" customWidth="1"/>
    <col min="7205" max="7205" width="16.33203125" style="1633" customWidth="1"/>
    <col min="7206" max="7207" width="0" style="1633" hidden="1" customWidth="1"/>
    <col min="7208" max="7208" width="7.109375" style="1633" customWidth="1"/>
    <col min="7209" max="7209" width="29.44140625" style="1633" customWidth="1"/>
    <col min="7210" max="7210" width="19.21875" style="1633" customWidth="1"/>
    <col min="7211" max="7212" width="23" style="1633" customWidth="1"/>
    <col min="7213" max="7213" width="9" style="1633" customWidth="1"/>
    <col min="7214" max="7424" width="8.88671875" style="1633"/>
    <col min="7425" max="7425" width="39.33203125" style="1633" customWidth="1"/>
    <col min="7426" max="7426" width="7.109375" style="1633" customWidth="1"/>
    <col min="7427" max="7427" width="15.88671875" style="1633" customWidth="1"/>
    <col min="7428" max="7428" width="9" style="1633" customWidth="1"/>
    <col min="7429" max="7432" width="0" style="1633" hidden="1" customWidth="1"/>
    <col min="7433" max="7433" width="18" style="1633" customWidth="1"/>
    <col min="7434" max="7434" width="8" style="1633" customWidth="1"/>
    <col min="7435" max="7435" width="8.44140625" style="1633" customWidth="1"/>
    <col min="7436" max="7436" width="12.33203125" style="1633" customWidth="1"/>
    <col min="7437" max="7450" width="0" style="1633" hidden="1" customWidth="1"/>
    <col min="7451" max="7451" width="10.21875" style="1633" customWidth="1"/>
    <col min="7452" max="7453" width="0" style="1633" hidden="1" customWidth="1"/>
    <col min="7454" max="7454" width="25.44140625" style="1633" customWidth="1"/>
    <col min="7455" max="7456" width="0" style="1633" hidden="1" customWidth="1"/>
    <col min="7457" max="7457" width="6.44140625" style="1633" customWidth="1"/>
    <col min="7458" max="7458" width="0" style="1633" hidden="1" customWidth="1"/>
    <col min="7459" max="7459" width="8.21875" style="1633" customWidth="1"/>
    <col min="7460" max="7460" width="0" style="1633" hidden="1" customWidth="1"/>
    <col min="7461" max="7461" width="16.33203125" style="1633" customWidth="1"/>
    <col min="7462" max="7463" width="0" style="1633" hidden="1" customWidth="1"/>
    <col min="7464" max="7464" width="7.109375" style="1633" customWidth="1"/>
    <col min="7465" max="7465" width="29.44140625" style="1633" customWidth="1"/>
    <col min="7466" max="7466" width="19.21875" style="1633" customWidth="1"/>
    <col min="7467" max="7468" width="23" style="1633" customWidth="1"/>
    <col min="7469" max="7469" width="9" style="1633" customWidth="1"/>
    <col min="7470" max="7680" width="8.88671875" style="1633"/>
    <col min="7681" max="7681" width="39.33203125" style="1633" customWidth="1"/>
    <col min="7682" max="7682" width="7.109375" style="1633" customWidth="1"/>
    <col min="7683" max="7683" width="15.88671875" style="1633" customWidth="1"/>
    <col min="7684" max="7684" width="9" style="1633" customWidth="1"/>
    <col min="7685" max="7688" width="0" style="1633" hidden="1" customWidth="1"/>
    <col min="7689" max="7689" width="18" style="1633" customWidth="1"/>
    <col min="7690" max="7690" width="8" style="1633" customWidth="1"/>
    <col min="7691" max="7691" width="8.44140625" style="1633" customWidth="1"/>
    <col min="7692" max="7692" width="12.33203125" style="1633" customWidth="1"/>
    <col min="7693" max="7706" width="0" style="1633" hidden="1" customWidth="1"/>
    <col min="7707" max="7707" width="10.21875" style="1633" customWidth="1"/>
    <col min="7708" max="7709" width="0" style="1633" hidden="1" customWidth="1"/>
    <col min="7710" max="7710" width="25.44140625" style="1633" customWidth="1"/>
    <col min="7711" max="7712" width="0" style="1633" hidden="1" customWidth="1"/>
    <col min="7713" max="7713" width="6.44140625" style="1633" customWidth="1"/>
    <col min="7714" max="7714" width="0" style="1633" hidden="1" customWidth="1"/>
    <col min="7715" max="7715" width="8.21875" style="1633" customWidth="1"/>
    <col min="7716" max="7716" width="0" style="1633" hidden="1" customWidth="1"/>
    <col min="7717" max="7717" width="16.33203125" style="1633" customWidth="1"/>
    <col min="7718" max="7719" width="0" style="1633" hidden="1" customWidth="1"/>
    <col min="7720" max="7720" width="7.109375" style="1633" customWidth="1"/>
    <col min="7721" max="7721" width="29.44140625" style="1633" customWidth="1"/>
    <col min="7722" max="7722" width="19.21875" style="1633" customWidth="1"/>
    <col min="7723" max="7724" width="23" style="1633" customWidth="1"/>
    <col min="7725" max="7725" width="9" style="1633" customWidth="1"/>
    <col min="7726" max="7936" width="8.88671875" style="1633"/>
    <col min="7937" max="7937" width="39.33203125" style="1633" customWidth="1"/>
    <col min="7938" max="7938" width="7.109375" style="1633" customWidth="1"/>
    <col min="7939" max="7939" width="15.88671875" style="1633" customWidth="1"/>
    <col min="7940" max="7940" width="9" style="1633" customWidth="1"/>
    <col min="7941" max="7944" width="0" style="1633" hidden="1" customWidth="1"/>
    <col min="7945" max="7945" width="18" style="1633" customWidth="1"/>
    <col min="7946" max="7946" width="8" style="1633" customWidth="1"/>
    <col min="7947" max="7947" width="8.44140625" style="1633" customWidth="1"/>
    <col min="7948" max="7948" width="12.33203125" style="1633" customWidth="1"/>
    <col min="7949" max="7962" width="0" style="1633" hidden="1" customWidth="1"/>
    <col min="7963" max="7963" width="10.21875" style="1633" customWidth="1"/>
    <col min="7964" max="7965" width="0" style="1633" hidden="1" customWidth="1"/>
    <col min="7966" max="7966" width="25.44140625" style="1633" customWidth="1"/>
    <col min="7967" max="7968" width="0" style="1633" hidden="1" customWidth="1"/>
    <col min="7969" max="7969" width="6.44140625" style="1633" customWidth="1"/>
    <col min="7970" max="7970" width="0" style="1633" hidden="1" customWidth="1"/>
    <col min="7971" max="7971" width="8.21875" style="1633" customWidth="1"/>
    <col min="7972" max="7972" width="0" style="1633" hidden="1" customWidth="1"/>
    <col min="7973" max="7973" width="16.33203125" style="1633" customWidth="1"/>
    <col min="7974" max="7975" width="0" style="1633" hidden="1" customWidth="1"/>
    <col min="7976" max="7976" width="7.109375" style="1633" customWidth="1"/>
    <col min="7977" max="7977" width="29.44140625" style="1633" customWidth="1"/>
    <col min="7978" max="7978" width="19.21875" style="1633" customWidth="1"/>
    <col min="7979" max="7980" width="23" style="1633" customWidth="1"/>
    <col min="7981" max="7981" width="9" style="1633" customWidth="1"/>
    <col min="7982" max="8192" width="8.88671875" style="1633"/>
    <col min="8193" max="8193" width="39.33203125" style="1633" customWidth="1"/>
    <col min="8194" max="8194" width="7.109375" style="1633" customWidth="1"/>
    <col min="8195" max="8195" width="15.88671875" style="1633" customWidth="1"/>
    <col min="8196" max="8196" width="9" style="1633" customWidth="1"/>
    <col min="8197" max="8200" width="0" style="1633" hidden="1" customWidth="1"/>
    <col min="8201" max="8201" width="18" style="1633" customWidth="1"/>
    <col min="8202" max="8202" width="8" style="1633" customWidth="1"/>
    <col min="8203" max="8203" width="8.44140625" style="1633" customWidth="1"/>
    <col min="8204" max="8204" width="12.33203125" style="1633" customWidth="1"/>
    <col min="8205" max="8218" width="0" style="1633" hidden="1" customWidth="1"/>
    <col min="8219" max="8219" width="10.21875" style="1633" customWidth="1"/>
    <col min="8220" max="8221" width="0" style="1633" hidden="1" customWidth="1"/>
    <col min="8222" max="8222" width="25.44140625" style="1633" customWidth="1"/>
    <col min="8223" max="8224" width="0" style="1633" hidden="1" customWidth="1"/>
    <col min="8225" max="8225" width="6.44140625" style="1633" customWidth="1"/>
    <col min="8226" max="8226" width="0" style="1633" hidden="1" customWidth="1"/>
    <col min="8227" max="8227" width="8.21875" style="1633" customWidth="1"/>
    <col min="8228" max="8228" width="0" style="1633" hidden="1" customWidth="1"/>
    <col min="8229" max="8229" width="16.33203125" style="1633" customWidth="1"/>
    <col min="8230" max="8231" width="0" style="1633" hidden="1" customWidth="1"/>
    <col min="8232" max="8232" width="7.109375" style="1633" customWidth="1"/>
    <col min="8233" max="8233" width="29.44140625" style="1633" customWidth="1"/>
    <col min="8234" max="8234" width="19.21875" style="1633" customWidth="1"/>
    <col min="8235" max="8236" width="23" style="1633" customWidth="1"/>
    <col min="8237" max="8237" width="9" style="1633" customWidth="1"/>
    <col min="8238" max="8448" width="8.88671875" style="1633"/>
    <col min="8449" max="8449" width="39.33203125" style="1633" customWidth="1"/>
    <col min="8450" max="8450" width="7.109375" style="1633" customWidth="1"/>
    <col min="8451" max="8451" width="15.88671875" style="1633" customWidth="1"/>
    <col min="8452" max="8452" width="9" style="1633" customWidth="1"/>
    <col min="8453" max="8456" width="0" style="1633" hidden="1" customWidth="1"/>
    <col min="8457" max="8457" width="18" style="1633" customWidth="1"/>
    <col min="8458" max="8458" width="8" style="1633" customWidth="1"/>
    <col min="8459" max="8459" width="8.44140625" style="1633" customWidth="1"/>
    <col min="8460" max="8460" width="12.33203125" style="1633" customWidth="1"/>
    <col min="8461" max="8474" width="0" style="1633" hidden="1" customWidth="1"/>
    <col min="8475" max="8475" width="10.21875" style="1633" customWidth="1"/>
    <col min="8476" max="8477" width="0" style="1633" hidden="1" customWidth="1"/>
    <col min="8478" max="8478" width="25.44140625" style="1633" customWidth="1"/>
    <col min="8479" max="8480" width="0" style="1633" hidden="1" customWidth="1"/>
    <col min="8481" max="8481" width="6.44140625" style="1633" customWidth="1"/>
    <col min="8482" max="8482" width="0" style="1633" hidden="1" customWidth="1"/>
    <col min="8483" max="8483" width="8.21875" style="1633" customWidth="1"/>
    <col min="8484" max="8484" width="0" style="1633" hidden="1" customWidth="1"/>
    <col min="8485" max="8485" width="16.33203125" style="1633" customWidth="1"/>
    <col min="8486" max="8487" width="0" style="1633" hidden="1" customWidth="1"/>
    <col min="8488" max="8488" width="7.109375" style="1633" customWidth="1"/>
    <col min="8489" max="8489" width="29.44140625" style="1633" customWidth="1"/>
    <col min="8490" max="8490" width="19.21875" style="1633" customWidth="1"/>
    <col min="8491" max="8492" width="23" style="1633" customWidth="1"/>
    <col min="8493" max="8493" width="9" style="1633" customWidth="1"/>
    <col min="8494" max="8704" width="8.88671875" style="1633"/>
    <col min="8705" max="8705" width="39.33203125" style="1633" customWidth="1"/>
    <col min="8706" max="8706" width="7.109375" style="1633" customWidth="1"/>
    <col min="8707" max="8707" width="15.88671875" style="1633" customWidth="1"/>
    <col min="8708" max="8708" width="9" style="1633" customWidth="1"/>
    <col min="8709" max="8712" width="0" style="1633" hidden="1" customWidth="1"/>
    <col min="8713" max="8713" width="18" style="1633" customWidth="1"/>
    <col min="8714" max="8714" width="8" style="1633" customWidth="1"/>
    <col min="8715" max="8715" width="8.44140625" style="1633" customWidth="1"/>
    <col min="8716" max="8716" width="12.33203125" style="1633" customWidth="1"/>
    <col min="8717" max="8730" width="0" style="1633" hidden="1" customWidth="1"/>
    <col min="8731" max="8731" width="10.21875" style="1633" customWidth="1"/>
    <col min="8732" max="8733" width="0" style="1633" hidden="1" customWidth="1"/>
    <col min="8734" max="8734" width="25.44140625" style="1633" customWidth="1"/>
    <col min="8735" max="8736" width="0" style="1633" hidden="1" customWidth="1"/>
    <col min="8737" max="8737" width="6.44140625" style="1633" customWidth="1"/>
    <col min="8738" max="8738" width="0" style="1633" hidden="1" customWidth="1"/>
    <col min="8739" max="8739" width="8.21875" style="1633" customWidth="1"/>
    <col min="8740" max="8740" width="0" style="1633" hidden="1" customWidth="1"/>
    <col min="8741" max="8741" width="16.33203125" style="1633" customWidth="1"/>
    <col min="8742" max="8743" width="0" style="1633" hidden="1" customWidth="1"/>
    <col min="8744" max="8744" width="7.109375" style="1633" customWidth="1"/>
    <col min="8745" max="8745" width="29.44140625" style="1633" customWidth="1"/>
    <col min="8746" max="8746" width="19.21875" style="1633" customWidth="1"/>
    <col min="8747" max="8748" width="23" style="1633" customWidth="1"/>
    <col min="8749" max="8749" width="9" style="1633" customWidth="1"/>
    <col min="8750" max="8960" width="8.88671875" style="1633"/>
    <col min="8961" max="8961" width="39.33203125" style="1633" customWidth="1"/>
    <col min="8962" max="8962" width="7.109375" style="1633" customWidth="1"/>
    <col min="8963" max="8963" width="15.88671875" style="1633" customWidth="1"/>
    <col min="8964" max="8964" width="9" style="1633" customWidth="1"/>
    <col min="8965" max="8968" width="0" style="1633" hidden="1" customWidth="1"/>
    <col min="8969" max="8969" width="18" style="1633" customWidth="1"/>
    <col min="8970" max="8970" width="8" style="1633" customWidth="1"/>
    <col min="8971" max="8971" width="8.44140625" style="1633" customWidth="1"/>
    <col min="8972" max="8972" width="12.33203125" style="1633" customWidth="1"/>
    <col min="8973" max="8986" width="0" style="1633" hidden="1" customWidth="1"/>
    <col min="8987" max="8987" width="10.21875" style="1633" customWidth="1"/>
    <col min="8988" max="8989" width="0" style="1633" hidden="1" customWidth="1"/>
    <col min="8990" max="8990" width="25.44140625" style="1633" customWidth="1"/>
    <col min="8991" max="8992" width="0" style="1633" hidden="1" customWidth="1"/>
    <col min="8993" max="8993" width="6.44140625" style="1633" customWidth="1"/>
    <col min="8994" max="8994" width="0" style="1633" hidden="1" customWidth="1"/>
    <col min="8995" max="8995" width="8.21875" style="1633" customWidth="1"/>
    <col min="8996" max="8996" width="0" style="1633" hidden="1" customWidth="1"/>
    <col min="8997" max="8997" width="16.33203125" style="1633" customWidth="1"/>
    <col min="8998" max="8999" width="0" style="1633" hidden="1" customWidth="1"/>
    <col min="9000" max="9000" width="7.109375" style="1633" customWidth="1"/>
    <col min="9001" max="9001" width="29.44140625" style="1633" customWidth="1"/>
    <col min="9002" max="9002" width="19.21875" style="1633" customWidth="1"/>
    <col min="9003" max="9004" width="23" style="1633" customWidth="1"/>
    <col min="9005" max="9005" width="9" style="1633" customWidth="1"/>
    <col min="9006" max="9216" width="8.88671875" style="1633"/>
    <col min="9217" max="9217" width="39.33203125" style="1633" customWidth="1"/>
    <col min="9218" max="9218" width="7.109375" style="1633" customWidth="1"/>
    <col min="9219" max="9219" width="15.88671875" style="1633" customWidth="1"/>
    <col min="9220" max="9220" width="9" style="1633" customWidth="1"/>
    <col min="9221" max="9224" width="0" style="1633" hidden="1" customWidth="1"/>
    <col min="9225" max="9225" width="18" style="1633" customWidth="1"/>
    <col min="9226" max="9226" width="8" style="1633" customWidth="1"/>
    <col min="9227" max="9227" width="8.44140625" style="1633" customWidth="1"/>
    <col min="9228" max="9228" width="12.33203125" style="1633" customWidth="1"/>
    <col min="9229" max="9242" width="0" style="1633" hidden="1" customWidth="1"/>
    <col min="9243" max="9243" width="10.21875" style="1633" customWidth="1"/>
    <col min="9244" max="9245" width="0" style="1633" hidden="1" customWidth="1"/>
    <col min="9246" max="9246" width="25.44140625" style="1633" customWidth="1"/>
    <col min="9247" max="9248" width="0" style="1633" hidden="1" customWidth="1"/>
    <col min="9249" max="9249" width="6.44140625" style="1633" customWidth="1"/>
    <col min="9250" max="9250" width="0" style="1633" hidden="1" customWidth="1"/>
    <col min="9251" max="9251" width="8.21875" style="1633" customWidth="1"/>
    <col min="9252" max="9252" width="0" style="1633" hidden="1" customWidth="1"/>
    <col min="9253" max="9253" width="16.33203125" style="1633" customWidth="1"/>
    <col min="9254" max="9255" width="0" style="1633" hidden="1" customWidth="1"/>
    <col min="9256" max="9256" width="7.109375" style="1633" customWidth="1"/>
    <col min="9257" max="9257" width="29.44140625" style="1633" customWidth="1"/>
    <col min="9258" max="9258" width="19.21875" style="1633" customWidth="1"/>
    <col min="9259" max="9260" width="23" style="1633" customWidth="1"/>
    <col min="9261" max="9261" width="9" style="1633" customWidth="1"/>
    <col min="9262" max="9472" width="8.88671875" style="1633"/>
    <col min="9473" max="9473" width="39.33203125" style="1633" customWidth="1"/>
    <col min="9474" max="9474" width="7.109375" style="1633" customWidth="1"/>
    <col min="9475" max="9475" width="15.88671875" style="1633" customWidth="1"/>
    <col min="9476" max="9476" width="9" style="1633" customWidth="1"/>
    <col min="9477" max="9480" width="0" style="1633" hidden="1" customWidth="1"/>
    <col min="9481" max="9481" width="18" style="1633" customWidth="1"/>
    <col min="9482" max="9482" width="8" style="1633" customWidth="1"/>
    <col min="9483" max="9483" width="8.44140625" style="1633" customWidth="1"/>
    <col min="9484" max="9484" width="12.33203125" style="1633" customWidth="1"/>
    <col min="9485" max="9498" width="0" style="1633" hidden="1" customWidth="1"/>
    <col min="9499" max="9499" width="10.21875" style="1633" customWidth="1"/>
    <col min="9500" max="9501" width="0" style="1633" hidden="1" customWidth="1"/>
    <col min="9502" max="9502" width="25.44140625" style="1633" customWidth="1"/>
    <col min="9503" max="9504" width="0" style="1633" hidden="1" customWidth="1"/>
    <col min="9505" max="9505" width="6.44140625" style="1633" customWidth="1"/>
    <col min="9506" max="9506" width="0" style="1633" hidden="1" customWidth="1"/>
    <col min="9507" max="9507" width="8.21875" style="1633" customWidth="1"/>
    <col min="9508" max="9508" width="0" style="1633" hidden="1" customWidth="1"/>
    <col min="9509" max="9509" width="16.33203125" style="1633" customWidth="1"/>
    <col min="9510" max="9511" width="0" style="1633" hidden="1" customWidth="1"/>
    <col min="9512" max="9512" width="7.109375" style="1633" customWidth="1"/>
    <col min="9513" max="9513" width="29.44140625" style="1633" customWidth="1"/>
    <col min="9514" max="9514" width="19.21875" style="1633" customWidth="1"/>
    <col min="9515" max="9516" width="23" style="1633" customWidth="1"/>
    <col min="9517" max="9517" width="9" style="1633" customWidth="1"/>
    <col min="9518" max="9728" width="8.88671875" style="1633"/>
    <col min="9729" max="9729" width="39.33203125" style="1633" customWidth="1"/>
    <col min="9730" max="9730" width="7.109375" style="1633" customWidth="1"/>
    <col min="9731" max="9731" width="15.88671875" style="1633" customWidth="1"/>
    <col min="9732" max="9732" width="9" style="1633" customWidth="1"/>
    <col min="9733" max="9736" width="0" style="1633" hidden="1" customWidth="1"/>
    <col min="9737" max="9737" width="18" style="1633" customWidth="1"/>
    <col min="9738" max="9738" width="8" style="1633" customWidth="1"/>
    <col min="9739" max="9739" width="8.44140625" style="1633" customWidth="1"/>
    <col min="9740" max="9740" width="12.33203125" style="1633" customWidth="1"/>
    <col min="9741" max="9754" width="0" style="1633" hidden="1" customWidth="1"/>
    <col min="9755" max="9755" width="10.21875" style="1633" customWidth="1"/>
    <col min="9756" max="9757" width="0" style="1633" hidden="1" customWidth="1"/>
    <col min="9758" max="9758" width="25.44140625" style="1633" customWidth="1"/>
    <col min="9759" max="9760" width="0" style="1633" hidden="1" customWidth="1"/>
    <col min="9761" max="9761" width="6.44140625" style="1633" customWidth="1"/>
    <col min="9762" max="9762" width="0" style="1633" hidden="1" customWidth="1"/>
    <col min="9763" max="9763" width="8.21875" style="1633" customWidth="1"/>
    <col min="9764" max="9764" width="0" style="1633" hidden="1" customWidth="1"/>
    <col min="9765" max="9765" width="16.33203125" style="1633" customWidth="1"/>
    <col min="9766" max="9767" width="0" style="1633" hidden="1" customWidth="1"/>
    <col min="9768" max="9768" width="7.109375" style="1633" customWidth="1"/>
    <col min="9769" max="9769" width="29.44140625" style="1633" customWidth="1"/>
    <col min="9770" max="9770" width="19.21875" style="1633" customWidth="1"/>
    <col min="9771" max="9772" width="23" style="1633" customWidth="1"/>
    <col min="9773" max="9773" width="9" style="1633" customWidth="1"/>
    <col min="9774" max="9984" width="8.88671875" style="1633"/>
    <col min="9985" max="9985" width="39.33203125" style="1633" customWidth="1"/>
    <col min="9986" max="9986" width="7.109375" style="1633" customWidth="1"/>
    <col min="9987" max="9987" width="15.88671875" style="1633" customWidth="1"/>
    <col min="9988" max="9988" width="9" style="1633" customWidth="1"/>
    <col min="9989" max="9992" width="0" style="1633" hidden="1" customWidth="1"/>
    <col min="9993" max="9993" width="18" style="1633" customWidth="1"/>
    <col min="9994" max="9994" width="8" style="1633" customWidth="1"/>
    <col min="9995" max="9995" width="8.44140625" style="1633" customWidth="1"/>
    <col min="9996" max="9996" width="12.33203125" style="1633" customWidth="1"/>
    <col min="9997" max="10010" width="0" style="1633" hidden="1" customWidth="1"/>
    <col min="10011" max="10011" width="10.21875" style="1633" customWidth="1"/>
    <col min="10012" max="10013" width="0" style="1633" hidden="1" customWidth="1"/>
    <col min="10014" max="10014" width="25.44140625" style="1633" customWidth="1"/>
    <col min="10015" max="10016" width="0" style="1633" hidden="1" customWidth="1"/>
    <col min="10017" max="10017" width="6.44140625" style="1633" customWidth="1"/>
    <col min="10018" max="10018" width="0" style="1633" hidden="1" customWidth="1"/>
    <col min="10019" max="10019" width="8.21875" style="1633" customWidth="1"/>
    <col min="10020" max="10020" width="0" style="1633" hidden="1" customWidth="1"/>
    <col min="10021" max="10021" width="16.33203125" style="1633" customWidth="1"/>
    <col min="10022" max="10023" width="0" style="1633" hidden="1" customWidth="1"/>
    <col min="10024" max="10024" width="7.109375" style="1633" customWidth="1"/>
    <col min="10025" max="10025" width="29.44140625" style="1633" customWidth="1"/>
    <col min="10026" max="10026" width="19.21875" style="1633" customWidth="1"/>
    <col min="10027" max="10028" width="23" style="1633" customWidth="1"/>
    <col min="10029" max="10029" width="9" style="1633" customWidth="1"/>
    <col min="10030" max="10240" width="8.88671875" style="1633"/>
    <col min="10241" max="10241" width="39.33203125" style="1633" customWidth="1"/>
    <col min="10242" max="10242" width="7.109375" style="1633" customWidth="1"/>
    <col min="10243" max="10243" width="15.88671875" style="1633" customWidth="1"/>
    <col min="10244" max="10244" width="9" style="1633" customWidth="1"/>
    <col min="10245" max="10248" width="0" style="1633" hidden="1" customWidth="1"/>
    <col min="10249" max="10249" width="18" style="1633" customWidth="1"/>
    <col min="10250" max="10250" width="8" style="1633" customWidth="1"/>
    <col min="10251" max="10251" width="8.44140625" style="1633" customWidth="1"/>
    <col min="10252" max="10252" width="12.33203125" style="1633" customWidth="1"/>
    <col min="10253" max="10266" width="0" style="1633" hidden="1" customWidth="1"/>
    <col min="10267" max="10267" width="10.21875" style="1633" customWidth="1"/>
    <col min="10268" max="10269" width="0" style="1633" hidden="1" customWidth="1"/>
    <col min="10270" max="10270" width="25.44140625" style="1633" customWidth="1"/>
    <col min="10271" max="10272" width="0" style="1633" hidden="1" customWidth="1"/>
    <col min="10273" max="10273" width="6.44140625" style="1633" customWidth="1"/>
    <col min="10274" max="10274" width="0" style="1633" hidden="1" customWidth="1"/>
    <col min="10275" max="10275" width="8.21875" style="1633" customWidth="1"/>
    <col min="10276" max="10276" width="0" style="1633" hidden="1" customWidth="1"/>
    <col min="10277" max="10277" width="16.33203125" style="1633" customWidth="1"/>
    <col min="10278" max="10279" width="0" style="1633" hidden="1" customWidth="1"/>
    <col min="10280" max="10280" width="7.109375" style="1633" customWidth="1"/>
    <col min="10281" max="10281" width="29.44140625" style="1633" customWidth="1"/>
    <col min="10282" max="10282" width="19.21875" style="1633" customWidth="1"/>
    <col min="10283" max="10284" width="23" style="1633" customWidth="1"/>
    <col min="10285" max="10285" width="9" style="1633" customWidth="1"/>
    <col min="10286" max="10496" width="8.88671875" style="1633"/>
    <col min="10497" max="10497" width="39.33203125" style="1633" customWidth="1"/>
    <col min="10498" max="10498" width="7.109375" style="1633" customWidth="1"/>
    <col min="10499" max="10499" width="15.88671875" style="1633" customWidth="1"/>
    <col min="10500" max="10500" width="9" style="1633" customWidth="1"/>
    <col min="10501" max="10504" width="0" style="1633" hidden="1" customWidth="1"/>
    <col min="10505" max="10505" width="18" style="1633" customWidth="1"/>
    <col min="10506" max="10506" width="8" style="1633" customWidth="1"/>
    <col min="10507" max="10507" width="8.44140625" style="1633" customWidth="1"/>
    <col min="10508" max="10508" width="12.33203125" style="1633" customWidth="1"/>
    <col min="10509" max="10522" width="0" style="1633" hidden="1" customWidth="1"/>
    <col min="10523" max="10523" width="10.21875" style="1633" customWidth="1"/>
    <col min="10524" max="10525" width="0" style="1633" hidden="1" customWidth="1"/>
    <col min="10526" max="10526" width="25.44140625" style="1633" customWidth="1"/>
    <col min="10527" max="10528" width="0" style="1633" hidden="1" customWidth="1"/>
    <col min="10529" max="10529" width="6.44140625" style="1633" customWidth="1"/>
    <col min="10530" max="10530" width="0" style="1633" hidden="1" customWidth="1"/>
    <col min="10531" max="10531" width="8.21875" style="1633" customWidth="1"/>
    <col min="10532" max="10532" width="0" style="1633" hidden="1" customWidth="1"/>
    <col min="10533" max="10533" width="16.33203125" style="1633" customWidth="1"/>
    <col min="10534" max="10535" width="0" style="1633" hidden="1" customWidth="1"/>
    <col min="10536" max="10536" width="7.109375" style="1633" customWidth="1"/>
    <col min="10537" max="10537" width="29.44140625" style="1633" customWidth="1"/>
    <col min="10538" max="10538" width="19.21875" style="1633" customWidth="1"/>
    <col min="10539" max="10540" width="23" style="1633" customWidth="1"/>
    <col min="10541" max="10541" width="9" style="1633" customWidth="1"/>
    <col min="10542" max="10752" width="8.88671875" style="1633"/>
    <col min="10753" max="10753" width="39.33203125" style="1633" customWidth="1"/>
    <col min="10754" max="10754" width="7.109375" style="1633" customWidth="1"/>
    <col min="10755" max="10755" width="15.88671875" style="1633" customWidth="1"/>
    <col min="10756" max="10756" width="9" style="1633" customWidth="1"/>
    <col min="10757" max="10760" width="0" style="1633" hidden="1" customWidth="1"/>
    <col min="10761" max="10761" width="18" style="1633" customWidth="1"/>
    <col min="10762" max="10762" width="8" style="1633" customWidth="1"/>
    <col min="10763" max="10763" width="8.44140625" style="1633" customWidth="1"/>
    <col min="10764" max="10764" width="12.33203125" style="1633" customWidth="1"/>
    <col min="10765" max="10778" width="0" style="1633" hidden="1" customWidth="1"/>
    <col min="10779" max="10779" width="10.21875" style="1633" customWidth="1"/>
    <col min="10780" max="10781" width="0" style="1633" hidden="1" customWidth="1"/>
    <col min="10782" max="10782" width="25.44140625" style="1633" customWidth="1"/>
    <col min="10783" max="10784" width="0" style="1633" hidden="1" customWidth="1"/>
    <col min="10785" max="10785" width="6.44140625" style="1633" customWidth="1"/>
    <col min="10786" max="10786" width="0" style="1633" hidden="1" customWidth="1"/>
    <col min="10787" max="10787" width="8.21875" style="1633" customWidth="1"/>
    <col min="10788" max="10788" width="0" style="1633" hidden="1" customWidth="1"/>
    <col min="10789" max="10789" width="16.33203125" style="1633" customWidth="1"/>
    <col min="10790" max="10791" width="0" style="1633" hidden="1" customWidth="1"/>
    <col min="10792" max="10792" width="7.109375" style="1633" customWidth="1"/>
    <col min="10793" max="10793" width="29.44140625" style="1633" customWidth="1"/>
    <col min="10794" max="10794" width="19.21875" style="1633" customWidth="1"/>
    <col min="10795" max="10796" width="23" style="1633" customWidth="1"/>
    <col min="10797" max="10797" width="9" style="1633" customWidth="1"/>
    <col min="10798" max="11008" width="8.88671875" style="1633"/>
    <col min="11009" max="11009" width="39.33203125" style="1633" customWidth="1"/>
    <col min="11010" max="11010" width="7.109375" style="1633" customWidth="1"/>
    <col min="11011" max="11011" width="15.88671875" style="1633" customWidth="1"/>
    <col min="11012" max="11012" width="9" style="1633" customWidth="1"/>
    <col min="11013" max="11016" width="0" style="1633" hidden="1" customWidth="1"/>
    <col min="11017" max="11017" width="18" style="1633" customWidth="1"/>
    <col min="11018" max="11018" width="8" style="1633" customWidth="1"/>
    <col min="11019" max="11019" width="8.44140625" style="1633" customWidth="1"/>
    <col min="11020" max="11020" width="12.33203125" style="1633" customWidth="1"/>
    <col min="11021" max="11034" width="0" style="1633" hidden="1" customWidth="1"/>
    <col min="11035" max="11035" width="10.21875" style="1633" customWidth="1"/>
    <col min="11036" max="11037" width="0" style="1633" hidden="1" customWidth="1"/>
    <col min="11038" max="11038" width="25.44140625" style="1633" customWidth="1"/>
    <col min="11039" max="11040" width="0" style="1633" hidden="1" customWidth="1"/>
    <col min="11041" max="11041" width="6.44140625" style="1633" customWidth="1"/>
    <col min="11042" max="11042" width="0" style="1633" hidden="1" customWidth="1"/>
    <col min="11043" max="11043" width="8.21875" style="1633" customWidth="1"/>
    <col min="11044" max="11044" width="0" style="1633" hidden="1" customWidth="1"/>
    <col min="11045" max="11045" width="16.33203125" style="1633" customWidth="1"/>
    <col min="11046" max="11047" width="0" style="1633" hidden="1" customWidth="1"/>
    <col min="11048" max="11048" width="7.109375" style="1633" customWidth="1"/>
    <col min="11049" max="11049" width="29.44140625" style="1633" customWidth="1"/>
    <col min="11050" max="11050" width="19.21875" style="1633" customWidth="1"/>
    <col min="11051" max="11052" width="23" style="1633" customWidth="1"/>
    <col min="11053" max="11053" width="9" style="1633" customWidth="1"/>
    <col min="11054" max="11264" width="8.88671875" style="1633"/>
    <col min="11265" max="11265" width="39.33203125" style="1633" customWidth="1"/>
    <col min="11266" max="11266" width="7.109375" style="1633" customWidth="1"/>
    <col min="11267" max="11267" width="15.88671875" style="1633" customWidth="1"/>
    <col min="11268" max="11268" width="9" style="1633" customWidth="1"/>
    <col min="11269" max="11272" width="0" style="1633" hidden="1" customWidth="1"/>
    <col min="11273" max="11273" width="18" style="1633" customWidth="1"/>
    <col min="11274" max="11274" width="8" style="1633" customWidth="1"/>
    <col min="11275" max="11275" width="8.44140625" style="1633" customWidth="1"/>
    <col min="11276" max="11276" width="12.33203125" style="1633" customWidth="1"/>
    <col min="11277" max="11290" width="0" style="1633" hidden="1" customWidth="1"/>
    <col min="11291" max="11291" width="10.21875" style="1633" customWidth="1"/>
    <col min="11292" max="11293" width="0" style="1633" hidden="1" customWidth="1"/>
    <col min="11294" max="11294" width="25.44140625" style="1633" customWidth="1"/>
    <col min="11295" max="11296" width="0" style="1633" hidden="1" customWidth="1"/>
    <col min="11297" max="11297" width="6.44140625" style="1633" customWidth="1"/>
    <col min="11298" max="11298" width="0" style="1633" hidden="1" customWidth="1"/>
    <col min="11299" max="11299" width="8.21875" style="1633" customWidth="1"/>
    <col min="11300" max="11300" width="0" style="1633" hidden="1" customWidth="1"/>
    <col min="11301" max="11301" width="16.33203125" style="1633" customWidth="1"/>
    <col min="11302" max="11303" width="0" style="1633" hidden="1" customWidth="1"/>
    <col min="11304" max="11304" width="7.109375" style="1633" customWidth="1"/>
    <col min="11305" max="11305" width="29.44140625" style="1633" customWidth="1"/>
    <col min="11306" max="11306" width="19.21875" style="1633" customWidth="1"/>
    <col min="11307" max="11308" width="23" style="1633" customWidth="1"/>
    <col min="11309" max="11309" width="9" style="1633" customWidth="1"/>
    <col min="11310" max="11520" width="8.88671875" style="1633"/>
    <col min="11521" max="11521" width="39.33203125" style="1633" customWidth="1"/>
    <col min="11522" max="11522" width="7.109375" style="1633" customWidth="1"/>
    <col min="11523" max="11523" width="15.88671875" style="1633" customWidth="1"/>
    <col min="11524" max="11524" width="9" style="1633" customWidth="1"/>
    <col min="11525" max="11528" width="0" style="1633" hidden="1" customWidth="1"/>
    <col min="11529" max="11529" width="18" style="1633" customWidth="1"/>
    <col min="11530" max="11530" width="8" style="1633" customWidth="1"/>
    <col min="11531" max="11531" width="8.44140625" style="1633" customWidth="1"/>
    <col min="11532" max="11532" width="12.33203125" style="1633" customWidth="1"/>
    <col min="11533" max="11546" width="0" style="1633" hidden="1" customWidth="1"/>
    <col min="11547" max="11547" width="10.21875" style="1633" customWidth="1"/>
    <col min="11548" max="11549" width="0" style="1633" hidden="1" customWidth="1"/>
    <col min="11550" max="11550" width="25.44140625" style="1633" customWidth="1"/>
    <col min="11551" max="11552" width="0" style="1633" hidden="1" customWidth="1"/>
    <col min="11553" max="11553" width="6.44140625" style="1633" customWidth="1"/>
    <col min="11554" max="11554" width="0" style="1633" hidden="1" customWidth="1"/>
    <col min="11555" max="11555" width="8.21875" style="1633" customWidth="1"/>
    <col min="11556" max="11556" width="0" style="1633" hidden="1" customWidth="1"/>
    <col min="11557" max="11557" width="16.33203125" style="1633" customWidth="1"/>
    <col min="11558" max="11559" width="0" style="1633" hidden="1" customWidth="1"/>
    <col min="11560" max="11560" width="7.109375" style="1633" customWidth="1"/>
    <col min="11561" max="11561" width="29.44140625" style="1633" customWidth="1"/>
    <col min="11562" max="11562" width="19.21875" style="1633" customWidth="1"/>
    <col min="11563" max="11564" width="23" style="1633" customWidth="1"/>
    <col min="11565" max="11565" width="9" style="1633" customWidth="1"/>
    <col min="11566" max="11776" width="8.88671875" style="1633"/>
    <col min="11777" max="11777" width="39.33203125" style="1633" customWidth="1"/>
    <col min="11778" max="11778" width="7.109375" style="1633" customWidth="1"/>
    <col min="11779" max="11779" width="15.88671875" style="1633" customWidth="1"/>
    <col min="11780" max="11780" width="9" style="1633" customWidth="1"/>
    <col min="11781" max="11784" width="0" style="1633" hidden="1" customWidth="1"/>
    <col min="11785" max="11785" width="18" style="1633" customWidth="1"/>
    <col min="11786" max="11786" width="8" style="1633" customWidth="1"/>
    <col min="11787" max="11787" width="8.44140625" style="1633" customWidth="1"/>
    <col min="11788" max="11788" width="12.33203125" style="1633" customWidth="1"/>
    <col min="11789" max="11802" width="0" style="1633" hidden="1" customWidth="1"/>
    <col min="11803" max="11803" width="10.21875" style="1633" customWidth="1"/>
    <col min="11804" max="11805" width="0" style="1633" hidden="1" customWidth="1"/>
    <col min="11806" max="11806" width="25.44140625" style="1633" customWidth="1"/>
    <col min="11807" max="11808" width="0" style="1633" hidden="1" customWidth="1"/>
    <col min="11809" max="11809" width="6.44140625" style="1633" customWidth="1"/>
    <col min="11810" max="11810" width="0" style="1633" hidden="1" customWidth="1"/>
    <col min="11811" max="11811" width="8.21875" style="1633" customWidth="1"/>
    <col min="11812" max="11812" width="0" style="1633" hidden="1" customWidth="1"/>
    <col min="11813" max="11813" width="16.33203125" style="1633" customWidth="1"/>
    <col min="11814" max="11815" width="0" style="1633" hidden="1" customWidth="1"/>
    <col min="11816" max="11816" width="7.109375" style="1633" customWidth="1"/>
    <col min="11817" max="11817" width="29.44140625" style="1633" customWidth="1"/>
    <col min="11818" max="11818" width="19.21875" style="1633" customWidth="1"/>
    <col min="11819" max="11820" width="23" style="1633" customWidth="1"/>
    <col min="11821" max="11821" width="9" style="1633" customWidth="1"/>
    <col min="11822" max="12032" width="8.88671875" style="1633"/>
    <col min="12033" max="12033" width="39.33203125" style="1633" customWidth="1"/>
    <col min="12034" max="12034" width="7.109375" style="1633" customWidth="1"/>
    <col min="12035" max="12035" width="15.88671875" style="1633" customWidth="1"/>
    <col min="12036" max="12036" width="9" style="1633" customWidth="1"/>
    <col min="12037" max="12040" width="0" style="1633" hidden="1" customWidth="1"/>
    <col min="12041" max="12041" width="18" style="1633" customWidth="1"/>
    <col min="12042" max="12042" width="8" style="1633" customWidth="1"/>
    <col min="12043" max="12043" width="8.44140625" style="1633" customWidth="1"/>
    <col min="12044" max="12044" width="12.33203125" style="1633" customWidth="1"/>
    <col min="12045" max="12058" width="0" style="1633" hidden="1" customWidth="1"/>
    <col min="12059" max="12059" width="10.21875" style="1633" customWidth="1"/>
    <col min="12060" max="12061" width="0" style="1633" hidden="1" customWidth="1"/>
    <col min="12062" max="12062" width="25.44140625" style="1633" customWidth="1"/>
    <col min="12063" max="12064" width="0" style="1633" hidden="1" customWidth="1"/>
    <col min="12065" max="12065" width="6.44140625" style="1633" customWidth="1"/>
    <col min="12066" max="12066" width="0" style="1633" hidden="1" customWidth="1"/>
    <col min="12067" max="12067" width="8.21875" style="1633" customWidth="1"/>
    <col min="12068" max="12068" width="0" style="1633" hidden="1" customWidth="1"/>
    <col min="12069" max="12069" width="16.33203125" style="1633" customWidth="1"/>
    <col min="12070" max="12071" width="0" style="1633" hidden="1" customWidth="1"/>
    <col min="12072" max="12072" width="7.109375" style="1633" customWidth="1"/>
    <col min="12073" max="12073" width="29.44140625" style="1633" customWidth="1"/>
    <col min="12074" max="12074" width="19.21875" style="1633" customWidth="1"/>
    <col min="12075" max="12076" width="23" style="1633" customWidth="1"/>
    <col min="12077" max="12077" width="9" style="1633" customWidth="1"/>
    <col min="12078" max="12288" width="8.88671875" style="1633"/>
    <col min="12289" max="12289" width="39.33203125" style="1633" customWidth="1"/>
    <col min="12290" max="12290" width="7.109375" style="1633" customWidth="1"/>
    <col min="12291" max="12291" width="15.88671875" style="1633" customWidth="1"/>
    <col min="12292" max="12292" width="9" style="1633" customWidth="1"/>
    <col min="12293" max="12296" width="0" style="1633" hidden="1" customWidth="1"/>
    <col min="12297" max="12297" width="18" style="1633" customWidth="1"/>
    <col min="12298" max="12298" width="8" style="1633" customWidth="1"/>
    <col min="12299" max="12299" width="8.44140625" style="1633" customWidth="1"/>
    <col min="12300" max="12300" width="12.33203125" style="1633" customWidth="1"/>
    <col min="12301" max="12314" width="0" style="1633" hidden="1" customWidth="1"/>
    <col min="12315" max="12315" width="10.21875" style="1633" customWidth="1"/>
    <col min="12316" max="12317" width="0" style="1633" hidden="1" customWidth="1"/>
    <col min="12318" max="12318" width="25.44140625" style="1633" customWidth="1"/>
    <col min="12319" max="12320" width="0" style="1633" hidden="1" customWidth="1"/>
    <col min="12321" max="12321" width="6.44140625" style="1633" customWidth="1"/>
    <col min="12322" max="12322" width="0" style="1633" hidden="1" customWidth="1"/>
    <col min="12323" max="12323" width="8.21875" style="1633" customWidth="1"/>
    <col min="12324" max="12324" width="0" style="1633" hidden="1" customWidth="1"/>
    <col min="12325" max="12325" width="16.33203125" style="1633" customWidth="1"/>
    <col min="12326" max="12327" width="0" style="1633" hidden="1" customWidth="1"/>
    <col min="12328" max="12328" width="7.109375" style="1633" customWidth="1"/>
    <col min="12329" max="12329" width="29.44140625" style="1633" customWidth="1"/>
    <col min="12330" max="12330" width="19.21875" style="1633" customWidth="1"/>
    <col min="12331" max="12332" width="23" style="1633" customWidth="1"/>
    <col min="12333" max="12333" width="9" style="1633" customWidth="1"/>
    <col min="12334" max="12544" width="8.88671875" style="1633"/>
    <col min="12545" max="12545" width="39.33203125" style="1633" customWidth="1"/>
    <col min="12546" max="12546" width="7.109375" style="1633" customWidth="1"/>
    <col min="12547" max="12547" width="15.88671875" style="1633" customWidth="1"/>
    <col min="12548" max="12548" width="9" style="1633" customWidth="1"/>
    <col min="12549" max="12552" width="0" style="1633" hidden="1" customWidth="1"/>
    <col min="12553" max="12553" width="18" style="1633" customWidth="1"/>
    <col min="12554" max="12554" width="8" style="1633" customWidth="1"/>
    <col min="12555" max="12555" width="8.44140625" style="1633" customWidth="1"/>
    <col min="12556" max="12556" width="12.33203125" style="1633" customWidth="1"/>
    <col min="12557" max="12570" width="0" style="1633" hidden="1" customWidth="1"/>
    <col min="12571" max="12571" width="10.21875" style="1633" customWidth="1"/>
    <col min="12572" max="12573" width="0" style="1633" hidden="1" customWidth="1"/>
    <col min="12574" max="12574" width="25.44140625" style="1633" customWidth="1"/>
    <col min="12575" max="12576" width="0" style="1633" hidden="1" customWidth="1"/>
    <col min="12577" max="12577" width="6.44140625" style="1633" customWidth="1"/>
    <col min="12578" max="12578" width="0" style="1633" hidden="1" customWidth="1"/>
    <col min="12579" max="12579" width="8.21875" style="1633" customWidth="1"/>
    <col min="12580" max="12580" width="0" style="1633" hidden="1" customWidth="1"/>
    <col min="12581" max="12581" width="16.33203125" style="1633" customWidth="1"/>
    <col min="12582" max="12583" width="0" style="1633" hidden="1" customWidth="1"/>
    <col min="12584" max="12584" width="7.109375" style="1633" customWidth="1"/>
    <col min="12585" max="12585" width="29.44140625" style="1633" customWidth="1"/>
    <col min="12586" max="12586" width="19.21875" style="1633" customWidth="1"/>
    <col min="12587" max="12588" width="23" style="1633" customWidth="1"/>
    <col min="12589" max="12589" width="9" style="1633" customWidth="1"/>
    <col min="12590" max="12800" width="8.88671875" style="1633"/>
    <col min="12801" max="12801" width="39.33203125" style="1633" customWidth="1"/>
    <col min="12802" max="12802" width="7.109375" style="1633" customWidth="1"/>
    <col min="12803" max="12803" width="15.88671875" style="1633" customWidth="1"/>
    <col min="12804" max="12804" width="9" style="1633" customWidth="1"/>
    <col min="12805" max="12808" width="0" style="1633" hidden="1" customWidth="1"/>
    <col min="12809" max="12809" width="18" style="1633" customWidth="1"/>
    <col min="12810" max="12810" width="8" style="1633" customWidth="1"/>
    <col min="12811" max="12811" width="8.44140625" style="1633" customWidth="1"/>
    <col min="12812" max="12812" width="12.33203125" style="1633" customWidth="1"/>
    <col min="12813" max="12826" width="0" style="1633" hidden="1" customWidth="1"/>
    <col min="12827" max="12827" width="10.21875" style="1633" customWidth="1"/>
    <col min="12828" max="12829" width="0" style="1633" hidden="1" customWidth="1"/>
    <col min="12830" max="12830" width="25.44140625" style="1633" customWidth="1"/>
    <col min="12831" max="12832" width="0" style="1633" hidden="1" customWidth="1"/>
    <col min="12833" max="12833" width="6.44140625" style="1633" customWidth="1"/>
    <col min="12834" max="12834" width="0" style="1633" hidden="1" customWidth="1"/>
    <col min="12835" max="12835" width="8.21875" style="1633" customWidth="1"/>
    <col min="12836" max="12836" width="0" style="1633" hidden="1" customWidth="1"/>
    <col min="12837" max="12837" width="16.33203125" style="1633" customWidth="1"/>
    <col min="12838" max="12839" width="0" style="1633" hidden="1" customWidth="1"/>
    <col min="12840" max="12840" width="7.109375" style="1633" customWidth="1"/>
    <col min="12841" max="12841" width="29.44140625" style="1633" customWidth="1"/>
    <col min="12842" max="12842" width="19.21875" style="1633" customWidth="1"/>
    <col min="12843" max="12844" width="23" style="1633" customWidth="1"/>
    <col min="12845" max="12845" width="9" style="1633" customWidth="1"/>
    <col min="12846" max="13056" width="8.88671875" style="1633"/>
    <col min="13057" max="13057" width="39.33203125" style="1633" customWidth="1"/>
    <col min="13058" max="13058" width="7.109375" style="1633" customWidth="1"/>
    <col min="13059" max="13059" width="15.88671875" style="1633" customWidth="1"/>
    <col min="13060" max="13060" width="9" style="1633" customWidth="1"/>
    <col min="13061" max="13064" width="0" style="1633" hidden="1" customWidth="1"/>
    <col min="13065" max="13065" width="18" style="1633" customWidth="1"/>
    <col min="13066" max="13066" width="8" style="1633" customWidth="1"/>
    <col min="13067" max="13067" width="8.44140625" style="1633" customWidth="1"/>
    <col min="13068" max="13068" width="12.33203125" style="1633" customWidth="1"/>
    <col min="13069" max="13082" width="0" style="1633" hidden="1" customWidth="1"/>
    <col min="13083" max="13083" width="10.21875" style="1633" customWidth="1"/>
    <col min="13084" max="13085" width="0" style="1633" hidden="1" customWidth="1"/>
    <col min="13086" max="13086" width="25.44140625" style="1633" customWidth="1"/>
    <col min="13087" max="13088" width="0" style="1633" hidden="1" customWidth="1"/>
    <col min="13089" max="13089" width="6.44140625" style="1633" customWidth="1"/>
    <col min="13090" max="13090" width="0" style="1633" hidden="1" customWidth="1"/>
    <col min="13091" max="13091" width="8.21875" style="1633" customWidth="1"/>
    <col min="13092" max="13092" width="0" style="1633" hidden="1" customWidth="1"/>
    <col min="13093" max="13093" width="16.33203125" style="1633" customWidth="1"/>
    <col min="13094" max="13095" width="0" style="1633" hidden="1" customWidth="1"/>
    <col min="13096" max="13096" width="7.109375" style="1633" customWidth="1"/>
    <col min="13097" max="13097" width="29.44140625" style="1633" customWidth="1"/>
    <col min="13098" max="13098" width="19.21875" style="1633" customWidth="1"/>
    <col min="13099" max="13100" width="23" style="1633" customWidth="1"/>
    <col min="13101" max="13101" width="9" style="1633" customWidth="1"/>
    <col min="13102" max="13312" width="8.88671875" style="1633"/>
    <col min="13313" max="13313" width="39.33203125" style="1633" customWidth="1"/>
    <col min="13314" max="13314" width="7.109375" style="1633" customWidth="1"/>
    <col min="13315" max="13315" width="15.88671875" style="1633" customWidth="1"/>
    <col min="13316" max="13316" width="9" style="1633" customWidth="1"/>
    <col min="13317" max="13320" width="0" style="1633" hidden="1" customWidth="1"/>
    <col min="13321" max="13321" width="18" style="1633" customWidth="1"/>
    <col min="13322" max="13322" width="8" style="1633" customWidth="1"/>
    <col min="13323" max="13323" width="8.44140625" style="1633" customWidth="1"/>
    <col min="13324" max="13324" width="12.33203125" style="1633" customWidth="1"/>
    <col min="13325" max="13338" width="0" style="1633" hidden="1" customWidth="1"/>
    <col min="13339" max="13339" width="10.21875" style="1633" customWidth="1"/>
    <col min="13340" max="13341" width="0" style="1633" hidden="1" customWidth="1"/>
    <col min="13342" max="13342" width="25.44140625" style="1633" customWidth="1"/>
    <col min="13343" max="13344" width="0" style="1633" hidden="1" customWidth="1"/>
    <col min="13345" max="13345" width="6.44140625" style="1633" customWidth="1"/>
    <col min="13346" max="13346" width="0" style="1633" hidden="1" customWidth="1"/>
    <col min="13347" max="13347" width="8.21875" style="1633" customWidth="1"/>
    <col min="13348" max="13348" width="0" style="1633" hidden="1" customWidth="1"/>
    <col min="13349" max="13349" width="16.33203125" style="1633" customWidth="1"/>
    <col min="13350" max="13351" width="0" style="1633" hidden="1" customWidth="1"/>
    <col min="13352" max="13352" width="7.109375" style="1633" customWidth="1"/>
    <col min="13353" max="13353" width="29.44140625" style="1633" customWidth="1"/>
    <col min="13354" max="13354" width="19.21875" style="1633" customWidth="1"/>
    <col min="13355" max="13356" width="23" style="1633" customWidth="1"/>
    <col min="13357" max="13357" width="9" style="1633" customWidth="1"/>
    <col min="13358" max="13568" width="8.88671875" style="1633"/>
    <col min="13569" max="13569" width="39.33203125" style="1633" customWidth="1"/>
    <col min="13570" max="13570" width="7.109375" style="1633" customWidth="1"/>
    <col min="13571" max="13571" width="15.88671875" style="1633" customWidth="1"/>
    <col min="13572" max="13572" width="9" style="1633" customWidth="1"/>
    <col min="13573" max="13576" width="0" style="1633" hidden="1" customWidth="1"/>
    <col min="13577" max="13577" width="18" style="1633" customWidth="1"/>
    <col min="13578" max="13578" width="8" style="1633" customWidth="1"/>
    <col min="13579" max="13579" width="8.44140625" style="1633" customWidth="1"/>
    <col min="13580" max="13580" width="12.33203125" style="1633" customWidth="1"/>
    <col min="13581" max="13594" width="0" style="1633" hidden="1" customWidth="1"/>
    <col min="13595" max="13595" width="10.21875" style="1633" customWidth="1"/>
    <col min="13596" max="13597" width="0" style="1633" hidden="1" customWidth="1"/>
    <col min="13598" max="13598" width="25.44140625" style="1633" customWidth="1"/>
    <col min="13599" max="13600" width="0" style="1633" hidden="1" customWidth="1"/>
    <col min="13601" max="13601" width="6.44140625" style="1633" customWidth="1"/>
    <col min="13602" max="13602" width="0" style="1633" hidden="1" customWidth="1"/>
    <col min="13603" max="13603" width="8.21875" style="1633" customWidth="1"/>
    <col min="13604" max="13604" width="0" style="1633" hidden="1" customWidth="1"/>
    <col min="13605" max="13605" width="16.33203125" style="1633" customWidth="1"/>
    <col min="13606" max="13607" width="0" style="1633" hidden="1" customWidth="1"/>
    <col min="13608" max="13608" width="7.109375" style="1633" customWidth="1"/>
    <col min="13609" max="13609" width="29.44140625" style="1633" customWidth="1"/>
    <col min="13610" max="13610" width="19.21875" style="1633" customWidth="1"/>
    <col min="13611" max="13612" width="23" style="1633" customWidth="1"/>
    <col min="13613" max="13613" width="9" style="1633" customWidth="1"/>
    <col min="13614" max="13824" width="8.88671875" style="1633"/>
    <col min="13825" max="13825" width="39.33203125" style="1633" customWidth="1"/>
    <col min="13826" max="13826" width="7.109375" style="1633" customWidth="1"/>
    <col min="13827" max="13827" width="15.88671875" style="1633" customWidth="1"/>
    <col min="13828" max="13828" width="9" style="1633" customWidth="1"/>
    <col min="13829" max="13832" width="0" style="1633" hidden="1" customWidth="1"/>
    <col min="13833" max="13833" width="18" style="1633" customWidth="1"/>
    <col min="13834" max="13834" width="8" style="1633" customWidth="1"/>
    <col min="13835" max="13835" width="8.44140625" style="1633" customWidth="1"/>
    <col min="13836" max="13836" width="12.33203125" style="1633" customWidth="1"/>
    <col min="13837" max="13850" width="0" style="1633" hidden="1" customWidth="1"/>
    <col min="13851" max="13851" width="10.21875" style="1633" customWidth="1"/>
    <col min="13852" max="13853" width="0" style="1633" hidden="1" customWidth="1"/>
    <col min="13854" max="13854" width="25.44140625" style="1633" customWidth="1"/>
    <col min="13855" max="13856" width="0" style="1633" hidden="1" customWidth="1"/>
    <col min="13857" max="13857" width="6.44140625" style="1633" customWidth="1"/>
    <col min="13858" max="13858" width="0" style="1633" hidden="1" customWidth="1"/>
    <col min="13859" max="13859" width="8.21875" style="1633" customWidth="1"/>
    <col min="13860" max="13860" width="0" style="1633" hidden="1" customWidth="1"/>
    <col min="13861" max="13861" width="16.33203125" style="1633" customWidth="1"/>
    <col min="13862" max="13863" width="0" style="1633" hidden="1" customWidth="1"/>
    <col min="13864" max="13864" width="7.109375" style="1633" customWidth="1"/>
    <col min="13865" max="13865" width="29.44140625" style="1633" customWidth="1"/>
    <col min="13866" max="13866" width="19.21875" style="1633" customWidth="1"/>
    <col min="13867" max="13868" width="23" style="1633" customWidth="1"/>
    <col min="13869" max="13869" width="9" style="1633" customWidth="1"/>
    <col min="13870" max="14080" width="8.88671875" style="1633"/>
    <col min="14081" max="14081" width="39.33203125" style="1633" customWidth="1"/>
    <col min="14082" max="14082" width="7.109375" style="1633" customWidth="1"/>
    <col min="14083" max="14083" width="15.88671875" style="1633" customWidth="1"/>
    <col min="14084" max="14084" width="9" style="1633" customWidth="1"/>
    <col min="14085" max="14088" width="0" style="1633" hidden="1" customWidth="1"/>
    <col min="14089" max="14089" width="18" style="1633" customWidth="1"/>
    <col min="14090" max="14090" width="8" style="1633" customWidth="1"/>
    <col min="14091" max="14091" width="8.44140625" style="1633" customWidth="1"/>
    <col min="14092" max="14092" width="12.33203125" style="1633" customWidth="1"/>
    <col min="14093" max="14106" width="0" style="1633" hidden="1" customWidth="1"/>
    <col min="14107" max="14107" width="10.21875" style="1633" customWidth="1"/>
    <col min="14108" max="14109" width="0" style="1633" hidden="1" customWidth="1"/>
    <col min="14110" max="14110" width="25.44140625" style="1633" customWidth="1"/>
    <col min="14111" max="14112" width="0" style="1633" hidden="1" customWidth="1"/>
    <col min="14113" max="14113" width="6.44140625" style="1633" customWidth="1"/>
    <col min="14114" max="14114" width="0" style="1633" hidden="1" customWidth="1"/>
    <col min="14115" max="14115" width="8.21875" style="1633" customWidth="1"/>
    <col min="14116" max="14116" width="0" style="1633" hidden="1" customWidth="1"/>
    <col min="14117" max="14117" width="16.33203125" style="1633" customWidth="1"/>
    <col min="14118" max="14119" width="0" style="1633" hidden="1" customWidth="1"/>
    <col min="14120" max="14120" width="7.109375" style="1633" customWidth="1"/>
    <col min="14121" max="14121" width="29.44140625" style="1633" customWidth="1"/>
    <col min="14122" max="14122" width="19.21875" style="1633" customWidth="1"/>
    <col min="14123" max="14124" width="23" style="1633" customWidth="1"/>
    <col min="14125" max="14125" width="9" style="1633" customWidth="1"/>
    <col min="14126" max="14336" width="8.88671875" style="1633"/>
    <col min="14337" max="14337" width="39.33203125" style="1633" customWidth="1"/>
    <col min="14338" max="14338" width="7.109375" style="1633" customWidth="1"/>
    <col min="14339" max="14339" width="15.88671875" style="1633" customWidth="1"/>
    <col min="14340" max="14340" width="9" style="1633" customWidth="1"/>
    <col min="14341" max="14344" width="0" style="1633" hidden="1" customWidth="1"/>
    <col min="14345" max="14345" width="18" style="1633" customWidth="1"/>
    <col min="14346" max="14346" width="8" style="1633" customWidth="1"/>
    <col min="14347" max="14347" width="8.44140625" style="1633" customWidth="1"/>
    <col min="14348" max="14348" width="12.33203125" style="1633" customWidth="1"/>
    <col min="14349" max="14362" width="0" style="1633" hidden="1" customWidth="1"/>
    <col min="14363" max="14363" width="10.21875" style="1633" customWidth="1"/>
    <col min="14364" max="14365" width="0" style="1633" hidden="1" customWidth="1"/>
    <col min="14366" max="14366" width="25.44140625" style="1633" customWidth="1"/>
    <col min="14367" max="14368" width="0" style="1633" hidden="1" customWidth="1"/>
    <col min="14369" max="14369" width="6.44140625" style="1633" customWidth="1"/>
    <col min="14370" max="14370" width="0" style="1633" hidden="1" customWidth="1"/>
    <col min="14371" max="14371" width="8.21875" style="1633" customWidth="1"/>
    <col min="14372" max="14372" width="0" style="1633" hidden="1" customWidth="1"/>
    <col min="14373" max="14373" width="16.33203125" style="1633" customWidth="1"/>
    <col min="14374" max="14375" width="0" style="1633" hidden="1" customWidth="1"/>
    <col min="14376" max="14376" width="7.109375" style="1633" customWidth="1"/>
    <col min="14377" max="14377" width="29.44140625" style="1633" customWidth="1"/>
    <col min="14378" max="14378" width="19.21875" style="1633" customWidth="1"/>
    <col min="14379" max="14380" width="23" style="1633" customWidth="1"/>
    <col min="14381" max="14381" width="9" style="1633" customWidth="1"/>
    <col min="14382" max="14592" width="8.88671875" style="1633"/>
    <col min="14593" max="14593" width="39.33203125" style="1633" customWidth="1"/>
    <col min="14594" max="14594" width="7.109375" style="1633" customWidth="1"/>
    <col min="14595" max="14595" width="15.88671875" style="1633" customWidth="1"/>
    <col min="14596" max="14596" width="9" style="1633" customWidth="1"/>
    <col min="14597" max="14600" width="0" style="1633" hidden="1" customWidth="1"/>
    <col min="14601" max="14601" width="18" style="1633" customWidth="1"/>
    <col min="14602" max="14602" width="8" style="1633" customWidth="1"/>
    <col min="14603" max="14603" width="8.44140625" style="1633" customWidth="1"/>
    <col min="14604" max="14604" width="12.33203125" style="1633" customWidth="1"/>
    <col min="14605" max="14618" width="0" style="1633" hidden="1" customWidth="1"/>
    <col min="14619" max="14619" width="10.21875" style="1633" customWidth="1"/>
    <col min="14620" max="14621" width="0" style="1633" hidden="1" customWidth="1"/>
    <col min="14622" max="14622" width="25.44140625" style="1633" customWidth="1"/>
    <col min="14623" max="14624" width="0" style="1633" hidden="1" customWidth="1"/>
    <col min="14625" max="14625" width="6.44140625" style="1633" customWidth="1"/>
    <col min="14626" max="14626" width="0" style="1633" hidden="1" customWidth="1"/>
    <col min="14627" max="14627" width="8.21875" style="1633" customWidth="1"/>
    <col min="14628" max="14628" width="0" style="1633" hidden="1" customWidth="1"/>
    <col min="14629" max="14629" width="16.33203125" style="1633" customWidth="1"/>
    <col min="14630" max="14631" width="0" style="1633" hidden="1" customWidth="1"/>
    <col min="14632" max="14632" width="7.109375" style="1633" customWidth="1"/>
    <col min="14633" max="14633" width="29.44140625" style="1633" customWidth="1"/>
    <col min="14634" max="14634" width="19.21875" style="1633" customWidth="1"/>
    <col min="14635" max="14636" width="23" style="1633" customWidth="1"/>
    <col min="14637" max="14637" width="9" style="1633" customWidth="1"/>
    <col min="14638" max="14848" width="8.88671875" style="1633"/>
    <col min="14849" max="14849" width="39.33203125" style="1633" customWidth="1"/>
    <col min="14850" max="14850" width="7.109375" style="1633" customWidth="1"/>
    <col min="14851" max="14851" width="15.88671875" style="1633" customWidth="1"/>
    <col min="14852" max="14852" width="9" style="1633" customWidth="1"/>
    <col min="14853" max="14856" width="0" style="1633" hidden="1" customWidth="1"/>
    <col min="14857" max="14857" width="18" style="1633" customWidth="1"/>
    <col min="14858" max="14858" width="8" style="1633" customWidth="1"/>
    <col min="14859" max="14859" width="8.44140625" style="1633" customWidth="1"/>
    <col min="14860" max="14860" width="12.33203125" style="1633" customWidth="1"/>
    <col min="14861" max="14874" width="0" style="1633" hidden="1" customWidth="1"/>
    <col min="14875" max="14875" width="10.21875" style="1633" customWidth="1"/>
    <col min="14876" max="14877" width="0" style="1633" hidden="1" customWidth="1"/>
    <col min="14878" max="14878" width="25.44140625" style="1633" customWidth="1"/>
    <col min="14879" max="14880" width="0" style="1633" hidden="1" customWidth="1"/>
    <col min="14881" max="14881" width="6.44140625" style="1633" customWidth="1"/>
    <col min="14882" max="14882" width="0" style="1633" hidden="1" customWidth="1"/>
    <col min="14883" max="14883" width="8.21875" style="1633" customWidth="1"/>
    <col min="14884" max="14884" width="0" style="1633" hidden="1" customWidth="1"/>
    <col min="14885" max="14885" width="16.33203125" style="1633" customWidth="1"/>
    <col min="14886" max="14887" width="0" style="1633" hidden="1" customWidth="1"/>
    <col min="14888" max="14888" width="7.109375" style="1633" customWidth="1"/>
    <col min="14889" max="14889" width="29.44140625" style="1633" customWidth="1"/>
    <col min="14890" max="14890" width="19.21875" style="1633" customWidth="1"/>
    <col min="14891" max="14892" width="23" style="1633" customWidth="1"/>
    <col min="14893" max="14893" width="9" style="1633" customWidth="1"/>
    <col min="14894" max="15104" width="8.88671875" style="1633"/>
    <col min="15105" max="15105" width="39.33203125" style="1633" customWidth="1"/>
    <col min="15106" max="15106" width="7.109375" style="1633" customWidth="1"/>
    <col min="15107" max="15107" width="15.88671875" style="1633" customWidth="1"/>
    <col min="15108" max="15108" width="9" style="1633" customWidth="1"/>
    <col min="15109" max="15112" width="0" style="1633" hidden="1" customWidth="1"/>
    <col min="15113" max="15113" width="18" style="1633" customWidth="1"/>
    <col min="15114" max="15114" width="8" style="1633" customWidth="1"/>
    <col min="15115" max="15115" width="8.44140625" style="1633" customWidth="1"/>
    <col min="15116" max="15116" width="12.33203125" style="1633" customWidth="1"/>
    <col min="15117" max="15130" width="0" style="1633" hidden="1" customWidth="1"/>
    <col min="15131" max="15131" width="10.21875" style="1633" customWidth="1"/>
    <col min="15132" max="15133" width="0" style="1633" hidden="1" customWidth="1"/>
    <col min="15134" max="15134" width="25.44140625" style="1633" customWidth="1"/>
    <col min="15135" max="15136" width="0" style="1633" hidden="1" customWidth="1"/>
    <col min="15137" max="15137" width="6.44140625" style="1633" customWidth="1"/>
    <col min="15138" max="15138" width="0" style="1633" hidden="1" customWidth="1"/>
    <col min="15139" max="15139" width="8.21875" style="1633" customWidth="1"/>
    <col min="15140" max="15140" width="0" style="1633" hidden="1" customWidth="1"/>
    <col min="15141" max="15141" width="16.33203125" style="1633" customWidth="1"/>
    <col min="15142" max="15143" width="0" style="1633" hidden="1" customWidth="1"/>
    <col min="15144" max="15144" width="7.109375" style="1633" customWidth="1"/>
    <col min="15145" max="15145" width="29.44140625" style="1633" customWidth="1"/>
    <col min="15146" max="15146" width="19.21875" style="1633" customWidth="1"/>
    <col min="15147" max="15148" width="23" style="1633" customWidth="1"/>
    <col min="15149" max="15149" width="9" style="1633" customWidth="1"/>
    <col min="15150" max="15360" width="8.88671875" style="1633"/>
    <col min="15361" max="15361" width="39.33203125" style="1633" customWidth="1"/>
    <col min="15362" max="15362" width="7.109375" style="1633" customWidth="1"/>
    <col min="15363" max="15363" width="15.88671875" style="1633" customWidth="1"/>
    <col min="15364" max="15364" width="9" style="1633" customWidth="1"/>
    <col min="15365" max="15368" width="0" style="1633" hidden="1" customWidth="1"/>
    <col min="15369" max="15369" width="18" style="1633" customWidth="1"/>
    <col min="15370" max="15370" width="8" style="1633" customWidth="1"/>
    <col min="15371" max="15371" width="8.44140625" style="1633" customWidth="1"/>
    <col min="15372" max="15372" width="12.33203125" style="1633" customWidth="1"/>
    <col min="15373" max="15386" width="0" style="1633" hidden="1" customWidth="1"/>
    <col min="15387" max="15387" width="10.21875" style="1633" customWidth="1"/>
    <col min="15388" max="15389" width="0" style="1633" hidden="1" customWidth="1"/>
    <col min="15390" max="15390" width="25.44140625" style="1633" customWidth="1"/>
    <col min="15391" max="15392" width="0" style="1633" hidden="1" customWidth="1"/>
    <col min="15393" max="15393" width="6.44140625" style="1633" customWidth="1"/>
    <col min="15394" max="15394" width="0" style="1633" hidden="1" customWidth="1"/>
    <col min="15395" max="15395" width="8.21875" style="1633" customWidth="1"/>
    <col min="15396" max="15396" width="0" style="1633" hidden="1" customWidth="1"/>
    <col min="15397" max="15397" width="16.33203125" style="1633" customWidth="1"/>
    <col min="15398" max="15399" width="0" style="1633" hidden="1" customWidth="1"/>
    <col min="15400" max="15400" width="7.109375" style="1633" customWidth="1"/>
    <col min="15401" max="15401" width="29.44140625" style="1633" customWidth="1"/>
    <col min="15402" max="15402" width="19.21875" style="1633" customWidth="1"/>
    <col min="15403" max="15404" width="23" style="1633" customWidth="1"/>
    <col min="15405" max="15405" width="9" style="1633" customWidth="1"/>
    <col min="15406" max="15616" width="8.88671875" style="1633"/>
    <col min="15617" max="15617" width="39.33203125" style="1633" customWidth="1"/>
    <col min="15618" max="15618" width="7.109375" style="1633" customWidth="1"/>
    <col min="15619" max="15619" width="15.88671875" style="1633" customWidth="1"/>
    <col min="15620" max="15620" width="9" style="1633" customWidth="1"/>
    <col min="15621" max="15624" width="0" style="1633" hidden="1" customWidth="1"/>
    <col min="15625" max="15625" width="18" style="1633" customWidth="1"/>
    <col min="15626" max="15626" width="8" style="1633" customWidth="1"/>
    <col min="15627" max="15627" width="8.44140625" style="1633" customWidth="1"/>
    <col min="15628" max="15628" width="12.33203125" style="1633" customWidth="1"/>
    <col min="15629" max="15642" width="0" style="1633" hidden="1" customWidth="1"/>
    <col min="15643" max="15643" width="10.21875" style="1633" customWidth="1"/>
    <col min="15644" max="15645" width="0" style="1633" hidden="1" customWidth="1"/>
    <col min="15646" max="15646" width="25.44140625" style="1633" customWidth="1"/>
    <col min="15647" max="15648" width="0" style="1633" hidden="1" customWidth="1"/>
    <col min="15649" max="15649" width="6.44140625" style="1633" customWidth="1"/>
    <col min="15650" max="15650" width="0" style="1633" hidden="1" customWidth="1"/>
    <col min="15651" max="15651" width="8.21875" style="1633" customWidth="1"/>
    <col min="15652" max="15652" width="0" style="1633" hidden="1" customWidth="1"/>
    <col min="15653" max="15653" width="16.33203125" style="1633" customWidth="1"/>
    <col min="15654" max="15655" width="0" style="1633" hidden="1" customWidth="1"/>
    <col min="15656" max="15656" width="7.109375" style="1633" customWidth="1"/>
    <col min="15657" max="15657" width="29.44140625" style="1633" customWidth="1"/>
    <col min="15658" max="15658" width="19.21875" style="1633" customWidth="1"/>
    <col min="15659" max="15660" width="23" style="1633" customWidth="1"/>
    <col min="15661" max="15661" width="9" style="1633" customWidth="1"/>
    <col min="15662" max="15872" width="8.88671875" style="1633"/>
    <col min="15873" max="15873" width="39.33203125" style="1633" customWidth="1"/>
    <col min="15874" max="15874" width="7.109375" style="1633" customWidth="1"/>
    <col min="15875" max="15875" width="15.88671875" style="1633" customWidth="1"/>
    <col min="15876" max="15876" width="9" style="1633" customWidth="1"/>
    <col min="15877" max="15880" width="0" style="1633" hidden="1" customWidth="1"/>
    <col min="15881" max="15881" width="18" style="1633" customWidth="1"/>
    <col min="15882" max="15882" width="8" style="1633" customWidth="1"/>
    <col min="15883" max="15883" width="8.44140625" style="1633" customWidth="1"/>
    <col min="15884" max="15884" width="12.33203125" style="1633" customWidth="1"/>
    <col min="15885" max="15898" width="0" style="1633" hidden="1" customWidth="1"/>
    <col min="15899" max="15899" width="10.21875" style="1633" customWidth="1"/>
    <col min="15900" max="15901" width="0" style="1633" hidden="1" customWidth="1"/>
    <col min="15902" max="15902" width="25.44140625" style="1633" customWidth="1"/>
    <col min="15903" max="15904" width="0" style="1633" hidden="1" customWidth="1"/>
    <col min="15905" max="15905" width="6.44140625" style="1633" customWidth="1"/>
    <col min="15906" max="15906" width="0" style="1633" hidden="1" customWidth="1"/>
    <col min="15907" max="15907" width="8.21875" style="1633" customWidth="1"/>
    <col min="15908" max="15908" width="0" style="1633" hidden="1" customWidth="1"/>
    <col min="15909" max="15909" width="16.33203125" style="1633" customWidth="1"/>
    <col min="15910" max="15911" width="0" style="1633" hidden="1" customWidth="1"/>
    <col min="15912" max="15912" width="7.109375" style="1633" customWidth="1"/>
    <col min="15913" max="15913" width="29.44140625" style="1633" customWidth="1"/>
    <col min="15914" max="15914" width="19.21875" style="1633" customWidth="1"/>
    <col min="15915" max="15916" width="23" style="1633" customWidth="1"/>
    <col min="15917" max="15917" width="9" style="1633" customWidth="1"/>
    <col min="15918" max="16128" width="8.88671875" style="1633"/>
    <col min="16129" max="16129" width="39.33203125" style="1633" customWidth="1"/>
    <col min="16130" max="16130" width="7.109375" style="1633" customWidth="1"/>
    <col min="16131" max="16131" width="15.88671875" style="1633" customWidth="1"/>
    <col min="16132" max="16132" width="9" style="1633" customWidth="1"/>
    <col min="16133" max="16136" width="0" style="1633" hidden="1" customWidth="1"/>
    <col min="16137" max="16137" width="18" style="1633" customWidth="1"/>
    <col min="16138" max="16138" width="8" style="1633" customWidth="1"/>
    <col min="16139" max="16139" width="8.44140625" style="1633" customWidth="1"/>
    <col min="16140" max="16140" width="12.33203125" style="1633" customWidth="1"/>
    <col min="16141" max="16154" width="0" style="1633" hidden="1" customWidth="1"/>
    <col min="16155" max="16155" width="10.21875" style="1633" customWidth="1"/>
    <col min="16156" max="16157" width="0" style="1633" hidden="1" customWidth="1"/>
    <col min="16158" max="16158" width="25.44140625" style="1633" customWidth="1"/>
    <col min="16159" max="16160" width="0" style="1633" hidden="1" customWidth="1"/>
    <col min="16161" max="16161" width="6.44140625" style="1633" customWidth="1"/>
    <col min="16162" max="16162" width="0" style="1633" hidden="1" customWidth="1"/>
    <col min="16163" max="16163" width="8.21875" style="1633" customWidth="1"/>
    <col min="16164" max="16164" width="0" style="1633" hidden="1" customWidth="1"/>
    <col min="16165" max="16165" width="16.33203125" style="1633" customWidth="1"/>
    <col min="16166" max="16167" width="0" style="1633" hidden="1" customWidth="1"/>
    <col min="16168" max="16168" width="7.109375" style="1633" customWidth="1"/>
    <col min="16169" max="16169" width="29.44140625" style="1633" customWidth="1"/>
    <col min="16170" max="16170" width="19.21875" style="1633" customWidth="1"/>
    <col min="16171" max="16172" width="23" style="1633" customWidth="1"/>
    <col min="16173" max="16173" width="9" style="1633" customWidth="1"/>
    <col min="16174" max="16384" width="8.88671875" style="1633"/>
  </cols>
  <sheetData>
    <row r="1" spans="1:45">
      <c r="A1" s="1633" t="s">
        <v>3046</v>
      </c>
      <c r="B1" s="1633" t="s">
        <v>3047</v>
      </c>
      <c r="C1" s="1633" t="s">
        <v>3048</v>
      </c>
      <c r="D1" s="1633" t="s">
        <v>3049</v>
      </c>
      <c r="E1" s="1633" t="s">
        <v>3050</v>
      </c>
      <c r="F1" s="1633" t="s">
        <v>3051</v>
      </c>
      <c r="G1" s="1633" t="s">
        <v>3052</v>
      </c>
      <c r="H1" s="1633" t="s">
        <v>3053</v>
      </c>
      <c r="I1" s="1633" t="s">
        <v>3054</v>
      </c>
      <c r="J1" s="1633" t="s">
        <v>3055</v>
      </c>
      <c r="K1" s="1633" t="s">
        <v>3056</v>
      </c>
      <c r="L1" s="1633" t="s">
        <v>3057</v>
      </c>
      <c r="M1" s="1633" t="s">
        <v>3058</v>
      </c>
      <c r="N1" s="1633" t="s">
        <v>3059</v>
      </c>
      <c r="O1" s="1633" t="s">
        <v>3060</v>
      </c>
      <c r="P1" s="1633" t="s">
        <v>3061</v>
      </c>
      <c r="Q1" s="1633" t="s">
        <v>3062</v>
      </c>
      <c r="R1" s="1633" t="s">
        <v>3063</v>
      </c>
      <c r="S1" s="1633" t="s">
        <v>3064</v>
      </c>
      <c r="T1" s="1633" t="s">
        <v>3065</v>
      </c>
      <c r="U1" s="1633" t="s">
        <v>3066</v>
      </c>
      <c r="V1" s="1633" t="s">
        <v>3067</v>
      </c>
      <c r="W1" s="1633" t="s">
        <v>3068</v>
      </c>
      <c r="X1" s="1633" t="s">
        <v>3069</v>
      </c>
      <c r="Y1" s="1633" t="s">
        <v>3070</v>
      </c>
      <c r="Z1" s="1633" t="s">
        <v>3071</v>
      </c>
      <c r="AA1" s="1633" t="s">
        <v>3072</v>
      </c>
      <c r="AB1" s="1633" t="s">
        <v>3073</v>
      </c>
      <c r="AC1" s="1633" t="s">
        <v>3074</v>
      </c>
      <c r="AD1" s="1633" t="s">
        <v>3075</v>
      </c>
      <c r="AE1" s="1633" t="s">
        <v>3076</v>
      </c>
      <c r="AF1" s="1633" t="s">
        <v>3077</v>
      </c>
      <c r="AG1" s="1633" t="s">
        <v>3078</v>
      </c>
      <c r="AH1" s="1633" t="s">
        <v>3079</v>
      </c>
      <c r="AI1" s="1633" t="s">
        <v>3080</v>
      </c>
      <c r="AJ1" s="1633" t="s">
        <v>3081</v>
      </c>
      <c r="AK1" s="1633" t="s">
        <v>3082</v>
      </c>
      <c r="AL1" s="1633" t="s">
        <v>3083</v>
      </c>
      <c r="AM1" s="1633" t="s">
        <v>3084</v>
      </c>
      <c r="AN1" s="1633" t="s">
        <v>3085</v>
      </c>
      <c r="AO1" s="1633" t="s">
        <v>3086</v>
      </c>
      <c r="AP1" s="1633" t="s">
        <v>3087</v>
      </c>
      <c r="AQ1" s="1633" t="s">
        <v>3088</v>
      </c>
      <c r="AR1" s="1633" t="s">
        <v>3089</v>
      </c>
      <c r="AS1" s="1633" t="s">
        <v>3090</v>
      </c>
    </row>
    <row r="2" spans="1:45" s="2954" customFormat="1">
      <c r="A2" s="2954" t="s">
        <v>3091</v>
      </c>
      <c r="B2" s="2954" t="s">
        <v>3092</v>
      </c>
      <c r="C2" s="2954" t="s">
        <v>3093</v>
      </c>
      <c r="D2" s="2954" t="s">
        <v>3094</v>
      </c>
      <c r="E2" s="2955" t="s">
        <v>1327</v>
      </c>
      <c r="F2" s="2955" t="s">
        <v>3091</v>
      </c>
      <c r="G2" s="2955" t="s">
        <v>3095</v>
      </c>
      <c r="H2" s="2955" t="s">
        <v>3096</v>
      </c>
      <c r="I2" s="2954" t="s">
        <v>3097</v>
      </c>
      <c r="J2" s="2954">
        <v>27712.5</v>
      </c>
      <c r="K2" s="2954">
        <v>84527</v>
      </c>
      <c r="L2" s="2954" t="s">
        <v>3098</v>
      </c>
      <c r="M2" s="2955" t="s">
        <v>1327</v>
      </c>
      <c r="N2" s="2955" t="s">
        <v>3099</v>
      </c>
      <c r="O2" s="2955" t="s">
        <v>1327</v>
      </c>
      <c r="P2" s="2955" t="s">
        <v>1327</v>
      </c>
      <c r="Q2" s="2955" t="s">
        <v>1327</v>
      </c>
      <c r="R2" s="2955" t="s">
        <v>1327</v>
      </c>
      <c r="S2" s="2955" t="s">
        <v>1327</v>
      </c>
      <c r="T2" s="2955" t="s">
        <v>3100</v>
      </c>
      <c r="U2" s="2955" t="s">
        <v>3101</v>
      </c>
      <c r="V2" s="2955" t="s">
        <v>1327</v>
      </c>
      <c r="W2" s="2955" t="s">
        <v>3102</v>
      </c>
      <c r="X2" s="2955" t="s">
        <v>3103</v>
      </c>
      <c r="Y2" s="2955" t="s">
        <v>3104</v>
      </c>
      <c r="Z2" s="2955" t="s">
        <v>3105</v>
      </c>
      <c r="AA2" s="2954" t="s">
        <v>3105</v>
      </c>
      <c r="AB2" s="2955" t="s">
        <v>3096</v>
      </c>
      <c r="AC2" s="2955" t="s">
        <v>3106</v>
      </c>
      <c r="AD2" s="2954" t="s">
        <v>3107</v>
      </c>
      <c r="AE2" s="2955">
        <v>13140</v>
      </c>
      <c r="AF2" s="2955">
        <v>43800</v>
      </c>
      <c r="AG2" s="2954">
        <v>43800</v>
      </c>
      <c r="AH2" s="2955">
        <v>1053.68</v>
      </c>
      <c r="AI2" s="2954">
        <v>1053.68</v>
      </c>
      <c r="AJ2" s="2955">
        <v>5181.7700000000004</v>
      </c>
      <c r="AK2" s="2956">
        <v>5181.7700000000004</v>
      </c>
      <c r="AL2" s="2955" t="s">
        <v>1327</v>
      </c>
      <c r="AM2" s="2955" t="s">
        <v>1327</v>
      </c>
      <c r="AN2" s="2954">
        <v>0</v>
      </c>
      <c r="AO2" s="2954" t="s">
        <v>3108</v>
      </c>
      <c r="AP2" s="2954" t="s">
        <v>1327</v>
      </c>
      <c r="AQ2" s="2954" t="s">
        <v>1327</v>
      </c>
      <c r="AR2" s="2954" t="s">
        <v>1327</v>
      </c>
      <c r="AS2" s="2954" t="s">
        <v>3109</v>
      </c>
    </row>
    <row r="3" spans="1:45" hidden="1">
      <c r="A3" s="1633" t="s">
        <v>3110</v>
      </c>
      <c r="B3" s="1633" t="s">
        <v>3092</v>
      </c>
      <c r="C3" s="1633" t="s">
        <v>3111</v>
      </c>
      <c r="D3" s="1633" t="s">
        <v>3094</v>
      </c>
      <c r="E3" s="1633" t="s">
        <v>1327</v>
      </c>
      <c r="F3" s="1633" t="s">
        <v>3110</v>
      </c>
      <c r="G3" s="1633" t="s">
        <v>3095</v>
      </c>
      <c r="H3" s="1633" t="s">
        <v>3112</v>
      </c>
      <c r="I3" s="1633" t="s">
        <v>3113</v>
      </c>
      <c r="J3" s="1633">
        <v>63436</v>
      </c>
      <c r="K3" s="1633">
        <v>126872</v>
      </c>
      <c r="L3" s="1633" t="s">
        <v>3114</v>
      </c>
      <c r="M3" s="1633" t="s">
        <v>1327</v>
      </c>
      <c r="N3" s="1633" t="s">
        <v>3115</v>
      </c>
      <c r="O3" s="1633" t="s">
        <v>1327</v>
      </c>
      <c r="P3" s="1633" t="s">
        <v>1327</v>
      </c>
      <c r="Q3" s="1633" t="s">
        <v>1327</v>
      </c>
      <c r="R3" s="1633" t="s">
        <v>1327</v>
      </c>
      <c r="S3" s="1633" t="s">
        <v>1327</v>
      </c>
      <c r="T3" s="1633" t="s">
        <v>3100</v>
      </c>
      <c r="U3" s="1633" t="s">
        <v>3101</v>
      </c>
      <c r="V3" s="1633" t="s">
        <v>1327</v>
      </c>
      <c r="W3" s="1633" t="s">
        <v>3102</v>
      </c>
      <c r="X3" s="1633" t="s">
        <v>3116</v>
      </c>
      <c r="Y3" s="1633" t="s">
        <v>3117</v>
      </c>
      <c r="Z3" s="1633" t="s">
        <v>3118</v>
      </c>
      <c r="AA3" s="1633" t="s">
        <v>3118</v>
      </c>
      <c r="AB3" s="1633" t="s">
        <v>3112</v>
      </c>
      <c r="AC3" s="1633" t="s">
        <v>3106</v>
      </c>
      <c r="AD3" s="1633" t="s">
        <v>3119</v>
      </c>
      <c r="AE3" s="1633">
        <v>32050</v>
      </c>
      <c r="AF3" s="1633">
        <v>64090</v>
      </c>
      <c r="AG3" s="1633">
        <v>64090</v>
      </c>
      <c r="AH3" s="1633">
        <v>673.54</v>
      </c>
      <c r="AI3" s="1633">
        <v>673.54</v>
      </c>
      <c r="AJ3" s="1633">
        <v>5051.54</v>
      </c>
      <c r="AK3" s="1633">
        <v>5051.55</v>
      </c>
      <c r="AL3" s="1633" t="s">
        <v>1327</v>
      </c>
      <c r="AM3" s="1633" t="s">
        <v>1327</v>
      </c>
      <c r="AN3" s="1633">
        <v>0</v>
      </c>
      <c r="AO3" s="1633" t="s">
        <v>3120</v>
      </c>
      <c r="AP3" s="1633" t="s">
        <v>1327</v>
      </c>
      <c r="AQ3" s="1633" t="s">
        <v>1327</v>
      </c>
      <c r="AR3" s="1633" t="s">
        <v>1327</v>
      </c>
      <c r="AS3" s="1633" t="s">
        <v>3121</v>
      </c>
    </row>
    <row r="4" spans="1:45" hidden="1">
      <c r="A4" s="1633" t="s">
        <v>3110</v>
      </c>
      <c r="B4" s="1633" t="s">
        <v>3092</v>
      </c>
      <c r="C4" s="1633" t="s">
        <v>3111</v>
      </c>
      <c r="D4" s="1633" t="s">
        <v>3094</v>
      </c>
      <c r="E4" s="1633" t="s">
        <v>1327</v>
      </c>
      <c r="F4" s="1633" t="s">
        <v>3110</v>
      </c>
      <c r="G4" s="1633" t="s">
        <v>3095</v>
      </c>
      <c r="H4" s="1633" t="s">
        <v>3122</v>
      </c>
      <c r="I4" s="1633" t="s">
        <v>3113</v>
      </c>
      <c r="J4" s="1633">
        <v>63983.6</v>
      </c>
      <c r="K4" s="1633">
        <v>134365.56</v>
      </c>
      <c r="L4" s="1633" t="s">
        <v>3123</v>
      </c>
      <c r="M4" s="1633" t="s">
        <v>1327</v>
      </c>
      <c r="N4" s="1633" t="s">
        <v>3115</v>
      </c>
      <c r="O4" s="1633" t="s">
        <v>1327</v>
      </c>
      <c r="P4" s="1633" t="s">
        <v>1327</v>
      </c>
      <c r="Q4" s="1633" t="s">
        <v>1327</v>
      </c>
      <c r="R4" s="1633" t="s">
        <v>1327</v>
      </c>
      <c r="S4" s="1633" t="s">
        <v>1327</v>
      </c>
      <c r="T4" s="1633" t="s">
        <v>3100</v>
      </c>
      <c r="U4" s="1633" t="s">
        <v>3101</v>
      </c>
      <c r="V4" s="1633" t="s">
        <v>1327</v>
      </c>
      <c r="W4" s="1633" t="s">
        <v>3102</v>
      </c>
      <c r="X4" s="1633" t="s">
        <v>3124</v>
      </c>
      <c r="Y4" s="1633" t="s">
        <v>3125</v>
      </c>
      <c r="Z4" s="1633" t="s">
        <v>3118</v>
      </c>
      <c r="AA4" s="1633" t="s">
        <v>3118</v>
      </c>
      <c r="AB4" s="1633" t="s">
        <v>3122</v>
      </c>
      <c r="AC4" s="1633" t="s">
        <v>3106</v>
      </c>
      <c r="AD4" s="1633" t="s">
        <v>3126</v>
      </c>
      <c r="AE4" s="1633">
        <v>67250</v>
      </c>
      <c r="AF4" s="1633">
        <v>67250</v>
      </c>
      <c r="AG4" s="1633">
        <v>67250</v>
      </c>
      <c r="AH4" s="1633">
        <v>700.7</v>
      </c>
      <c r="AI4" s="1633">
        <v>700.7</v>
      </c>
      <c r="AJ4" s="1633">
        <v>5005</v>
      </c>
      <c r="AK4" s="1633">
        <v>5005</v>
      </c>
      <c r="AL4" s="1633" t="s">
        <v>1327</v>
      </c>
      <c r="AM4" s="1633" t="s">
        <v>1327</v>
      </c>
      <c r="AN4" s="1633">
        <v>0</v>
      </c>
      <c r="AO4" s="1633" t="s">
        <v>3120</v>
      </c>
      <c r="AP4" s="1633" t="s">
        <v>1327</v>
      </c>
      <c r="AQ4" s="1633" t="s">
        <v>1327</v>
      </c>
      <c r="AR4" s="1633" t="s">
        <v>1327</v>
      </c>
      <c r="AS4" s="1633" t="s">
        <v>3121</v>
      </c>
    </row>
    <row r="5" spans="1:45" hidden="1">
      <c r="A5" s="1633" t="s">
        <v>3110</v>
      </c>
      <c r="B5" s="1633" t="s">
        <v>3092</v>
      </c>
      <c r="C5" s="1633" t="s">
        <v>3111</v>
      </c>
      <c r="D5" s="1633" t="s">
        <v>3094</v>
      </c>
      <c r="E5" s="1633" t="s">
        <v>1327</v>
      </c>
      <c r="F5" s="1633" t="s">
        <v>3110</v>
      </c>
      <c r="G5" s="1633" t="s">
        <v>3095</v>
      </c>
      <c r="H5" s="1633" t="s">
        <v>3127</v>
      </c>
      <c r="I5" s="1633" t="s">
        <v>3113</v>
      </c>
      <c r="J5" s="1633">
        <v>15634.6</v>
      </c>
      <c r="K5" s="1633">
        <v>31269.200000000001</v>
      </c>
      <c r="L5" s="1633" t="s">
        <v>3114</v>
      </c>
      <c r="M5" s="1633" t="s">
        <v>1327</v>
      </c>
      <c r="N5" s="1633" t="s">
        <v>3115</v>
      </c>
      <c r="O5" s="1633" t="s">
        <v>1327</v>
      </c>
      <c r="P5" s="1633" t="s">
        <v>1327</v>
      </c>
      <c r="Q5" s="1633" t="s">
        <v>1327</v>
      </c>
      <c r="R5" s="1633" t="s">
        <v>1327</v>
      </c>
      <c r="S5" s="1633" t="s">
        <v>1327</v>
      </c>
      <c r="T5" s="1633" t="s">
        <v>3100</v>
      </c>
      <c r="U5" s="1633" t="s">
        <v>3101</v>
      </c>
      <c r="V5" s="1633" t="s">
        <v>1327</v>
      </c>
      <c r="W5" s="1633" t="s">
        <v>3102</v>
      </c>
      <c r="X5" s="1633" t="s">
        <v>3116</v>
      </c>
      <c r="Y5" s="1633" t="s">
        <v>3117</v>
      </c>
      <c r="Z5" s="1633" t="s">
        <v>3118</v>
      </c>
      <c r="AA5" s="1633" t="s">
        <v>3118</v>
      </c>
      <c r="AB5" s="1633" t="s">
        <v>3127</v>
      </c>
      <c r="AC5" s="1633" t="s">
        <v>3106</v>
      </c>
      <c r="AD5" s="1633" t="s">
        <v>3119</v>
      </c>
      <c r="AE5" s="1633">
        <v>7930</v>
      </c>
      <c r="AF5" s="1633">
        <v>15960</v>
      </c>
      <c r="AG5" s="1633">
        <v>15960</v>
      </c>
      <c r="AH5" s="1633">
        <v>680.54</v>
      </c>
      <c r="AI5" s="1633">
        <v>680.54</v>
      </c>
      <c r="AJ5" s="1633">
        <v>5104.0600000000004</v>
      </c>
      <c r="AK5" s="1633">
        <v>5104.0600000000004</v>
      </c>
      <c r="AL5" s="1633" t="s">
        <v>1327</v>
      </c>
      <c r="AM5" s="1633" t="s">
        <v>1327</v>
      </c>
      <c r="AN5" s="1633">
        <v>0</v>
      </c>
      <c r="AO5" s="1633" t="s">
        <v>1327</v>
      </c>
      <c r="AP5" s="1633" t="s">
        <v>1327</v>
      </c>
      <c r="AQ5" s="1633" t="s">
        <v>1327</v>
      </c>
      <c r="AR5" s="1633" t="s">
        <v>1327</v>
      </c>
      <c r="AS5" s="1633" t="s">
        <v>3121</v>
      </c>
    </row>
    <row r="6" spans="1:45" hidden="1">
      <c r="A6" s="1633" t="s">
        <v>3110</v>
      </c>
      <c r="B6" s="1633" t="s">
        <v>3092</v>
      </c>
      <c r="C6" s="1633" t="s">
        <v>3111</v>
      </c>
      <c r="D6" s="1633" t="s">
        <v>3094</v>
      </c>
      <c r="E6" s="1633" t="s">
        <v>1327</v>
      </c>
      <c r="F6" s="1633" t="s">
        <v>3110</v>
      </c>
      <c r="G6" s="1633" t="s">
        <v>3095</v>
      </c>
      <c r="H6" s="1633" t="s">
        <v>3128</v>
      </c>
      <c r="I6" s="1633" t="s">
        <v>3113</v>
      </c>
      <c r="J6" s="1633">
        <v>79663.5</v>
      </c>
      <c r="K6" s="1633">
        <v>167293.35</v>
      </c>
      <c r="L6" s="1633" t="s">
        <v>3123</v>
      </c>
      <c r="M6" s="1633" t="s">
        <v>1327</v>
      </c>
      <c r="N6" s="1633" t="s">
        <v>3115</v>
      </c>
      <c r="O6" s="1633" t="s">
        <v>1327</v>
      </c>
      <c r="P6" s="1633" t="s">
        <v>1327</v>
      </c>
      <c r="Q6" s="1633" t="s">
        <v>1327</v>
      </c>
      <c r="R6" s="1633" t="s">
        <v>1327</v>
      </c>
      <c r="S6" s="1633" t="s">
        <v>1327</v>
      </c>
      <c r="T6" s="1633" t="s">
        <v>3100</v>
      </c>
      <c r="U6" s="1633" t="s">
        <v>3101</v>
      </c>
      <c r="V6" s="1633" t="s">
        <v>1327</v>
      </c>
      <c r="W6" s="1633" t="s">
        <v>3102</v>
      </c>
      <c r="X6" s="1633" t="s">
        <v>3116</v>
      </c>
      <c r="Y6" s="1633" t="s">
        <v>3117</v>
      </c>
      <c r="Z6" s="1633" t="s">
        <v>3118</v>
      </c>
      <c r="AA6" s="1633" t="s">
        <v>3118</v>
      </c>
      <c r="AB6" s="1633" t="s">
        <v>3128</v>
      </c>
      <c r="AC6" s="1633" t="s">
        <v>3106</v>
      </c>
      <c r="AD6" s="1633" t="s">
        <v>3129</v>
      </c>
      <c r="AE6" s="1633">
        <v>42120</v>
      </c>
      <c r="AF6" s="1633">
        <v>84240</v>
      </c>
      <c r="AG6" s="1633">
        <v>84240</v>
      </c>
      <c r="AH6" s="1633">
        <v>704.97</v>
      </c>
      <c r="AI6" s="1633">
        <v>704.97</v>
      </c>
      <c r="AJ6" s="1633">
        <v>5035.46</v>
      </c>
      <c r="AK6" s="1633">
        <v>5035.47</v>
      </c>
      <c r="AL6" s="1633" t="s">
        <v>1327</v>
      </c>
      <c r="AM6" s="1633" t="s">
        <v>1327</v>
      </c>
      <c r="AN6" s="1633">
        <v>0</v>
      </c>
      <c r="AO6" s="1633" t="s">
        <v>3120</v>
      </c>
      <c r="AP6" s="1633" t="s">
        <v>1327</v>
      </c>
      <c r="AQ6" s="1633" t="s">
        <v>1327</v>
      </c>
      <c r="AR6" s="1633" t="s">
        <v>1327</v>
      </c>
      <c r="AS6" s="1633" t="s">
        <v>3121</v>
      </c>
    </row>
    <row r="7" spans="1:45" hidden="1">
      <c r="A7" s="1633" t="s">
        <v>3110</v>
      </c>
      <c r="B7" s="1633" t="s">
        <v>3092</v>
      </c>
      <c r="C7" s="1633" t="s">
        <v>3111</v>
      </c>
      <c r="D7" s="1633" t="s">
        <v>3094</v>
      </c>
      <c r="E7" s="1633" t="s">
        <v>1327</v>
      </c>
      <c r="F7" s="1633" t="s">
        <v>3110</v>
      </c>
      <c r="G7" s="1633" t="s">
        <v>3095</v>
      </c>
      <c r="H7" s="1633" t="s">
        <v>3130</v>
      </c>
      <c r="I7" s="1633" t="s">
        <v>3113</v>
      </c>
      <c r="J7" s="1633">
        <v>79249.5</v>
      </c>
      <c r="K7" s="1633">
        <v>158499</v>
      </c>
      <c r="L7" s="1633" t="s">
        <v>3114</v>
      </c>
      <c r="M7" s="1633" t="s">
        <v>1327</v>
      </c>
      <c r="N7" s="1633" t="s">
        <v>3115</v>
      </c>
      <c r="O7" s="1633" t="s">
        <v>1327</v>
      </c>
      <c r="P7" s="1633" t="s">
        <v>1327</v>
      </c>
      <c r="Q7" s="1633" t="s">
        <v>1327</v>
      </c>
      <c r="R7" s="1633" t="s">
        <v>1327</v>
      </c>
      <c r="S7" s="1633" t="s">
        <v>1327</v>
      </c>
      <c r="T7" s="1633" t="s">
        <v>3100</v>
      </c>
      <c r="U7" s="1633" t="s">
        <v>3101</v>
      </c>
      <c r="V7" s="1633" t="s">
        <v>1327</v>
      </c>
      <c r="W7" s="1633" t="s">
        <v>3102</v>
      </c>
      <c r="X7" s="1633" t="s">
        <v>3116</v>
      </c>
      <c r="Y7" s="1633" t="s">
        <v>3117</v>
      </c>
      <c r="Z7" s="1633" t="s">
        <v>3118</v>
      </c>
      <c r="AA7" s="1633" t="s">
        <v>3118</v>
      </c>
      <c r="AB7" s="1633" t="s">
        <v>3130</v>
      </c>
      <c r="AC7" s="1633" t="s">
        <v>3106</v>
      </c>
      <c r="AD7" s="1633" t="s">
        <v>3126</v>
      </c>
      <c r="AE7" s="1633">
        <v>38810</v>
      </c>
      <c r="AF7" s="1633">
        <v>77620</v>
      </c>
      <c r="AG7" s="1633">
        <v>77620</v>
      </c>
      <c r="AH7" s="1633">
        <v>652.96</v>
      </c>
      <c r="AI7" s="1633">
        <v>652.96</v>
      </c>
      <c r="AJ7" s="1633">
        <v>4897.1899999999996</v>
      </c>
      <c r="AK7" s="1633">
        <v>4897.18</v>
      </c>
      <c r="AL7" s="1633" t="s">
        <v>1327</v>
      </c>
      <c r="AM7" s="1633" t="s">
        <v>1327</v>
      </c>
      <c r="AN7" s="1633">
        <v>0</v>
      </c>
      <c r="AO7" s="1633" t="s">
        <v>3120</v>
      </c>
      <c r="AP7" s="1633" t="s">
        <v>1327</v>
      </c>
      <c r="AQ7" s="1633" t="s">
        <v>1327</v>
      </c>
      <c r="AR7" s="1633" t="s">
        <v>1327</v>
      </c>
      <c r="AS7" s="1633" t="s">
        <v>3121</v>
      </c>
    </row>
    <row r="8" spans="1:45" hidden="1">
      <c r="A8" s="1633" t="s">
        <v>3131</v>
      </c>
      <c r="B8" s="1633" t="s">
        <v>3092</v>
      </c>
      <c r="C8" s="1633" t="s">
        <v>3111</v>
      </c>
      <c r="D8" s="1633" t="s">
        <v>3094</v>
      </c>
      <c r="E8" s="1633" t="s">
        <v>1327</v>
      </c>
      <c r="F8" s="1633" t="s">
        <v>3131</v>
      </c>
      <c r="G8" s="1633" t="s">
        <v>3095</v>
      </c>
      <c r="H8" s="1633" t="s">
        <v>3132</v>
      </c>
      <c r="I8" s="1633" t="s">
        <v>3113</v>
      </c>
      <c r="J8" s="1633">
        <v>62899.6</v>
      </c>
      <c r="K8" s="1633">
        <v>81767.009999999995</v>
      </c>
      <c r="L8" s="1633" t="s">
        <v>3133</v>
      </c>
      <c r="M8" s="1633" t="s">
        <v>1327</v>
      </c>
      <c r="N8" s="1633" t="s">
        <v>3134</v>
      </c>
      <c r="O8" s="1633" t="s">
        <v>3135</v>
      </c>
      <c r="P8" s="1633" t="s">
        <v>1327</v>
      </c>
      <c r="Q8" s="1633" t="s">
        <v>1327</v>
      </c>
      <c r="R8" s="1633" t="s">
        <v>1327</v>
      </c>
      <c r="S8" s="1633" t="s">
        <v>1327</v>
      </c>
      <c r="T8" s="1633" t="s">
        <v>3100</v>
      </c>
      <c r="U8" s="1633" t="s">
        <v>3101</v>
      </c>
      <c r="V8" s="1633" t="s">
        <v>1327</v>
      </c>
      <c r="W8" s="1633" t="s">
        <v>3102</v>
      </c>
      <c r="X8" s="1633" t="s">
        <v>3136</v>
      </c>
      <c r="Y8" s="1633" t="s">
        <v>3137</v>
      </c>
      <c r="Z8" s="1633" t="s">
        <v>3138</v>
      </c>
      <c r="AA8" s="1633" t="s">
        <v>3138</v>
      </c>
      <c r="AB8" s="1633" t="s">
        <v>3132</v>
      </c>
      <c r="AC8" s="1633" t="s">
        <v>3106</v>
      </c>
      <c r="AD8" s="1633" t="s">
        <v>3139</v>
      </c>
      <c r="AE8" s="1633">
        <v>10840</v>
      </c>
      <c r="AF8" s="1633">
        <v>26520</v>
      </c>
      <c r="AG8" s="1633">
        <v>26520</v>
      </c>
      <c r="AH8" s="1633">
        <v>281.08</v>
      </c>
      <c r="AI8" s="1633">
        <v>281.08</v>
      </c>
      <c r="AJ8" s="1633">
        <v>3243.36</v>
      </c>
      <c r="AK8" s="1633">
        <v>3243.36</v>
      </c>
      <c r="AL8" s="1633" t="s">
        <v>1327</v>
      </c>
      <c r="AM8" s="1633" t="s">
        <v>1327</v>
      </c>
      <c r="AN8" s="1633">
        <v>0</v>
      </c>
      <c r="AO8" s="1633" t="s">
        <v>3140</v>
      </c>
      <c r="AP8" s="1633" t="s">
        <v>1327</v>
      </c>
      <c r="AQ8" s="1633" t="s">
        <v>1327</v>
      </c>
      <c r="AR8" s="1633" t="s">
        <v>1327</v>
      </c>
      <c r="AS8" s="1633" t="s">
        <v>3141</v>
      </c>
    </row>
    <row r="9" spans="1:45" s="2956" customFormat="1">
      <c r="A9" s="2956" t="s">
        <v>3142</v>
      </c>
      <c r="B9" s="2956" t="s">
        <v>3092</v>
      </c>
      <c r="C9" s="2956" t="s">
        <v>3093</v>
      </c>
      <c r="D9" s="2956" t="s">
        <v>3094</v>
      </c>
      <c r="E9" s="2955" t="s">
        <v>1327</v>
      </c>
      <c r="F9" s="2955" t="s">
        <v>3142</v>
      </c>
      <c r="G9" s="2955" t="s">
        <v>3095</v>
      </c>
      <c r="H9" s="2955" t="s">
        <v>3143</v>
      </c>
      <c r="I9" s="2956" t="s">
        <v>3097</v>
      </c>
      <c r="J9" s="2956">
        <v>92056</v>
      </c>
      <c r="K9" s="2956">
        <v>141800</v>
      </c>
      <c r="L9" s="2956" t="s">
        <v>3144</v>
      </c>
      <c r="M9" s="2955" t="s">
        <v>1327</v>
      </c>
      <c r="N9" s="2955" t="s">
        <v>3145</v>
      </c>
      <c r="O9" s="2955" t="s">
        <v>3146</v>
      </c>
      <c r="P9" s="2955" t="s">
        <v>1327</v>
      </c>
      <c r="Q9" s="2955" t="s">
        <v>1327</v>
      </c>
      <c r="R9" s="2955" t="s">
        <v>1327</v>
      </c>
      <c r="S9" s="2955" t="s">
        <v>1327</v>
      </c>
      <c r="T9" s="2955" t="s">
        <v>3100</v>
      </c>
      <c r="U9" s="2955" t="s">
        <v>3101</v>
      </c>
      <c r="V9" s="2955" t="s">
        <v>1327</v>
      </c>
      <c r="W9" s="2955" t="s">
        <v>3102</v>
      </c>
      <c r="X9" s="2955" t="s">
        <v>3147</v>
      </c>
      <c r="Y9" s="2955" t="s">
        <v>3148</v>
      </c>
      <c r="Z9" s="2955" t="s">
        <v>3138</v>
      </c>
      <c r="AA9" s="2956" t="s">
        <v>3138</v>
      </c>
      <c r="AB9" s="2955" t="s">
        <v>3143</v>
      </c>
      <c r="AC9" s="2955" t="s">
        <v>3106</v>
      </c>
      <c r="AD9" s="2956" t="s">
        <v>3149</v>
      </c>
      <c r="AE9" s="2955">
        <v>30120</v>
      </c>
      <c r="AF9" s="2955">
        <v>100400</v>
      </c>
      <c r="AG9" s="2956">
        <v>101700</v>
      </c>
      <c r="AH9" s="2955">
        <v>727.09</v>
      </c>
      <c r="AI9" s="2956">
        <v>736.51</v>
      </c>
      <c r="AJ9" s="2955">
        <v>7080.39</v>
      </c>
      <c r="AK9" s="2956">
        <v>7172.06</v>
      </c>
      <c r="AL9" s="2955" t="s">
        <v>1327</v>
      </c>
      <c r="AM9" s="2955" t="s">
        <v>1327</v>
      </c>
      <c r="AN9" s="2956">
        <v>1.29</v>
      </c>
      <c r="AO9" s="2956" t="s">
        <v>3108</v>
      </c>
      <c r="AP9" s="2956" t="s">
        <v>1327</v>
      </c>
      <c r="AQ9" s="2956" t="s">
        <v>1327</v>
      </c>
      <c r="AR9" s="2956" t="s">
        <v>1327</v>
      </c>
      <c r="AS9" s="2956" t="s">
        <v>3109</v>
      </c>
    </row>
    <row r="10" spans="1:45" hidden="1">
      <c r="A10" s="1633" t="s">
        <v>3150</v>
      </c>
      <c r="B10" s="1633" t="s">
        <v>3092</v>
      </c>
      <c r="C10" s="1633" t="s">
        <v>3111</v>
      </c>
      <c r="D10" s="1633" t="s">
        <v>3094</v>
      </c>
      <c r="E10" s="1633" t="s">
        <v>1327</v>
      </c>
      <c r="F10" s="1633" t="s">
        <v>3150</v>
      </c>
      <c r="G10" s="1633" t="s">
        <v>3095</v>
      </c>
      <c r="H10" s="1633" t="s">
        <v>3151</v>
      </c>
      <c r="I10" s="1633" t="s">
        <v>3113</v>
      </c>
      <c r="J10" s="1633">
        <v>43552.3</v>
      </c>
      <c r="K10" s="1633">
        <v>65325</v>
      </c>
      <c r="L10" s="1633" t="s">
        <v>3152</v>
      </c>
      <c r="M10" s="1633" t="s">
        <v>1327</v>
      </c>
      <c r="N10" s="1633" t="s">
        <v>3153</v>
      </c>
      <c r="O10" s="1633" t="s">
        <v>3154</v>
      </c>
      <c r="P10" s="1633" t="s">
        <v>1327</v>
      </c>
      <c r="Q10" s="1633" t="s">
        <v>1327</v>
      </c>
      <c r="R10" s="1633" t="s">
        <v>1327</v>
      </c>
      <c r="S10" s="1633" t="s">
        <v>1327</v>
      </c>
      <c r="T10" s="1633" t="s">
        <v>3155</v>
      </c>
      <c r="U10" s="1633" t="s">
        <v>3156</v>
      </c>
      <c r="V10" s="1633" t="s">
        <v>1327</v>
      </c>
      <c r="W10" s="1633" t="s">
        <v>3102</v>
      </c>
      <c r="X10" s="1633" t="s">
        <v>3157</v>
      </c>
      <c r="Y10" s="1633" t="s">
        <v>3158</v>
      </c>
      <c r="Z10" s="1633" t="s">
        <v>3159</v>
      </c>
      <c r="AA10" s="1633" t="s">
        <v>3159</v>
      </c>
      <c r="AB10" s="1633" t="s">
        <v>3151</v>
      </c>
      <c r="AC10" s="1633" t="s">
        <v>3106</v>
      </c>
      <c r="AD10" s="1633" t="s">
        <v>3160</v>
      </c>
      <c r="AE10" s="1633">
        <v>6500</v>
      </c>
      <c r="AF10" s="1633">
        <v>25190</v>
      </c>
      <c r="AG10" s="1633">
        <v>25190</v>
      </c>
      <c r="AH10" s="1633">
        <v>385.59</v>
      </c>
      <c r="AI10" s="1633">
        <v>385.59</v>
      </c>
      <c r="AJ10" s="1633">
        <v>3856.1</v>
      </c>
      <c r="AK10" s="1633">
        <v>3856.09</v>
      </c>
      <c r="AL10" s="1633" t="s">
        <v>1327</v>
      </c>
      <c r="AM10" s="1633" t="s">
        <v>1327</v>
      </c>
      <c r="AN10" s="1633">
        <v>0</v>
      </c>
      <c r="AO10" s="1633" t="s">
        <v>3161</v>
      </c>
      <c r="AP10" s="1633" t="s">
        <v>1327</v>
      </c>
      <c r="AQ10" s="1633" t="s">
        <v>1327</v>
      </c>
      <c r="AR10" s="1633" t="s">
        <v>1327</v>
      </c>
      <c r="AS10" s="1633" t="s">
        <v>3141</v>
      </c>
    </row>
    <row r="11" spans="1:45" hidden="1">
      <c r="A11" s="1633" t="s">
        <v>3162</v>
      </c>
      <c r="B11" s="1633" t="s">
        <v>3092</v>
      </c>
      <c r="C11" s="1633" t="s">
        <v>3111</v>
      </c>
      <c r="D11" s="1633" t="s">
        <v>3094</v>
      </c>
      <c r="E11" s="1633" t="s">
        <v>1327</v>
      </c>
      <c r="F11" s="1633" t="s">
        <v>3162</v>
      </c>
      <c r="G11" s="1633" t="s">
        <v>3095</v>
      </c>
      <c r="H11" s="1633" t="s">
        <v>3163</v>
      </c>
      <c r="I11" s="1633" t="s">
        <v>3113</v>
      </c>
      <c r="J11" s="1633">
        <v>45464.6</v>
      </c>
      <c r="K11" s="1633">
        <v>68194.350000000006</v>
      </c>
      <c r="L11" s="1633" t="s">
        <v>3152</v>
      </c>
      <c r="M11" s="1633" t="s">
        <v>1327</v>
      </c>
      <c r="N11" s="1633" t="s">
        <v>3134</v>
      </c>
      <c r="O11" s="1633" t="s">
        <v>3164</v>
      </c>
      <c r="P11" s="1633" t="s">
        <v>1327</v>
      </c>
      <c r="Q11" s="1633" t="s">
        <v>1327</v>
      </c>
      <c r="R11" s="1633" t="s">
        <v>1327</v>
      </c>
      <c r="S11" s="1633" t="s">
        <v>1327</v>
      </c>
      <c r="T11" s="1633" t="s">
        <v>3100</v>
      </c>
      <c r="U11" s="1633" t="s">
        <v>3101</v>
      </c>
      <c r="V11" s="1633" t="s">
        <v>1327</v>
      </c>
      <c r="W11" s="1633" t="s">
        <v>3102</v>
      </c>
      <c r="X11" s="1633" t="s">
        <v>3165</v>
      </c>
      <c r="Y11" s="1633" t="s">
        <v>3166</v>
      </c>
      <c r="Z11" s="1633" t="s">
        <v>3167</v>
      </c>
      <c r="AA11" s="1633" t="s">
        <v>3167</v>
      </c>
      <c r="AB11" s="1633" t="s">
        <v>3163</v>
      </c>
      <c r="AC11" s="1633" t="s">
        <v>3106</v>
      </c>
      <c r="AD11" s="1633" t="s">
        <v>3168</v>
      </c>
      <c r="AE11" s="1633">
        <v>10100</v>
      </c>
      <c r="AF11" s="1633">
        <v>34190</v>
      </c>
      <c r="AG11" s="1633">
        <v>37500</v>
      </c>
      <c r="AH11" s="1633">
        <v>501.34</v>
      </c>
      <c r="AI11" s="1633">
        <v>549.88</v>
      </c>
      <c r="AJ11" s="1633">
        <v>5013.6099999999997</v>
      </c>
      <c r="AK11" s="1633">
        <v>5498.98</v>
      </c>
      <c r="AL11" s="1633" t="s">
        <v>1327</v>
      </c>
      <c r="AM11" s="1633" t="s">
        <v>1327</v>
      </c>
      <c r="AN11" s="1633">
        <v>9.68</v>
      </c>
      <c r="AO11" s="1633" t="s">
        <v>3140</v>
      </c>
      <c r="AP11" s="1633" t="s">
        <v>1327</v>
      </c>
      <c r="AQ11" s="1633" t="s">
        <v>1327</v>
      </c>
      <c r="AR11" s="1633" t="s">
        <v>1327</v>
      </c>
      <c r="AS11" s="1633" t="s">
        <v>3169</v>
      </c>
    </row>
    <row r="12" spans="1:45" hidden="1">
      <c r="A12" s="1633" t="s">
        <v>3162</v>
      </c>
      <c r="B12" s="1633" t="s">
        <v>3092</v>
      </c>
      <c r="C12" s="1633" t="s">
        <v>3111</v>
      </c>
      <c r="D12" s="1633" t="s">
        <v>3094</v>
      </c>
      <c r="E12" s="1633" t="s">
        <v>1327</v>
      </c>
      <c r="F12" s="1633" t="s">
        <v>3162</v>
      </c>
      <c r="G12" s="1633" t="s">
        <v>3095</v>
      </c>
      <c r="H12" s="1633" t="s">
        <v>3170</v>
      </c>
      <c r="I12" s="1633" t="s">
        <v>3113</v>
      </c>
      <c r="J12" s="1633">
        <v>41203.699999999997</v>
      </c>
      <c r="K12" s="1633">
        <v>61802.85</v>
      </c>
      <c r="L12" s="1633" t="s">
        <v>3152</v>
      </c>
      <c r="M12" s="1633" t="s">
        <v>1327</v>
      </c>
      <c r="N12" s="1633" t="s">
        <v>3134</v>
      </c>
      <c r="O12" s="1633" t="s">
        <v>3164</v>
      </c>
      <c r="P12" s="1633" t="s">
        <v>1327</v>
      </c>
      <c r="Q12" s="1633" t="s">
        <v>1327</v>
      </c>
      <c r="R12" s="1633" t="s">
        <v>1327</v>
      </c>
      <c r="S12" s="1633" t="s">
        <v>1327</v>
      </c>
      <c r="T12" s="1633" t="s">
        <v>3100</v>
      </c>
      <c r="U12" s="1633" t="s">
        <v>3101</v>
      </c>
      <c r="V12" s="1633" t="s">
        <v>1327</v>
      </c>
      <c r="W12" s="1633" t="s">
        <v>3102</v>
      </c>
      <c r="X12" s="1633" t="s">
        <v>3165</v>
      </c>
      <c r="Y12" s="1633" t="s">
        <v>3166</v>
      </c>
      <c r="Z12" s="1633" t="s">
        <v>3167</v>
      </c>
      <c r="AA12" s="1633" t="s">
        <v>3167</v>
      </c>
      <c r="AB12" s="1633" t="s">
        <v>3170</v>
      </c>
      <c r="AC12" s="1633" t="s">
        <v>3106</v>
      </c>
      <c r="AD12" s="1633" t="s">
        <v>3171</v>
      </c>
      <c r="AE12" s="1633">
        <v>10000</v>
      </c>
      <c r="AF12" s="1633">
        <v>30990</v>
      </c>
      <c r="AG12" s="1633">
        <v>33700</v>
      </c>
      <c r="AH12" s="1633">
        <v>501.41</v>
      </c>
      <c r="AI12" s="1633">
        <v>545.26</v>
      </c>
      <c r="AJ12" s="1633">
        <v>5014.33</v>
      </c>
      <c r="AK12" s="1633">
        <v>5452.81</v>
      </c>
      <c r="AL12" s="1633" t="s">
        <v>1327</v>
      </c>
      <c r="AM12" s="1633" t="s">
        <v>1327</v>
      </c>
      <c r="AN12" s="1633">
        <v>8.74</v>
      </c>
      <c r="AO12" s="1633" t="s">
        <v>3140</v>
      </c>
      <c r="AP12" s="1633" t="s">
        <v>1327</v>
      </c>
      <c r="AQ12" s="1633" t="s">
        <v>1327</v>
      </c>
      <c r="AR12" s="1633" t="s">
        <v>1327</v>
      </c>
      <c r="AS12" s="1633" t="s">
        <v>3169</v>
      </c>
    </row>
    <row r="13" spans="1:45" hidden="1">
      <c r="A13" s="1633" t="s">
        <v>3162</v>
      </c>
      <c r="B13" s="1633" t="s">
        <v>3092</v>
      </c>
      <c r="C13" s="1633" t="s">
        <v>3111</v>
      </c>
      <c r="D13" s="1633" t="s">
        <v>3094</v>
      </c>
      <c r="E13" s="1633" t="s">
        <v>1327</v>
      </c>
      <c r="F13" s="1633" t="s">
        <v>3162</v>
      </c>
      <c r="G13" s="1633" t="s">
        <v>3095</v>
      </c>
      <c r="H13" s="1633" t="s">
        <v>3172</v>
      </c>
      <c r="I13" s="1633" t="s">
        <v>3113</v>
      </c>
      <c r="J13" s="1633">
        <v>38397.1</v>
      </c>
      <c r="K13" s="1633">
        <v>57593.25</v>
      </c>
      <c r="L13" s="1633" t="s">
        <v>3152</v>
      </c>
      <c r="M13" s="1633" t="s">
        <v>1327</v>
      </c>
      <c r="N13" s="1633" t="s">
        <v>3134</v>
      </c>
      <c r="O13" s="1633" t="s">
        <v>3164</v>
      </c>
      <c r="P13" s="1633" t="s">
        <v>1327</v>
      </c>
      <c r="Q13" s="1633" t="s">
        <v>1327</v>
      </c>
      <c r="R13" s="1633" t="s">
        <v>1327</v>
      </c>
      <c r="S13" s="1633" t="s">
        <v>1327</v>
      </c>
      <c r="T13" s="1633" t="s">
        <v>3100</v>
      </c>
      <c r="U13" s="1633" t="s">
        <v>3101</v>
      </c>
      <c r="V13" s="1633" t="s">
        <v>1327</v>
      </c>
      <c r="W13" s="1633" t="s">
        <v>3102</v>
      </c>
      <c r="X13" s="1633" t="s">
        <v>3165</v>
      </c>
      <c r="Y13" s="1633" t="s">
        <v>3166</v>
      </c>
      <c r="Z13" s="1633" t="s">
        <v>3167</v>
      </c>
      <c r="AA13" s="1633" t="s">
        <v>3167</v>
      </c>
      <c r="AB13" s="1633" t="s">
        <v>3172</v>
      </c>
      <c r="AC13" s="1633" t="s">
        <v>3106</v>
      </c>
      <c r="AD13" s="1633" t="s">
        <v>3173</v>
      </c>
      <c r="AE13" s="1633">
        <v>29180</v>
      </c>
      <c r="AF13" s="1633">
        <v>29180</v>
      </c>
      <c r="AG13" s="1633">
        <v>32100</v>
      </c>
      <c r="AH13" s="1633">
        <v>506.64</v>
      </c>
      <c r="AI13" s="1633">
        <v>557.33000000000004</v>
      </c>
      <c r="AJ13" s="1633">
        <v>5066.5600000000004</v>
      </c>
      <c r="AK13" s="1633">
        <v>5573.56</v>
      </c>
      <c r="AL13" s="1633" t="s">
        <v>1327</v>
      </c>
      <c r="AM13" s="1633" t="s">
        <v>1327</v>
      </c>
      <c r="AN13" s="1633">
        <v>10.01</v>
      </c>
      <c r="AO13" s="1633" t="s">
        <v>3140</v>
      </c>
      <c r="AP13" s="1633" t="s">
        <v>1327</v>
      </c>
      <c r="AQ13" s="1633" t="s">
        <v>1327</v>
      </c>
      <c r="AR13" s="1633" t="s">
        <v>1327</v>
      </c>
      <c r="AS13" s="1633" t="s">
        <v>3169</v>
      </c>
    </row>
    <row r="14" spans="1:45" s="2955" customFormat="1">
      <c r="A14" s="2955" t="s">
        <v>3174</v>
      </c>
      <c r="B14" s="2955" t="s">
        <v>3092</v>
      </c>
      <c r="C14" s="2955" t="s">
        <v>3093</v>
      </c>
      <c r="D14" s="2955" t="s">
        <v>3094</v>
      </c>
      <c r="E14" s="2955" t="s">
        <v>1327</v>
      </c>
      <c r="F14" s="2955" t="s">
        <v>3174</v>
      </c>
      <c r="G14" s="2955" t="s">
        <v>3095</v>
      </c>
      <c r="H14" s="2955" t="s">
        <v>3175</v>
      </c>
      <c r="I14" s="2955" t="s">
        <v>3097</v>
      </c>
      <c r="J14" s="2955">
        <v>71290</v>
      </c>
      <c r="K14" s="2955">
        <v>78416.14</v>
      </c>
      <c r="L14" s="2955" t="s">
        <v>3176</v>
      </c>
      <c r="M14" s="2955" t="s">
        <v>1327</v>
      </c>
      <c r="N14" s="2955" t="s">
        <v>3177</v>
      </c>
      <c r="O14" s="2955" t="s">
        <v>3178</v>
      </c>
      <c r="P14" s="2955" t="s">
        <v>1327</v>
      </c>
      <c r="Q14" s="2955" t="s">
        <v>1327</v>
      </c>
      <c r="R14" s="2955" t="s">
        <v>1327</v>
      </c>
      <c r="S14" s="2955" t="s">
        <v>1327</v>
      </c>
      <c r="T14" s="2955" t="s">
        <v>3100</v>
      </c>
      <c r="U14" s="2955" t="s">
        <v>3101</v>
      </c>
      <c r="V14" s="2955" t="s">
        <v>1327</v>
      </c>
      <c r="W14" s="2955" t="s">
        <v>3102</v>
      </c>
      <c r="X14" s="2955" t="s">
        <v>3165</v>
      </c>
      <c r="Y14" s="2955" t="s">
        <v>3179</v>
      </c>
      <c r="Z14" s="2955" t="s">
        <v>3167</v>
      </c>
      <c r="AA14" s="2955" t="s">
        <v>3167</v>
      </c>
      <c r="AB14" s="2955" t="s">
        <v>3175</v>
      </c>
      <c r="AC14" s="2955" t="s">
        <v>3106</v>
      </c>
      <c r="AD14" s="2955" t="s">
        <v>3180</v>
      </c>
      <c r="AE14" s="2955">
        <v>35280</v>
      </c>
      <c r="AF14" s="2955">
        <v>70550</v>
      </c>
      <c r="AG14" s="2955">
        <v>82000</v>
      </c>
      <c r="AH14" s="2955">
        <v>659.75</v>
      </c>
      <c r="AI14" s="2955">
        <v>766.82</v>
      </c>
      <c r="AJ14" s="2955">
        <v>8996.8700000000008</v>
      </c>
      <c r="AK14" s="2955">
        <v>10457.030000000001</v>
      </c>
      <c r="AL14" s="2955" t="s">
        <v>1327</v>
      </c>
      <c r="AM14" s="2955" t="s">
        <v>1327</v>
      </c>
      <c r="AN14" s="2955">
        <v>16.23</v>
      </c>
      <c r="AO14" s="2955" t="s">
        <v>3108</v>
      </c>
      <c r="AP14" s="2955" t="s">
        <v>1327</v>
      </c>
      <c r="AQ14" s="2955" t="s">
        <v>1327</v>
      </c>
      <c r="AR14" s="2955" t="s">
        <v>1327</v>
      </c>
      <c r="AS14" s="2955" t="s">
        <v>3109</v>
      </c>
    </row>
    <row r="15" spans="1:45" hidden="1">
      <c r="A15" s="1633" t="s">
        <v>3181</v>
      </c>
      <c r="B15" s="1633" t="s">
        <v>3092</v>
      </c>
      <c r="C15" s="1633" t="s">
        <v>3111</v>
      </c>
      <c r="D15" s="1633" t="s">
        <v>3094</v>
      </c>
      <c r="E15" s="1633" t="s">
        <v>1327</v>
      </c>
      <c r="F15" s="1633" t="s">
        <v>3181</v>
      </c>
      <c r="G15" s="1633" t="s">
        <v>3095</v>
      </c>
      <c r="H15" s="1633" t="s">
        <v>3182</v>
      </c>
      <c r="I15" s="1633" t="s">
        <v>3183</v>
      </c>
      <c r="J15" s="1633">
        <v>131257.29999999999</v>
      </c>
      <c r="K15" s="1633">
        <v>437734.9</v>
      </c>
      <c r="L15" s="1633" t="s">
        <v>3184</v>
      </c>
      <c r="M15" s="1633" t="s">
        <v>1327</v>
      </c>
      <c r="N15" s="1633" t="s">
        <v>3185</v>
      </c>
      <c r="O15" s="1633" t="s">
        <v>3186</v>
      </c>
      <c r="P15" s="1633" t="s">
        <v>1327</v>
      </c>
      <c r="Q15" s="1633" t="s">
        <v>1327</v>
      </c>
      <c r="R15" s="1633" t="s">
        <v>1327</v>
      </c>
      <c r="S15" s="1633" t="s">
        <v>1327</v>
      </c>
      <c r="T15" s="1633" t="s">
        <v>3100</v>
      </c>
      <c r="U15" s="1633" t="s">
        <v>3101</v>
      </c>
      <c r="V15" s="1633" t="s">
        <v>1327</v>
      </c>
      <c r="W15" s="1633" t="s">
        <v>3102</v>
      </c>
      <c r="X15" s="1633" t="s">
        <v>3187</v>
      </c>
      <c r="Y15" s="1633" t="s">
        <v>3188</v>
      </c>
      <c r="Z15" s="1633" t="s">
        <v>3189</v>
      </c>
      <c r="AA15" s="1633" t="s">
        <v>3189</v>
      </c>
      <c r="AB15" s="1633" t="s">
        <v>3182</v>
      </c>
      <c r="AC15" s="1633" t="s">
        <v>3106</v>
      </c>
      <c r="AD15" s="1633" t="s">
        <v>3190</v>
      </c>
      <c r="AE15" s="1633">
        <v>120000</v>
      </c>
      <c r="AF15" s="1633">
        <v>360010</v>
      </c>
      <c r="AG15" s="1633">
        <v>360010</v>
      </c>
      <c r="AH15" s="1633">
        <v>1828.52</v>
      </c>
      <c r="AI15" s="1633">
        <v>1828.52</v>
      </c>
      <c r="AJ15" s="1633">
        <v>8224.3799999999992</v>
      </c>
      <c r="AK15" s="1633">
        <v>8224.3700000000008</v>
      </c>
      <c r="AL15" s="1633" t="s">
        <v>1327</v>
      </c>
      <c r="AM15" s="1633" t="s">
        <v>1327</v>
      </c>
      <c r="AN15" s="1633">
        <v>0</v>
      </c>
      <c r="AO15" s="1633" t="s">
        <v>3191</v>
      </c>
      <c r="AP15" s="1633" t="s">
        <v>1327</v>
      </c>
      <c r="AQ15" s="1633" t="s">
        <v>1327</v>
      </c>
      <c r="AR15" s="1633" t="s">
        <v>1327</v>
      </c>
      <c r="AS15" s="1633" t="s">
        <v>3192</v>
      </c>
    </row>
    <row r="16" spans="1:45" hidden="1">
      <c r="A16" s="1633" t="s">
        <v>3193</v>
      </c>
      <c r="B16" s="1633" t="s">
        <v>3092</v>
      </c>
      <c r="C16" s="1633" t="s">
        <v>3093</v>
      </c>
      <c r="D16" s="1633" t="s">
        <v>3094</v>
      </c>
      <c r="E16" s="1633" t="s">
        <v>1327</v>
      </c>
      <c r="F16" s="1633" t="s">
        <v>3193</v>
      </c>
      <c r="G16" s="1633" t="s">
        <v>3095</v>
      </c>
      <c r="H16" s="1633" t="s">
        <v>3194</v>
      </c>
      <c r="I16" s="1633" t="s">
        <v>3097</v>
      </c>
      <c r="J16" s="1633">
        <v>48942</v>
      </c>
      <c r="K16" s="1633">
        <v>78307.199999999997</v>
      </c>
      <c r="L16" s="1633" t="s">
        <v>3144</v>
      </c>
      <c r="M16" s="1633" t="s">
        <v>1327</v>
      </c>
      <c r="N16" s="1633" t="s">
        <v>3153</v>
      </c>
      <c r="O16" s="1633" t="s">
        <v>3195</v>
      </c>
      <c r="P16" s="1633" t="s">
        <v>1327</v>
      </c>
      <c r="Q16" s="1633" t="s">
        <v>1327</v>
      </c>
      <c r="R16" s="1633" t="s">
        <v>1327</v>
      </c>
      <c r="S16" s="1633" t="s">
        <v>1327</v>
      </c>
      <c r="T16" s="1633" t="s">
        <v>3196</v>
      </c>
      <c r="U16" s="1633" t="s">
        <v>3101</v>
      </c>
      <c r="V16" s="1633" t="s">
        <v>1327</v>
      </c>
      <c r="W16" s="1633" t="s">
        <v>3102</v>
      </c>
      <c r="X16" s="1633" t="s">
        <v>3197</v>
      </c>
      <c r="Y16" s="1633" t="s">
        <v>3198</v>
      </c>
      <c r="Z16" s="1633" t="s">
        <v>3199</v>
      </c>
      <c r="AA16" s="1633" t="s">
        <v>3199</v>
      </c>
      <c r="AB16" s="1633" t="s">
        <v>3194</v>
      </c>
      <c r="AC16" s="1633" t="s">
        <v>3106</v>
      </c>
      <c r="AD16" s="1633" t="s">
        <v>3200</v>
      </c>
      <c r="AE16" s="1633">
        <v>18600</v>
      </c>
      <c r="AF16" s="1633">
        <v>70480</v>
      </c>
      <c r="AG16" s="1633">
        <v>70480</v>
      </c>
      <c r="AH16" s="1633">
        <v>960.05</v>
      </c>
      <c r="AI16" s="1633">
        <v>960.05</v>
      </c>
      <c r="AJ16" s="1633">
        <v>9000.44</v>
      </c>
      <c r="AK16" s="1633">
        <v>9000.4500000000007</v>
      </c>
      <c r="AL16" s="1633" t="s">
        <v>1327</v>
      </c>
      <c r="AM16" s="1633" t="s">
        <v>1327</v>
      </c>
      <c r="AN16" s="1633">
        <v>0</v>
      </c>
      <c r="AO16" s="1633" t="s">
        <v>3108</v>
      </c>
      <c r="AP16" s="1633" t="s">
        <v>1327</v>
      </c>
      <c r="AQ16" s="1633" t="s">
        <v>1327</v>
      </c>
      <c r="AR16" s="1633" t="s">
        <v>1327</v>
      </c>
      <c r="AS16" s="1633" t="s">
        <v>3121</v>
      </c>
    </row>
    <row r="17" spans="1:45" hidden="1">
      <c r="A17" s="1633" t="s">
        <v>3201</v>
      </c>
      <c r="B17" s="1633" t="s">
        <v>3092</v>
      </c>
      <c r="C17" s="1633" t="s">
        <v>3093</v>
      </c>
      <c r="D17" s="1633" t="s">
        <v>3094</v>
      </c>
      <c r="E17" s="1633" t="s">
        <v>1327</v>
      </c>
      <c r="F17" s="1633" t="s">
        <v>3201</v>
      </c>
      <c r="G17" s="1633" t="s">
        <v>3095</v>
      </c>
      <c r="H17" s="1633" t="s">
        <v>3202</v>
      </c>
      <c r="I17" s="1633" t="s">
        <v>3097</v>
      </c>
      <c r="J17" s="1633">
        <v>147660.1</v>
      </c>
      <c r="K17" s="1633">
        <v>236256.2</v>
      </c>
      <c r="L17" s="1633" t="s">
        <v>3144</v>
      </c>
      <c r="M17" s="1633" t="s">
        <v>1327</v>
      </c>
      <c r="N17" s="1633" t="s">
        <v>3115</v>
      </c>
      <c r="O17" s="1633" t="s">
        <v>3195</v>
      </c>
      <c r="P17" s="1633" t="s">
        <v>1327</v>
      </c>
      <c r="Q17" s="1633" t="s">
        <v>1327</v>
      </c>
      <c r="R17" s="1633" t="s">
        <v>1327</v>
      </c>
      <c r="S17" s="1633" t="s">
        <v>1327</v>
      </c>
      <c r="T17" s="1633" t="s">
        <v>3100</v>
      </c>
      <c r="U17" s="1633" t="s">
        <v>3101</v>
      </c>
      <c r="V17" s="1633" t="s">
        <v>1327</v>
      </c>
      <c r="W17" s="1633" t="s">
        <v>3102</v>
      </c>
      <c r="X17" s="1633" t="s">
        <v>3203</v>
      </c>
      <c r="Y17" s="1633" t="s">
        <v>3204</v>
      </c>
      <c r="Z17" s="1633" t="s">
        <v>3205</v>
      </c>
      <c r="AA17" s="1633" t="s">
        <v>3205</v>
      </c>
      <c r="AB17" s="1633" t="s">
        <v>3202</v>
      </c>
      <c r="AC17" s="1633" t="s">
        <v>3106</v>
      </c>
      <c r="AD17" s="1633" t="s">
        <v>3206</v>
      </c>
      <c r="AE17" s="1633">
        <v>62020</v>
      </c>
      <c r="AF17" s="1633">
        <v>236260</v>
      </c>
      <c r="AG17" s="1633">
        <v>331500</v>
      </c>
      <c r="AH17" s="1633">
        <v>1066.68</v>
      </c>
      <c r="AI17" s="1633">
        <v>1496.68</v>
      </c>
      <c r="AJ17" s="1633">
        <v>10000.16</v>
      </c>
      <c r="AK17" s="1633">
        <v>14031.37</v>
      </c>
      <c r="AL17" s="1633" t="s">
        <v>1327</v>
      </c>
      <c r="AM17" s="1633" t="s">
        <v>1327</v>
      </c>
      <c r="AN17" s="1633">
        <v>40.31</v>
      </c>
      <c r="AO17" s="1633" t="s">
        <v>3108</v>
      </c>
      <c r="AP17" s="1633" t="s">
        <v>1327</v>
      </c>
      <c r="AQ17" s="1633" t="s">
        <v>1327</v>
      </c>
      <c r="AR17" s="1633" t="s">
        <v>1327</v>
      </c>
      <c r="AS17" s="1633" t="s">
        <v>3121</v>
      </c>
    </row>
    <row r="18" spans="1:45" hidden="1">
      <c r="A18" s="1633" t="s">
        <v>3207</v>
      </c>
      <c r="B18" s="1633" t="s">
        <v>3092</v>
      </c>
      <c r="C18" s="1633" t="s">
        <v>3093</v>
      </c>
      <c r="D18" s="1633" t="s">
        <v>3094</v>
      </c>
      <c r="E18" s="1633" t="s">
        <v>1327</v>
      </c>
      <c r="F18" s="1633" t="s">
        <v>3207</v>
      </c>
      <c r="G18" s="1633" t="s">
        <v>3095</v>
      </c>
      <c r="H18" s="1633" t="s">
        <v>3208</v>
      </c>
      <c r="I18" s="1633" t="s">
        <v>3209</v>
      </c>
      <c r="J18" s="1633">
        <v>26577.3</v>
      </c>
      <c r="K18" s="1633">
        <v>66463.75</v>
      </c>
      <c r="L18" s="1633" t="s">
        <v>3210</v>
      </c>
      <c r="M18" s="1633" t="s">
        <v>1327</v>
      </c>
      <c r="N18" s="1633" t="s">
        <v>3211</v>
      </c>
      <c r="O18" s="1633" t="s">
        <v>3212</v>
      </c>
      <c r="P18" s="1633" t="s">
        <v>1327</v>
      </c>
      <c r="Q18" s="1633" t="s">
        <v>1327</v>
      </c>
      <c r="R18" s="1633" t="s">
        <v>1327</v>
      </c>
      <c r="S18" s="1633" t="s">
        <v>1327</v>
      </c>
      <c r="T18" s="1633" t="s">
        <v>3100</v>
      </c>
      <c r="U18" s="1633" t="s">
        <v>3101</v>
      </c>
      <c r="V18" s="1633" t="s">
        <v>1327</v>
      </c>
      <c r="W18" s="1633" t="s">
        <v>3102</v>
      </c>
      <c r="X18" s="1633" t="s">
        <v>3213</v>
      </c>
      <c r="Y18" s="1633" t="s">
        <v>3187</v>
      </c>
      <c r="Z18" s="1633" t="s">
        <v>3205</v>
      </c>
      <c r="AA18" s="1633" t="s">
        <v>3205</v>
      </c>
      <c r="AB18" s="1633" t="s">
        <v>3208</v>
      </c>
      <c r="AC18" s="1633" t="s">
        <v>3106</v>
      </c>
      <c r="AD18" s="1633" t="s">
        <v>3214</v>
      </c>
      <c r="AE18" s="1633">
        <v>36000</v>
      </c>
      <c r="AF18" s="1633">
        <v>69860</v>
      </c>
      <c r="AG18" s="1633">
        <v>101000</v>
      </c>
      <c r="AH18" s="1633">
        <v>1752.37</v>
      </c>
      <c r="AI18" s="1633">
        <v>2533.4899999999998</v>
      </c>
      <c r="AJ18" s="1633">
        <v>10510.99</v>
      </c>
      <c r="AK18" s="1633">
        <v>15196.25</v>
      </c>
      <c r="AL18" s="1633" t="s">
        <v>1327</v>
      </c>
      <c r="AM18" s="1633" t="s">
        <v>1327</v>
      </c>
      <c r="AN18" s="1633">
        <v>44.57</v>
      </c>
      <c r="AO18" s="1633" t="s">
        <v>3108</v>
      </c>
      <c r="AP18" s="1633" t="s">
        <v>1327</v>
      </c>
      <c r="AQ18" s="1633" t="s">
        <v>1327</v>
      </c>
      <c r="AR18" s="1633" t="s">
        <v>1327</v>
      </c>
      <c r="AS18" s="1633" t="s">
        <v>3192</v>
      </c>
    </row>
    <row r="19" spans="1:45" hidden="1">
      <c r="A19" s="1633" t="s">
        <v>3215</v>
      </c>
      <c r="B19" s="1633" t="s">
        <v>3092</v>
      </c>
      <c r="C19" s="1633" t="s">
        <v>3111</v>
      </c>
      <c r="D19" s="1633" t="s">
        <v>3094</v>
      </c>
      <c r="E19" s="1633" t="s">
        <v>1327</v>
      </c>
      <c r="F19" s="1633" t="s">
        <v>3215</v>
      </c>
      <c r="G19" s="1633" t="s">
        <v>3095</v>
      </c>
      <c r="H19" s="1633" t="s">
        <v>3216</v>
      </c>
      <c r="I19" s="1633" t="s">
        <v>3217</v>
      </c>
      <c r="J19" s="1633">
        <v>146706.70000000001</v>
      </c>
      <c r="K19" s="1633">
        <v>228827.7</v>
      </c>
      <c r="L19" s="1633" t="s">
        <v>3218</v>
      </c>
      <c r="M19" s="1633" t="s">
        <v>1327</v>
      </c>
      <c r="N19" s="1633" t="s">
        <v>3219</v>
      </c>
      <c r="O19" s="1633" t="s">
        <v>3220</v>
      </c>
      <c r="P19" s="1633" t="s">
        <v>1327</v>
      </c>
      <c r="Q19" s="1633" t="s">
        <v>1327</v>
      </c>
      <c r="R19" s="1633" t="s">
        <v>1327</v>
      </c>
      <c r="S19" s="1633" t="s">
        <v>1327</v>
      </c>
      <c r="T19" s="1633" t="s">
        <v>3100</v>
      </c>
      <c r="U19" s="1633" t="s">
        <v>3101</v>
      </c>
      <c r="V19" s="1633" t="s">
        <v>1327</v>
      </c>
      <c r="W19" s="1633" t="s">
        <v>3102</v>
      </c>
      <c r="X19" s="1633" t="s">
        <v>3221</v>
      </c>
      <c r="Y19" s="1633" t="s">
        <v>3222</v>
      </c>
      <c r="Z19" s="1633" t="s">
        <v>3205</v>
      </c>
      <c r="AA19" s="1633" t="s">
        <v>3205</v>
      </c>
      <c r="AB19" s="1633" t="s">
        <v>3216</v>
      </c>
      <c r="AC19" s="1633" t="s">
        <v>3106</v>
      </c>
      <c r="AD19" s="1633" t="s">
        <v>3223</v>
      </c>
      <c r="AE19" s="1633">
        <v>39040</v>
      </c>
      <c r="AF19" s="1633">
        <v>144350</v>
      </c>
      <c r="AG19" s="1633">
        <v>144350</v>
      </c>
      <c r="AH19" s="1633">
        <v>655.96</v>
      </c>
      <c r="AI19" s="1633">
        <v>655.96</v>
      </c>
      <c r="AJ19" s="1633">
        <v>6308.23</v>
      </c>
      <c r="AK19" s="1633">
        <v>6308.23</v>
      </c>
      <c r="AL19" s="1633" t="s">
        <v>1327</v>
      </c>
      <c r="AM19" s="1633" t="s">
        <v>1327</v>
      </c>
      <c r="AN19" s="1633">
        <v>0</v>
      </c>
      <c r="AO19" s="1633" t="s">
        <v>3224</v>
      </c>
      <c r="AP19" s="1633" t="s">
        <v>1327</v>
      </c>
      <c r="AQ19" s="1633" t="s">
        <v>1327</v>
      </c>
      <c r="AR19" s="1633" t="s">
        <v>1327</v>
      </c>
      <c r="AS19" s="1633" t="s">
        <v>3121</v>
      </c>
    </row>
    <row r="20" spans="1:45" hidden="1">
      <c r="A20" s="1633" t="s">
        <v>3225</v>
      </c>
      <c r="B20" s="1633" t="s">
        <v>3092</v>
      </c>
      <c r="C20" s="1633" t="s">
        <v>3111</v>
      </c>
      <c r="D20" s="1633" t="s">
        <v>3094</v>
      </c>
      <c r="E20" s="1633" t="s">
        <v>1327</v>
      </c>
      <c r="F20" s="1633" t="s">
        <v>3225</v>
      </c>
      <c r="G20" s="1633" t="s">
        <v>3095</v>
      </c>
      <c r="H20" s="1633" t="s">
        <v>3226</v>
      </c>
      <c r="I20" s="1633" t="s">
        <v>3113</v>
      </c>
      <c r="J20" s="1633">
        <v>72394.600000000006</v>
      </c>
      <c r="K20" s="1633">
        <v>130305.2</v>
      </c>
      <c r="L20" s="1633" t="s">
        <v>3227</v>
      </c>
      <c r="M20" s="1633" t="s">
        <v>1327</v>
      </c>
      <c r="N20" s="1633" t="s">
        <v>3145</v>
      </c>
      <c r="O20" s="1633" t="s">
        <v>1327</v>
      </c>
      <c r="P20" s="1633" t="s">
        <v>1327</v>
      </c>
      <c r="Q20" s="1633" t="s">
        <v>1327</v>
      </c>
      <c r="R20" s="1633" t="s">
        <v>1327</v>
      </c>
      <c r="S20" s="1633" t="s">
        <v>1327</v>
      </c>
      <c r="T20" s="1633" t="s">
        <v>3100</v>
      </c>
      <c r="U20" s="1633" t="s">
        <v>3101</v>
      </c>
      <c r="V20" s="1633" t="s">
        <v>1327</v>
      </c>
      <c r="W20" s="1633" t="s">
        <v>3102</v>
      </c>
      <c r="X20" s="1633" t="s">
        <v>3228</v>
      </c>
      <c r="Y20" s="1633" t="s">
        <v>3221</v>
      </c>
      <c r="Z20" s="1633" t="s">
        <v>3229</v>
      </c>
      <c r="AA20" s="1633" t="s">
        <v>3229</v>
      </c>
      <c r="AB20" s="1633" t="s">
        <v>3226</v>
      </c>
      <c r="AC20" s="1633" t="s">
        <v>3106</v>
      </c>
      <c r="AD20" s="1633" t="s">
        <v>3230</v>
      </c>
      <c r="AE20" s="1633">
        <v>9140</v>
      </c>
      <c r="AF20" s="1633">
        <v>36490</v>
      </c>
      <c r="AG20" s="1633">
        <v>36490</v>
      </c>
      <c r="AH20" s="1633">
        <v>336.03</v>
      </c>
      <c r="AI20" s="1633">
        <v>336.03</v>
      </c>
      <c r="AJ20" s="1633">
        <v>2800.34</v>
      </c>
      <c r="AK20" s="1633">
        <v>2800.34</v>
      </c>
      <c r="AL20" s="1633" t="s">
        <v>1327</v>
      </c>
      <c r="AM20" s="1633" t="s">
        <v>1327</v>
      </c>
      <c r="AN20" s="1633">
        <v>0</v>
      </c>
      <c r="AO20" s="1633" t="s">
        <v>3140</v>
      </c>
      <c r="AP20" s="1633" t="s">
        <v>1327</v>
      </c>
      <c r="AQ20" s="1633" t="s">
        <v>1327</v>
      </c>
      <c r="AR20" s="1633" t="s">
        <v>1327</v>
      </c>
      <c r="AS20" s="1633" t="s">
        <v>3169</v>
      </c>
    </row>
    <row r="21" spans="1:45" hidden="1">
      <c r="A21" s="1633" t="s">
        <v>3231</v>
      </c>
      <c r="B21" s="1633" t="s">
        <v>3092</v>
      </c>
      <c r="C21" s="1633" t="s">
        <v>3111</v>
      </c>
      <c r="D21" s="1633" t="s">
        <v>3094</v>
      </c>
      <c r="E21" s="1633" t="s">
        <v>1327</v>
      </c>
      <c r="F21" s="1633" t="s">
        <v>3231</v>
      </c>
      <c r="G21" s="1633" t="s">
        <v>3095</v>
      </c>
      <c r="H21" s="1633" t="s">
        <v>3232</v>
      </c>
      <c r="I21" s="1633" t="s">
        <v>3113</v>
      </c>
      <c r="J21" s="1633">
        <v>34522.699999999997</v>
      </c>
      <c r="K21" s="1633">
        <v>51784.05</v>
      </c>
      <c r="L21" s="1633" t="s">
        <v>3152</v>
      </c>
      <c r="M21" s="1633" t="s">
        <v>1327</v>
      </c>
      <c r="N21" s="1633" t="s">
        <v>3134</v>
      </c>
      <c r="O21" s="1633" t="s">
        <v>3164</v>
      </c>
      <c r="P21" s="1633" t="s">
        <v>1327</v>
      </c>
      <c r="Q21" s="1633" t="s">
        <v>1327</v>
      </c>
      <c r="R21" s="1633" t="s">
        <v>1327</v>
      </c>
      <c r="S21" s="1633" t="s">
        <v>1327</v>
      </c>
      <c r="T21" s="1633" t="s">
        <v>3100</v>
      </c>
      <c r="U21" s="1633" t="s">
        <v>3101</v>
      </c>
      <c r="V21" s="1633" t="s">
        <v>1327</v>
      </c>
      <c r="W21" s="1633" t="s">
        <v>3102</v>
      </c>
      <c r="X21" s="1633" t="s">
        <v>3233</v>
      </c>
      <c r="Y21" s="1633" t="s">
        <v>3203</v>
      </c>
      <c r="Z21" s="1633" t="s">
        <v>3234</v>
      </c>
      <c r="AA21" s="1633" t="s">
        <v>3234</v>
      </c>
      <c r="AB21" s="1633" t="s">
        <v>3232</v>
      </c>
      <c r="AC21" s="1633" t="s">
        <v>3106</v>
      </c>
      <c r="AD21" s="1633" t="s">
        <v>3235</v>
      </c>
      <c r="AE21" s="1633">
        <v>26240</v>
      </c>
      <c r="AF21" s="1633">
        <v>26240</v>
      </c>
      <c r="AG21" s="1633">
        <v>26240</v>
      </c>
      <c r="AH21" s="1633">
        <v>506.72</v>
      </c>
      <c r="AI21" s="1633">
        <v>506.72</v>
      </c>
      <c r="AJ21" s="1633">
        <v>5067.1899999999996</v>
      </c>
      <c r="AK21" s="1633">
        <v>5067.1899999999996</v>
      </c>
      <c r="AL21" s="1633" t="s">
        <v>1327</v>
      </c>
      <c r="AM21" s="1633" t="s">
        <v>1327</v>
      </c>
      <c r="AN21" s="1633">
        <v>0</v>
      </c>
      <c r="AO21" s="1633" t="s">
        <v>3140</v>
      </c>
      <c r="AP21" s="1633" t="s">
        <v>1327</v>
      </c>
      <c r="AQ21" s="1633" t="s">
        <v>1327</v>
      </c>
      <c r="AR21" s="1633" t="s">
        <v>1327</v>
      </c>
      <c r="AS21" s="1633" t="s">
        <v>3169</v>
      </c>
    </row>
    <row r="22" spans="1:45" hidden="1">
      <c r="A22" s="1633" t="s">
        <v>3236</v>
      </c>
      <c r="B22" s="1633" t="s">
        <v>3092</v>
      </c>
      <c r="C22" s="1633" t="s">
        <v>3111</v>
      </c>
      <c r="D22" s="1633" t="s">
        <v>3094</v>
      </c>
      <c r="E22" s="1633" t="s">
        <v>1327</v>
      </c>
      <c r="F22" s="1633" t="s">
        <v>3236</v>
      </c>
      <c r="G22" s="1633" t="s">
        <v>3095</v>
      </c>
      <c r="H22" s="1633" t="s">
        <v>3237</v>
      </c>
      <c r="I22" s="1633" t="s">
        <v>3238</v>
      </c>
      <c r="J22" s="1633">
        <v>52334.8</v>
      </c>
      <c r="K22" s="1633">
        <v>109293.5</v>
      </c>
      <c r="L22" s="1633" t="s">
        <v>3239</v>
      </c>
      <c r="M22" s="1633" t="s">
        <v>1327</v>
      </c>
      <c r="N22" s="1633" t="s">
        <v>3240</v>
      </c>
      <c r="O22" s="1633" t="s">
        <v>3241</v>
      </c>
      <c r="P22" s="1633" t="s">
        <v>1327</v>
      </c>
      <c r="Q22" s="1633" t="s">
        <v>1327</v>
      </c>
      <c r="R22" s="1633" t="s">
        <v>1327</v>
      </c>
      <c r="S22" s="1633" t="s">
        <v>1327</v>
      </c>
      <c r="T22" s="1633" t="s">
        <v>3100</v>
      </c>
      <c r="U22" s="1633" t="s">
        <v>3101</v>
      </c>
      <c r="V22" s="1633" t="s">
        <v>1327</v>
      </c>
      <c r="W22" s="1633" t="s">
        <v>3102</v>
      </c>
      <c r="X22" s="1633" t="s">
        <v>3242</v>
      </c>
      <c r="Y22" s="1633" t="s">
        <v>3243</v>
      </c>
      <c r="Z22" s="1633" t="s">
        <v>3234</v>
      </c>
      <c r="AA22" s="1633" t="s">
        <v>3234</v>
      </c>
      <c r="AB22" s="1633" t="s">
        <v>3237</v>
      </c>
      <c r="AC22" s="1633" t="s">
        <v>3106</v>
      </c>
      <c r="AD22" s="1633" t="s">
        <v>3244</v>
      </c>
      <c r="AE22" s="1633">
        <v>33810</v>
      </c>
      <c r="AF22" s="1633">
        <v>67620</v>
      </c>
      <c r="AG22" s="1633">
        <v>75300</v>
      </c>
      <c r="AH22" s="1633">
        <v>861.38</v>
      </c>
      <c r="AI22" s="1633">
        <v>959.21</v>
      </c>
      <c r="AJ22" s="1633">
        <v>6187.01</v>
      </c>
      <c r="AK22" s="1633">
        <v>6889.71</v>
      </c>
      <c r="AL22" s="1633" t="s">
        <v>1327</v>
      </c>
      <c r="AM22" s="1633" t="s">
        <v>1327</v>
      </c>
      <c r="AN22" s="1633">
        <v>11.36</v>
      </c>
      <c r="AO22" s="1633" t="s">
        <v>3140</v>
      </c>
      <c r="AP22" s="1633" t="s">
        <v>1327</v>
      </c>
      <c r="AQ22" s="1633" t="s">
        <v>1327</v>
      </c>
      <c r="AR22" s="1633" t="s">
        <v>1327</v>
      </c>
      <c r="AS22" s="1633" t="s">
        <v>3192</v>
      </c>
    </row>
    <row r="23" spans="1:45" hidden="1">
      <c r="A23" s="1633" t="s">
        <v>3245</v>
      </c>
      <c r="B23" s="1633" t="s">
        <v>3092</v>
      </c>
      <c r="C23" s="1633" t="s">
        <v>3111</v>
      </c>
      <c r="D23" s="1633" t="s">
        <v>3094</v>
      </c>
      <c r="E23" s="1633" t="s">
        <v>1327</v>
      </c>
      <c r="F23" s="1633" t="s">
        <v>3245</v>
      </c>
      <c r="G23" s="1633" t="s">
        <v>3095</v>
      </c>
      <c r="H23" s="1633" t="s">
        <v>3246</v>
      </c>
      <c r="I23" s="1633" t="s">
        <v>3113</v>
      </c>
      <c r="J23" s="1633">
        <v>77211.899999999994</v>
      </c>
      <c r="K23" s="1633">
        <v>100372</v>
      </c>
      <c r="L23" s="1633" t="s">
        <v>3133</v>
      </c>
      <c r="M23" s="1633" t="s">
        <v>1327</v>
      </c>
      <c r="N23" s="1633" t="s">
        <v>3134</v>
      </c>
      <c r="O23" s="1633" t="s">
        <v>1327</v>
      </c>
      <c r="P23" s="1633" t="s">
        <v>1327</v>
      </c>
      <c r="Q23" s="1633" t="s">
        <v>1327</v>
      </c>
      <c r="R23" s="1633" t="s">
        <v>1327</v>
      </c>
      <c r="S23" s="1633" t="s">
        <v>1327</v>
      </c>
      <c r="T23" s="1633" t="s">
        <v>3100</v>
      </c>
      <c r="U23" s="1633" t="s">
        <v>3101</v>
      </c>
      <c r="V23" s="1633" t="s">
        <v>1327</v>
      </c>
      <c r="W23" s="1633" t="s">
        <v>3102</v>
      </c>
      <c r="X23" s="1633" t="s">
        <v>3247</v>
      </c>
      <c r="Y23" s="1633" t="s">
        <v>3248</v>
      </c>
      <c r="Z23" s="1633" t="s">
        <v>3249</v>
      </c>
      <c r="AA23" s="1633" t="s">
        <v>3249</v>
      </c>
      <c r="AB23" s="1633" t="s">
        <v>3246</v>
      </c>
      <c r="AC23" s="1633" t="s">
        <v>3106</v>
      </c>
      <c r="AD23" s="1633" t="s">
        <v>3250</v>
      </c>
      <c r="AE23" s="1633">
        <v>46810</v>
      </c>
      <c r="AF23" s="1633">
        <v>46810</v>
      </c>
      <c r="AG23" s="1633">
        <v>46810</v>
      </c>
      <c r="AH23" s="1633">
        <v>404.17</v>
      </c>
      <c r="AI23" s="1633">
        <v>404.17</v>
      </c>
      <c r="AJ23" s="1633">
        <v>4663.6499999999996</v>
      </c>
      <c r="AK23" s="1633">
        <v>4663.6400000000003</v>
      </c>
      <c r="AL23" s="1633" t="s">
        <v>1327</v>
      </c>
      <c r="AM23" s="1633" t="s">
        <v>1327</v>
      </c>
      <c r="AN23" s="1633">
        <v>0</v>
      </c>
      <c r="AO23" s="1633" t="s">
        <v>3120</v>
      </c>
      <c r="AP23" s="1633" t="s">
        <v>1327</v>
      </c>
      <c r="AQ23" s="1633" t="s">
        <v>1327</v>
      </c>
      <c r="AR23" s="1633" t="s">
        <v>1327</v>
      </c>
      <c r="AS23" s="1633" t="s">
        <v>3169</v>
      </c>
    </row>
    <row r="24" spans="1:45" hidden="1">
      <c r="A24" s="1633" t="s">
        <v>3251</v>
      </c>
      <c r="B24" s="1633" t="s">
        <v>3092</v>
      </c>
      <c r="C24" s="1633" t="s">
        <v>3111</v>
      </c>
      <c r="D24" s="1633" t="s">
        <v>3094</v>
      </c>
      <c r="E24" s="1633" t="s">
        <v>1327</v>
      </c>
      <c r="F24" s="1633" t="s">
        <v>3251</v>
      </c>
      <c r="G24" s="1633" t="s">
        <v>3095</v>
      </c>
      <c r="H24" s="1633" t="s">
        <v>3252</v>
      </c>
      <c r="I24" s="1633" t="s">
        <v>3253</v>
      </c>
      <c r="J24" s="1633">
        <v>50766.6</v>
      </c>
      <c r="K24" s="1633">
        <v>99806.52</v>
      </c>
      <c r="L24" s="1633" t="s">
        <v>3254</v>
      </c>
      <c r="M24" s="1633" t="s">
        <v>1327</v>
      </c>
      <c r="N24" s="1633" t="s">
        <v>3255</v>
      </c>
      <c r="O24" s="1633" t="s">
        <v>3256</v>
      </c>
      <c r="P24" s="1633" t="s">
        <v>1327</v>
      </c>
      <c r="Q24" s="1633" t="s">
        <v>1327</v>
      </c>
      <c r="R24" s="1633" t="s">
        <v>1327</v>
      </c>
      <c r="S24" s="1633" t="s">
        <v>1327</v>
      </c>
      <c r="T24" s="1633" t="s">
        <v>3100</v>
      </c>
      <c r="U24" s="1633" t="s">
        <v>3101</v>
      </c>
      <c r="V24" s="1633" t="s">
        <v>1327</v>
      </c>
      <c r="W24" s="1633" t="s">
        <v>3102</v>
      </c>
      <c r="X24" s="1633" t="s">
        <v>3257</v>
      </c>
      <c r="Y24" s="1633" t="s">
        <v>3242</v>
      </c>
      <c r="Z24" s="1633" t="s">
        <v>3258</v>
      </c>
      <c r="AA24" s="1633" t="s">
        <v>3258</v>
      </c>
      <c r="AB24" s="1633" t="s">
        <v>3252</v>
      </c>
      <c r="AC24" s="1633" t="s">
        <v>3106</v>
      </c>
      <c r="AD24" s="1633" t="s">
        <v>3259</v>
      </c>
      <c r="AE24" s="1633">
        <v>21550</v>
      </c>
      <c r="AF24" s="1633">
        <v>68130</v>
      </c>
      <c r="AG24" s="1633">
        <v>80100</v>
      </c>
      <c r="AH24" s="1633">
        <v>894.68</v>
      </c>
      <c r="AI24" s="1633">
        <v>1051.8699999999999</v>
      </c>
      <c r="AJ24" s="1633">
        <v>6826.2</v>
      </c>
      <c r="AK24" s="1633">
        <v>8025.52</v>
      </c>
      <c r="AL24" s="1633" t="s">
        <v>1327</v>
      </c>
      <c r="AM24" s="1633" t="s">
        <v>1327</v>
      </c>
      <c r="AN24" s="1633">
        <v>17.57</v>
      </c>
      <c r="AO24" s="1633" t="s">
        <v>3260</v>
      </c>
      <c r="AP24" s="1633" t="s">
        <v>1327</v>
      </c>
      <c r="AQ24" s="1633" t="s">
        <v>1327</v>
      </c>
      <c r="AR24" s="1633" t="s">
        <v>1327</v>
      </c>
      <c r="AS24" s="1633" t="s">
        <v>3121</v>
      </c>
    </row>
    <row r="25" spans="1:45" hidden="1">
      <c r="A25" s="1633" t="s">
        <v>3251</v>
      </c>
      <c r="B25" s="1633" t="s">
        <v>3092</v>
      </c>
      <c r="C25" s="1633" t="s">
        <v>3111</v>
      </c>
      <c r="D25" s="1633" t="s">
        <v>3094</v>
      </c>
      <c r="E25" s="1633" t="s">
        <v>1327</v>
      </c>
      <c r="F25" s="1633" t="s">
        <v>3251</v>
      </c>
      <c r="G25" s="1633" t="s">
        <v>3095</v>
      </c>
      <c r="H25" s="1633" t="s">
        <v>3261</v>
      </c>
      <c r="I25" s="1633" t="s">
        <v>3262</v>
      </c>
      <c r="J25" s="1633">
        <v>35202.699999999997</v>
      </c>
      <c r="K25" s="1633">
        <v>65580.3</v>
      </c>
      <c r="L25" s="1633" t="s">
        <v>3263</v>
      </c>
      <c r="M25" s="1633" t="s">
        <v>1327</v>
      </c>
      <c r="N25" s="1633" t="s">
        <v>3264</v>
      </c>
      <c r="O25" s="1633" t="s">
        <v>3265</v>
      </c>
      <c r="P25" s="1633" t="s">
        <v>1327</v>
      </c>
      <c r="Q25" s="1633" t="s">
        <v>1327</v>
      </c>
      <c r="R25" s="1633" t="s">
        <v>1327</v>
      </c>
      <c r="S25" s="1633" t="s">
        <v>1327</v>
      </c>
      <c r="T25" s="1633" t="s">
        <v>3100</v>
      </c>
      <c r="U25" s="1633" t="s">
        <v>3101</v>
      </c>
      <c r="V25" s="1633" t="s">
        <v>1327</v>
      </c>
      <c r="W25" s="1633" t="s">
        <v>3102</v>
      </c>
      <c r="X25" s="1633" t="s">
        <v>3266</v>
      </c>
      <c r="Y25" s="1633" t="s">
        <v>3267</v>
      </c>
      <c r="Z25" s="1633" t="s">
        <v>3268</v>
      </c>
      <c r="AA25" s="1633" t="s">
        <v>3268</v>
      </c>
      <c r="AB25" s="1633" t="s">
        <v>3261</v>
      </c>
      <c r="AC25" s="1633" t="s">
        <v>3106</v>
      </c>
      <c r="AD25" s="1633" t="s">
        <v>3269</v>
      </c>
      <c r="AE25" s="1633">
        <v>33220</v>
      </c>
      <c r="AF25" s="1633">
        <v>33220</v>
      </c>
      <c r="AG25" s="1633">
        <v>33220</v>
      </c>
      <c r="AH25" s="1633">
        <v>629.12</v>
      </c>
      <c r="AI25" s="1633">
        <v>629.12</v>
      </c>
      <c r="AJ25" s="1633">
        <v>5065.54</v>
      </c>
      <c r="AK25" s="1633">
        <v>5065.55</v>
      </c>
      <c r="AL25" s="1633" t="s">
        <v>1327</v>
      </c>
      <c r="AM25" s="1633" t="s">
        <v>1327</v>
      </c>
      <c r="AN25" s="1633">
        <v>0</v>
      </c>
      <c r="AO25" s="1633" t="s">
        <v>3270</v>
      </c>
      <c r="AP25" s="1633" t="s">
        <v>1327</v>
      </c>
      <c r="AQ25" s="1633" t="s">
        <v>1327</v>
      </c>
      <c r="AR25" s="1633" t="s">
        <v>1327</v>
      </c>
      <c r="AS25" s="1633" t="s">
        <v>3109</v>
      </c>
    </row>
    <row r="26" spans="1:45" hidden="1">
      <c r="A26" s="1633" t="s">
        <v>3251</v>
      </c>
      <c r="B26" s="1633" t="s">
        <v>3092</v>
      </c>
      <c r="C26" s="1633" t="s">
        <v>3111</v>
      </c>
      <c r="D26" s="1633" t="s">
        <v>3094</v>
      </c>
      <c r="E26" s="1633" t="s">
        <v>1327</v>
      </c>
      <c r="F26" s="1633" t="s">
        <v>3251</v>
      </c>
      <c r="G26" s="1633" t="s">
        <v>3095</v>
      </c>
      <c r="H26" s="1633" t="s">
        <v>3271</v>
      </c>
      <c r="I26" s="1633" t="s">
        <v>3272</v>
      </c>
      <c r="J26" s="1633">
        <v>37406</v>
      </c>
      <c r="K26" s="1633">
        <v>62562.25</v>
      </c>
      <c r="L26" s="1633" t="s">
        <v>3273</v>
      </c>
      <c r="M26" s="1633" t="s">
        <v>1327</v>
      </c>
      <c r="N26" s="1633" t="s">
        <v>3274</v>
      </c>
      <c r="O26" s="1633" t="s">
        <v>3275</v>
      </c>
      <c r="P26" s="1633" t="s">
        <v>1327</v>
      </c>
      <c r="Q26" s="1633" t="s">
        <v>1327</v>
      </c>
      <c r="R26" s="1633" t="s">
        <v>1327</v>
      </c>
      <c r="S26" s="1633" t="s">
        <v>1327</v>
      </c>
      <c r="T26" s="1633" t="s">
        <v>3100</v>
      </c>
      <c r="U26" s="1633" t="s">
        <v>3101</v>
      </c>
      <c r="V26" s="1633" t="s">
        <v>1327</v>
      </c>
      <c r="W26" s="1633" t="s">
        <v>3102</v>
      </c>
      <c r="X26" s="1633" t="s">
        <v>3266</v>
      </c>
      <c r="Y26" s="1633" t="s">
        <v>3267</v>
      </c>
      <c r="Z26" s="1633" t="s">
        <v>3268</v>
      </c>
      <c r="AA26" s="1633" t="s">
        <v>3268</v>
      </c>
      <c r="AB26" s="1633" t="s">
        <v>3271</v>
      </c>
      <c r="AC26" s="1633" t="s">
        <v>3106</v>
      </c>
      <c r="AD26" s="1633" t="s">
        <v>3269</v>
      </c>
      <c r="AE26" s="1633">
        <v>33070</v>
      </c>
      <c r="AF26" s="1633">
        <v>33070</v>
      </c>
      <c r="AG26" s="1633">
        <v>33070</v>
      </c>
      <c r="AH26" s="1633">
        <v>589.39</v>
      </c>
      <c r="AI26" s="1633">
        <v>589.39</v>
      </c>
      <c r="AJ26" s="1633">
        <v>5285.93</v>
      </c>
      <c r="AK26" s="1633">
        <v>5285.93</v>
      </c>
      <c r="AL26" s="1633" t="s">
        <v>1327</v>
      </c>
      <c r="AM26" s="1633" t="s">
        <v>1327</v>
      </c>
      <c r="AN26" s="1633">
        <v>0</v>
      </c>
      <c r="AO26" s="1633" t="s">
        <v>3276</v>
      </c>
      <c r="AP26" s="1633" t="s">
        <v>1327</v>
      </c>
      <c r="AQ26" s="1633" t="s">
        <v>1327</v>
      </c>
      <c r="AR26" s="1633" t="s">
        <v>1327</v>
      </c>
      <c r="AS26" s="1633" t="s">
        <v>3109</v>
      </c>
    </row>
    <row r="27" spans="1:45" hidden="1">
      <c r="A27" s="1633" t="s">
        <v>3277</v>
      </c>
      <c r="B27" s="1633" t="s">
        <v>3092</v>
      </c>
      <c r="C27" s="1633" t="s">
        <v>3111</v>
      </c>
      <c r="D27" s="1633" t="s">
        <v>3094</v>
      </c>
      <c r="E27" s="1633" t="s">
        <v>1327</v>
      </c>
      <c r="F27" s="1633" t="s">
        <v>3277</v>
      </c>
      <c r="G27" s="1633" t="s">
        <v>3095</v>
      </c>
      <c r="H27" s="1633" t="s">
        <v>3278</v>
      </c>
      <c r="I27" s="1633" t="s">
        <v>3113</v>
      </c>
      <c r="J27" s="1633">
        <v>19921.099999999999</v>
      </c>
      <c r="K27" s="1633">
        <v>51792.52</v>
      </c>
      <c r="L27" s="1633" t="s">
        <v>3279</v>
      </c>
      <c r="M27" s="1633" t="s">
        <v>1327</v>
      </c>
      <c r="N27" s="1633" t="s">
        <v>3153</v>
      </c>
      <c r="O27" s="1633" t="s">
        <v>3280</v>
      </c>
      <c r="P27" s="1633" t="s">
        <v>3281</v>
      </c>
      <c r="Q27" s="1633">
        <v>51792.52</v>
      </c>
      <c r="R27" s="1633">
        <v>51792.52</v>
      </c>
      <c r="S27" s="1633" t="s">
        <v>1327</v>
      </c>
      <c r="T27" s="1633" t="s">
        <v>3282</v>
      </c>
      <c r="U27" s="1633" t="s">
        <v>3282</v>
      </c>
      <c r="V27" s="1633" t="s">
        <v>1327</v>
      </c>
      <c r="W27" s="1633" t="s">
        <v>3102</v>
      </c>
      <c r="X27" s="1633" t="s">
        <v>3266</v>
      </c>
      <c r="Y27" s="1633" t="s">
        <v>3267</v>
      </c>
      <c r="Z27" s="1633" t="s">
        <v>3268</v>
      </c>
      <c r="AA27" s="1633" t="s">
        <v>3268</v>
      </c>
      <c r="AB27" s="1633" t="s">
        <v>3278</v>
      </c>
      <c r="AC27" s="1633" t="s">
        <v>3106</v>
      </c>
      <c r="AD27" s="1633" t="s">
        <v>3283</v>
      </c>
      <c r="AE27" s="1633">
        <v>12500</v>
      </c>
      <c r="AF27" s="1633">
        <v>20660</v>
      </c>
      <c r="AG27" s="1633">
        <v>20660</v>
      </c>
      <c r="AH27" s="1633">
        <v>691.39</v>
      </c>
      <c r="AI27" s="1633">
        <v>691.39</v>
      </c>
      <c r="AJ27" s="1633">
        <v>3988.99</v>
      </c>
      <c r="AK27" s="1633">
        <v>3988.98</v>
      </c>
      <c r="AL27" s="1633" t="s">
        <v>1327</v>
      </c>
      <c r="AM27" s="1633" t="s">
        <v>1327</v>
      </c>
      <c r="AN27" s="1633">
        <v>0</v>
      </c>
      <c r="AO27" s="1633" t="s">
        <v>3120</v>
      </c>
      <c r="AP27" s="1633" t="s">
        <v>1327</v>
      </c>
      <c r="AQ27" s="1633" t="s">
        <v>1327</v>
      </c>
      <c r="AR27" s="1633" t="s">
        <v>1327</v>
      </c>
      <c r="AS27" s="1633" t="s">
        <v>3109</v>
      </c>
    </row>
    <row r="28" spans="1:45" hidden="1">
      <c r="A28" s="1633" t="s">
        <v>3251</v>
      </c>
      <c r="B28" s="1633" t="s">
        <v>3092</v>
      </c>
      <c r="C28" s="1633" t="s">
        <v>3111</v>
      </c>
      <c r="D28" s="1633" t="s">
        <v>3094</v>
      </c>
      <c r="E28" s="1633" t="s">
        <v>1327</v>
      </c>
      <c r="F28" s="1633" t="s">
        <v>3251</v>
      </c>
      <c r="G28" s="1633" t="s">
        <v>3095</v>
      </c>
      <c r="H28" s="1633" t="s">
        <v>3284</v>
      </c>
      <c r="I28" s="1633" t="s">
        <v>3113</v>
      </c>
      <c r="J28" s="1633">
        <v>19012.400000000001</v>
      </c>
      <c r="K28" s="1633">
        <v>41825.519999999997</v>
      </c>
      <c r="L28" s="1633" t="s">
        <v>3285</v>
      </c>
      <c r="M28" s="1633" t="s">
        <v>1327</v>
      </c>
      <c r="N28" s="1633" t="s">
        <v>3115</v>
      </c>
      <c r="O28" s="1633" t="s">
        <v>1327</v>
      </c>
      <c r="P28" s="1633" t="s">
        <v>1327</v>
      </c>
      <c r="Q28" s="1633" t="s">
        <v>1327</v>
      </c>
      <c r="R28" s="1633" t="s">
        <v>1327</v>
      </c>
      <c r="S28" s="1633" t="s">
        <v>1327</v>
      </c>
      <c r="T28" s="1633" t="s">
        <v>3100</v>
      </c>
      <c r="U28" s="1633" t="s">
        <v>3101</v>
      </c>
      <c r="V28" s="1633" t="s">
        <v>1327</v>
      </c>
      <c r="W28" s="1633" t="s">
        <v>3102</v>
      </c>
      <c r="X28" s="1633" t="s">
        <v>3266</v>
      </c>
      <c r="Y28" s="1633" t="s">
        <v>3267</v>
      </c>
      <c r="Z28" s="1633" t="s">
        <v>3268</v>
      </c>
      <c r="AA28" s="1633" t="s">
        <v>3268</v>
      </c>
      <c r="AB28" s="1633" t="s">
        <v>3284</v>
      </c>
      <c r="AC28" s="1633" t="s">
        <v>3106</v>
      </c>
      <c r="AD28" s="1633" t="s">
        <v>3269</v>
      </c>
      <c r="AE28" s="1633">
        <v>21130</v>
      </c>
      <c r="AF28" s="1633">
        <v>21130</v>
      </c>
      <c r="AG28" s="1633">
        <v>21130</v>
      </c>
      <c r="AH28" s="1633">
        <v>740.92</v>
      </c>
      <c r="AI28" s="1633">
        <v>740.92</v>
      </c>
      <c r="AJ28" s="1633">
        <v>5051.93</v>
      </c>
      <c r="AK28" s="1633">
        <v>5051.93</v>
      </c>
      <c r="AL28" s="1633" t="s">
        <v>1327</v>
      </c>
      <c r="AM28" s="1633" t="s">
        <v>1327</v>
      </c>
      <c r="AN28" s="1633">
        <v>0</v>
      </c>
      <c r="AO28" s="1633" t="s">
        <v>3120</v>
      </c>
      <c r="AP28" s="1633" t="s">
        <v>1327</v>
      </c>
      <c r="AQ28" s="1633" t="s">
        <v>1327</v>
      </c>
      <c r="AR28" s="1633" t="s">
        <v>1327</v>
      </c>
      <c r="AS28" s="1633" t="s">
        <v>3109</v>
      </c>
    </row>
    <row r="29" spans="1:45" hidden="1">
      <c r="A29" s="1633" t="s">
        <v>3162</v>
      </c>
      <c r="B29" s="1633" t="s">
        <v>3092</v>
      </c>
      <c r="C29" s="1633" t="s">
        <v>3111</v>
      </c>
      <c r="D29" s="1633" t="s">
        <v>3094</v>
      </c>
      <c r="E29" s="1633" t="s">
        <v>1327</v>
      </c>
      <c r="F29" s="1633" t="s">
        <v>3162</v>
      </c>
      <c r="G29" s="1633" t="s">
        <v>3095</v>
      </c>
      <c r="H29" s="1633" t="s">
        <v>3286</v>
      </c>
      <c r="I29" s="1633" t="s">
        <v>3113</v>
      </c>
      <c r="J29" s="1633">
        <v>41595</v>
      </c>
      <c r="K29" s="1633">
        <v>62389.8</v>
      </c>
      <c r="L29" s="1633" t="s">
        <v>3152</v>
      </c>
      <c r="M29" s="1633" t="s">
        <v>1327</v>
      </c>
      <c r="N29" s="1633" t="s">
        <v>3134</v>
      </c>
      <c r="O29" s="1633" t="s">
        <v>3164</v>
      </c>
      <c r="P29" s="1633" t="s">
        <v>1327</v>
      </c>
      <c r="Q29" s="1633" t="s">
        <v>1327</v>
      </c>
      <c r="R29" s="1633" t="s">
        <v>1327</v>
      </c>
      <c r="S29" s="1633" t="s">
        <v>1327</v>
      </c>
      <c r="T29" s="1633" t="s">
        <v>3100</v>
      </c>
      <c r="U29" s="1633" t="s">
        <v>3101</v>
      </c>
      <c r="V29" s="1633" t="s">
        <v>1327</v>
      </c>
      <c r="W29" s="1633" t="s">
        <v>3102</v>
      </c>
      <c r="X29" s="1633" t="s">
        <v>3266</v>
      </c>
      <c r="Y29" s="1633" t="s">
        <v>3267</v>
      </c>
      <c r="Z29" s="1633" t="s">
        <v>3268</v>
      </c>
      <c r="AA29" s="1633" t="s">
        <v>3268</v>
      </c>
      <c r="AB29" s="1633" t="s">
        <v>3286</v>
      </c>
      <c r="AC29" s="1633" t="s">
        <v>3106</v>
      </c>
      <c r="AD29" s="1633" t="s">
        <v>3287</v>
      </c>
      <c r="AE29" s="1633">
        <v>9480</v>
      </c>
      <c r="AF29" s="1633">
        <v>31610</v>
      </c>
      <c r="AG29" s="1633">
        <v>33300</v>
      </c>
      <c r="AH29" s="1633">
        <v>506.63</v>
      </c>
      <c r="AI29" s="1633">
        <v>533.72</v>
      </c>
      <c r="AJ29" s="1633">
        <v>5066.53</v>
      </c>
      <c r="AK29" s="1633">
        <v>5337.4</v>
      </c>
      <c r="AL29" s="1633" t="s">
        <v>1327</v>
      </c>
      <c r="AM29" s="1633" t="s">
        <v>1327</v>
      </c>
      <c r="AN29" s="1633">
        <v>5.35</v>
      </c>
      <c r="AO29" s="1633" t="s">
        <v>3140</v>
      </c>
      <c r="AP29" s="1633" t="s">
        <v>1327</v>
      </c>
      <c r="AQ29" s="1633" t="s">
        <v>1327</v>
      </c>
      <c r="AR29" s="1633" t="s">
        <v>1327</v>
      </c>
      <c r="AS29" s="1633" t="s">
        <v>3169</v>
      </c>
    </row>
    <row r="30" spans="1:45" hidden="1">
      <c r="A30" s="1633" t="s">
        <v>3251</v>
      </c>
      <c r="B30" s="1633" t="s">
        <v>3092</v>
      </c>
      <c r="C30" s="1633" t="s">
        <v>3111</v>
      </c>
      <c r="D30" s="1633" t="s">
        <v>3094</v>
      </c>
      <c r="E30" s="1633" t="s">
        <v>1327</v>
      </c>
      <c r="F30" s="1633" t="s">
        <v>3251</v>
      </c>
      <c r="G30" s="1633" t="s">
        <v>3095</v>
      </c>
      <c r="H30" s="1633" t="s">
        <v>3288</v>
      </c>
      <c r="I30" s="1633" t="s">
        <v>3113</v>
      </c>
      <c r="J30" s="1633">
        <v>23679.200000000001</v>
      </c>
      <c r="K30" s="1633">
        <v>52091.16</v>
      </c>
      <c r="L30" s="1633" t="s">
        <v>3285</v>
      </c>
      <c r="M30" s="1633" t="s">
        <v>1327</v>
      </c>
      <c r="N30" s="1633" t="s">
        <v>3115</v>
      </c>
      <c r="O30" s="1633" t="s">
        <v>1327</v>
      </c>
      <c r="P30" s="1633" t="s">
        <v>1327</v>
      </c>
      <c r="Q30" s="1633" t="s">
        <v>1327</v>
      </c>
      <c r="R30" s="1633" t="s">
        <v>1327</v>
      </c>
      <c r="S30" s="1633" t="s">
        <v>1327</v>
      </c>
      <c r="T30" s="1633" t="s">
        <v>3100</v>
      </c>
      <c r="U30" s="1633" t="s">
        <v>3101</v>
      </c>
      <c r="V30" s="1633" t="s">
        <v>1327</v>
      </c>
      <c r="W30" s="1633" t="s">
        <v>3102</v>
      </c>
      <c r="X30" s="1633" t="s">
        <v>3266</v>
      </c>
      <c r="Y30" s="1633" t="s">
        <v>3267</v>
      </c>
      <c r="Z30" s="1633" t="s">
        <v>3268</v>
      </c>
      <c r="AA30" s="1633" t="s">
        <v>3268</v>
      </c>
      <c r="AB30" s="1633" t="s">
        <v>3288</v>
      </c>
      <c r="AC30" s="1633" t="s">
        <v>3106</v>
      </c>
      <c r="AD30" s="1633" t="s">
        <v>3269</v>
      </c>
      <c r="AE30" s="1633">
        <v>26300</v>
      </c>
      <c r="AF30" s="1633">
        <v>26300</v>
      </c>
      <c r="AG30" s="1633">
        <v>26300</v>
      </c>
      <c r="AH30" s="1633">
        <v>740.45</v>
      </c>
      <c r="AI30" s="1633">
        <v>740.45</v>
      </c>
      <c r="AJ30" s="1633">
        <v>5048.84</v>
      </c>
      <c r="AK30" s="1633">
        <v>5048.84</v>
      </c>
      <c r="AL30" s="1633" t="s">
        <v>1327</v>
      </c>
      <c r="AM30" s="1633" t="s">
        <v>1327</v>
      </c>
      <c r="AN30" s="1633">
        <v>0</v>
      </c>
      <c r="AO30" s="1633" t="s">
        <v>1327</v>
      </c>
      <c r="AP30" s="1633" t="s">
        <v>1327</v>
      </c>
      <c r="AQ30" s="1633" t="s">
        <v>1327</v>
      </c>
      <c r="AR30" s="1633" t="s">
        <v>1327</v>
      </c>
      <c r="AS30" s="1633" t="s">
        <v>3109</v>
      </c>
    </row>
    <row r="31" spans="1:45" hidden="1">
      <c r="A31" s="1633" t="s">
        <v>3289</v>
      </c>
      <c r="B31" s="1633" t="s">
        <v>3092</v>
      </c>
      <c r="C31" s="1633" t="s">
        <v>3111</v>
      </c>
      <c r="D31" s="1633" t="s">
        <v>3094</v>
      </c>
      <c r="E31" s="1633" t="s">
        <v>1327</v>
      </c>
      <c r="F31" s="1633" t="s">
        <v>3289</v>
      </c>
      <c r="G31" s="1633" t="s">
        <v>3095</v>
      </c>
      <c r="H31" s="1633" t="s">
        <v>3290</v>
      </c>
      <c r="I31" s="1633" t="s">
        <v>3113</v>
      </c>
      <c r="J31" s="1633">
        <v>36043.5</v>
      </c>
      <c r="K31" s="1633">
        <v>79292.179999999993</v>
      </c>
      <c r="L31" s="1633" t="s">
        <v>3285</v>
      </c>
      <c r="M31" s="1633" t="s">
        <v>1327</v>
      </c>
      <c r="N31" s="1633" t="s">
        <v>3134</v>
      </c>
      <c r="O31" s="1633" t="s">
        <v>3280</v>
      </c>
      <c r="P31" s="1633" t="s">
        <v>1327</v>
      </c>
      <c r="Q31" s="1633" t="s">
        <v>1327</v>
      </c>
      <c r="R31" s="1633" t="s">
        <v>1327</v>
      </c>
      <c r="S31" s="1633" t="s">
        <v>1327</v>
      </c>
      <c r="T31" s="1633" t="s">
        <v>3100</v>
      </c>
      <c r="U31" s="1633" t="s">
        <v>3101</v>
      </c>
      <c r="V31" s="1633" t="s">
        <v>1327</v>
      </c>
      <c r="W31" s="1633" t="s">
        <v>3102</v>
      </c>
      <c r="X31" s="1633" t="s">
        <v>3266</v>
      </c>
      <c r="Y31" s="1633" t="s">
        <v>3267</v>
      </c>
      <c r="Z31" s="1633" t="s">
        <v>3268</v>
      </c>
      <c r="AA31" s="1633" t="s">
        <v>3268</v>
      </c>
      <c r="AB31" s="1633" t="s">
        <v>3290</v>
      </c>
      <c r="AC31" s="1633" t="s">
        <v>3106</v>
      </c>
      <c r="AD31" s="1633" t="s">
        <v>3291</v>
      </c>
      <c r="AE31" s="1633">
        <v>18000</v>
      </c>
      <c r="AF31" s="1633">
        <v>36110</v>
      </c>
      <c r="AG31" s="1633">
        <v>36110</v>
      </c>
      <c r="AH31" s="1633">
        <v>667.9</v>
      </c>
      <c r="AI31" s="1633">
        <v>667.9</v>
      </c>
      <c r="AJ31" s="1633">
        <v>4554.04</v>
      </c>
      <c r="AK31" s="1633">
        <v>4554.03</v>
      </c>
      <c r="AL31" s="1633" t="s">
        <v>1327</v>
      </c>
      <c r="AM31" s="1633" t="s">
        <v>1327</v>
      </c>
      <c r="AN31" s="1633">
        <v>0</v>
      </c>
      <c r="AO31" s="1633" t="s">
        <v>1327</v>
      </c>
      <c r="AP31" s="1633" t="s">
        <v>1327</v>
      </c>
      <c r="AQ31" s="1633" t="s">
        <v>1327</v>
      </c>
      <c r="AR31" s="1633" t="s">
        <v>1327</v>
      </c>
      <c r="AS31" s="1633" t="s">
        <v>3109</v>
      </c>
    </row>
    <row r="32" spans="1:45" hidden="1">
      <c r="A32" s="1633" t="s">
        <v>3245</v>
      </c>
      <c r="B32" s="1633" t="s">
        <v>3092</v>
      </c>
      <c r="C32" s="1633" t="s">
        <v>3111</v>
      </c>
      <c r="D32" s="1633" t="s">
        <v>3094</v>
      </c>
      <c r="E32" s="1633" t="s">
        <v>1327</v>
      </c>
      <c r="F32" s="1633" t="s">
        <v>3245</v>
      </c>
      <c r="G32" s="1633" t="s">
        <v>3095</v>
      </c>
      <c r="H32" s="1633" t="s">
        <v>3292</v>
      </c>
      <c r="I32" s="1633" t="s">
        <v>3272</v>
      </c>
      <c r="J32" s="1633">
        <v>50500.3</v>
      </c>
      <c r="K32" s="1633">
        <v>68997.75</v>
      </c>
      <c r="L32" s="1633" t="s">
        <v>3293</v>
      </c>
      <c r="M32" s="1633" t="s">
        <v>1327</v>
      </c>
      <c r="N32" s="1633" t="s">
        <v>3294</v>
      </c>
      <c r="O32" s="1633" t="s">
        <v>1327</v>
      </c>
      <c r="P32" s="1633" t="s">
        <v>1327</v>
      </c>
      <c r="Q32" s="1633" t="s">
        <v>1327</v>
      </c>
      <c r="R32" s="1633" t="s">
        <v>1327</v>
      </c>
      <c r="S32" s="1633" t="s">
        <v>1327</v>
      </c>
      <c r="T32" s="1633" t="s">
        <v>3100</v>
      </c>
      <c r="U32" s="1633" t="s">
        <v>3101</v>
      </c>
      <c r="V32" s="1633" t="s">
        <v>1327</v>
      </c>
      <c r="W32" s="1633" t="s">
        <v>3102</v>
      </c>
      <c r="X32" s="1633" t="s">
        <v>3295</v>
      </c>
      <c r="Y32" s="1633" t="s">
        <v>3296</v>
      </c>
      <c r="Z32" s="1633" t="s">
        <v>3297</v>
      </c>
      <c r="AA32" s="1633" t="s">
        <v>3297</v>
      </c>
      <c r="AB32" s="1633" t="s">
        <v>3292</v>
      </c>
      <c r="AC32" s="1633" t="s">
        <v>3106</v>
      </c>
      <c r="AD32" s="1633" t="s">
        <v>3298</v>
      </c>
      <c r="AE32" s="1633">
        <v>30130</v>
      </c>
      <c r="AF32" s="1633">
        <v>30130</v>
      </c>
      <c r="AG32" s="1633">
        <v>30130</v>
      </c>
      <c r="AH32" s="1633">
        <v>397.75</v>
      </c>
      <c r="AI32" s="1633">
        <v>397.75</v>
      </c>
      <c r="AJ32" s="1633">
        <v>4366.8</v>
      </c>
      <c r="AK32" s="1633">
        <v>4366.8100000000004</v>
      </c>
      <c r="AL32" s="1633" t="s">
        <v>1327</v>
      </c>
      <c r="AM32" s="1633" t="s">
        <v>1327</v>
      </c>
      <c r="AN32" s="1633">
        <v>0</v>
      </c>
      <c r="AO32" s="1633" t="s">
        <v>3276</v>
      </c>
      <c r="AP32" s="1633" t="s">
        <v>1327</v>
      </c>
      <c r="AQ32" s="1633" t="s">
        <v>1327</v>
      </c>
      <c r="AR32" s="1633" t="s">
        <v>1327</v>
      </c>
      <c r="AS32" s="1633" t="s">
        <v>3169</v>
      </c>
    </row>
    <row r="33" spans="1:45" hidden="1">
      <c r="A33" s="1633" t="s">
        <v>3245</v>
      </c>
      <c r="B33" s="1633" t="s">
        <v>3092</v>
      </c>
      <c r="C33" s="1633" t="s">
        <v>3111</v>
      </c>
      <c r="D33" s="1633" t="s">
        <v>3094</v>
      </c>
      <c r="E33" s="1633" t="s">
        <v>1327</v>
      </c>
      <c r="F33" s="1633" t="s">
        <v>3245</v>
      </c>
      <c r="G33" s="1633" t="s">
        <v>3095</v>
      </c>
      <c r="H33" s="1633" t="s">
        <v>3299</v>
      </c>
      <c r="I33" s="1633" t="s">
        <v>3113</v>
      </c>
      <c r="J33" s="1633">
        <v>40543.699999999997</v>
      </c>
      <c r="K33" s="1633">
        <v>60813</v>
      </c>
      <c r="L33" s="1633" t="s">
        <v>3152</v>
      </c>
      <c r="M33" s="1633" t="s">
        <v>1327</v>
      </c>
      <c r="N33" s="1633" t="s">
        <v>3134</v>
      </c>
      <c r="O33" s="1633" t="s">
        <v>1327</v>
      </c>
      <c r="P33" s="1633" t="s">
        <v>1327</v>
      </c>
      <c r="Q33" s="1633" t="s">
        <v>1327</v>
      </c>
      <c r="R33" s="1633" t="s">
        <v>1327</v>
      </c>
      <c r="S33" s="1633" t="s">
        <v>1327</v>
      </c>
      <c r="T33" s="1633" t="s">
        <v>3100</v>
      </c>
      <c r="U33" s="1633" t="s">
        <v>3101</v>
      </c>
      <c r="V33" s="1633" t="s">
        <v>1327</v>
      </c>
      <c r="W33" s="1633" t="s">
        <v>3102</v>
      </c>
      <c r="X33" s="1633" t="s">
        <v>3295</v>
      </c>
      <c r="Y33" s="1633" t="s">
        <v>3296</v>
      </c>
      <c r="Z33" s="1633" t="s">
        <v>3297</v>
      </c>
      <c r="AA33" s="1633" t="s">
        <v>3297</v>
      </c>
      <c r="AB33" s="1633" t="s">
        <v>3299</v>
      </c>
      <c r="AC33" s="1633" t="s">
        <v>3106</v>
      </c>
      <c r="AD33" s="1633" t="s">
        <v>3300</v>
      </c>
      <c r="AE33" s="1633">
        <v>25550</v>
      </c>
      <c r="AF33" s="1633">
        <v>25550</v>
      </c>
      <c r="AG33" s="1633">
        <v>25550</v>
      </c>
      <c r="AH33" s="1633">
        <v>420.12</v>
      </c>
      <c r="AI33" s="1633">
        <v>420.12</v>
      </c>
      <c r="AJ33" s="1633">
        <v>4201.3999999999996</v>
      </c>
      <c r="AK33" s="1633">
        <v>4201.3900000000003</v>
      </c>
      <c r="AL33" s="1633" t="s">
        <v>1327</v>
      </c>
      <c r="AM33" s="1633" t="s">
        <v>1327</v>
      </c>
      <c r="AN33" s="1633">
        <v>0</v>
      </c>
      <c r="AO33" s="1633" t="s">
        <v>3140</v>
      </c>
      <c r="AP33" s="1633" t="s">
        <v>1327</v>
      </c>
      <c r="AQ33" s="1633" t="s">
        <v>1327</v>
      </c>
      <c r="AR33" s="1633" t="s">
        <v>1327</v>
      </c>
      <c r="AS33" s="1633" t="s">
        <v>3169</v>
      </c>
    </row>
    <row r="34" spans="1:45" hidden="1">
      <c r="A34" s="1633" t="s">
        <v>3245</v>
      </c>
      <c r="B34" s="1633" t="s">
        <v>3092</v>
      </c>
      <c r="C34" s="1633" t="s">
        <v>3111</v>
      </c>
      <c r="D34" s="1633" t="s">
        <v>3094</v>
      </c>
      <c r="E34" s="1633" t="s">
        <v>1327</v>
      </c>
      <c r="F34" s="1633" t="s">
        <v>3245</v>
      </c>
      <c r="G34" s="1633" t="s">
        <v>3095</v>
      </c>
      <c r="H34" s="1633" t="s">
        <v>3301</v>
      </c>
      <c r="I34" s="1633" t="s">
        <v>3272</v>
      </c>
      <c r="J34" s="1633">
        <v>56232.4</v>
      </c>
      <c r="K34" s="1633">
        <v>67249.649999999994</v>
      </c>
      <c r="L34" s="1633" t="s">
        <v>3302</v>
      </c>
      <c r="M34" s="1633" t="s">
        <v>1327</v>
      </c>
      <c r="N34" s="1633" t="s">
        <v>3294</v>
      </c>
      <c r="O34" s="1633" t="s">
        <v>1327</v>
      </c>
      <c r="P34" s="1633" t="s">
        <v>1327</v>
      </c>
      <c r="Q34" s="1633" t="s">
        <v>1327</v>
      </c>
      <c r="R34" s="1633" t="s">
        <v>1327</v>
      </c>
      <c r="S34" s="1633" t="s">
        <v>1327</v>
      </c>
      <c r="T34" s="1633" t="s">
        <v>3100</v>
      </c>
      <c r="U34" s="1633" t="s">
        <v>3101</v>
      </c>
      <c r="V34" s="1633" t="s">
        <v>1327</v>
      </c>
      <c r="W34" s="1633" t="s">
        <v>3102</v>
      </c>
      <c r="X34" s="1633" t="s">
        <v>3295</v>
      </c>
      <c r="Y34" s="1633" t="s">
        <v>3296</v>
      </c>
      <c r="Z34" s="1633" t="s">
        <v>3297</v>
      </c>
      <c r="AA34" s="1633" t="s">
        <v>3297</v>
      </c>
      <c r="AB34" s="1633" t="s">
        <v>3301</v>
      </c>
      <c r="AC34" s="1633" t="s">
        <v>3106</v>
      </c>
      <c r="AD34" s="1633" t="s">
        <v>3300</v>
      </c>
      <c r="AE34" s="1633">
        <v>31480</v>
      </c>
      <c r="AF34" s="1633">
        <v>31480</v>
      </c>
      <c r="AG34" s="1633">
        <v>31480</v>
      </c>
      <c r="AH34" s="1633">
        <v>373.21</v>
      </c>
      <c r="AI34" s="1633">
        <v>373.21</v>
      </c>
      <c r="AJ34" s="1633">
        <v>4681.0600000000004</v>
      </c>
      <c r="AK34" s="1633">
        <v>4681.0600000000004</v>
      </c>
      <c r="AL34" s="1633" t="s">
        <v>1327</v>
      </c>
      <c r="AM34" s="1633" t="s">
        <v>1327</v>
      </c>
      <c r="AN34" s="1633">
        <v>0</v>
      </c>
      <c r="AO34" s="1633" t="s">
        <v>3276</v>
      </c>
      <c r="AP34" s="1633" t="s">
        <v>1327</v>
      </c>
      <c r="AQ34" s="1633" t="s">
        <v>1327</v>
      </c>
      <c r="AR34" s="1633" t="s">
        <v>1327</v>
      </c>
      <c r="AS34" s="1633" t="s">
        <v>3169</v>
      </c>
    </row>
    <row r="35" spans="1:45" hidden="1">
      <c r="A35" s="1633" t="s">
        <v>3245</v>
      </c>
      <c r="B35" s="1633" t="s">
        <v>3092</v>
      </c>
      <c r="C35" s="1633" t="s">
        <v>3111</v>
      </c>
      <c r="D35" s="1633" t="s">
        <v>3094</v>
      </c>
      <c r="E35" s="1633" t="s">
        <v>1327</v>
      </c>
      <c r="F35" s="1633" t="s">
        <v>3245</v>
      </c>
      <c r="G35" s="1633" t="s">
        <v>3095</v>
      </c>
      <c r="H35" s="1633" t="s">
        <v>3303</v>
      </c>
      <c r="I35" s="1633" t="s">
        <v>3113</v>
      </c>
      <c r="J35" s="1633">
        <v>94898.5</v>
      </c>
      <c r="K35" s="1633">
        <v>123363</v>
      </c>
      <c r="L35" s="1633" t="s">
        <v>3133</v>
      </c>
      <c r="M35" s="1633" t="s">
        <v>1327</v>
      </c>
      <c r="N35" s="1633" t="s">
        <v>3134</v>
      </c>
      <c r="O35" s="1633" t="s">
        <v>1327</v>
      </c>
      <c r="P35" s="1633" t="s">
        <v>1327</v>
      </c>
      <c r="Q35" s="1633" t="s">
        <v>1327</v>
      </c>
      <c r="R35" s="1633" t="s">
        <v>1327</v>
      </c>
      <c r="S35" s="1633" t="s">
        <v>1327</v>
      </c>
      <c r="T35" s="1633" t="s">
        <v>3100</v>
      </c>
      <c r="U35" s="1633" t="s">
        <v>3101</v>
      </c>
      <c r="V35" s="1633" t="s">
        <v>1327</v>
      </c>
      <c r="W35" s="1633" t="s">
        <v>3102</v>
      </c>
      <c r="X35" s="1633" t="s">
        <v>3295</v>
      </c>
      <c r="Y35" s="1633" t="s">
        <v>3296</v>
      </c>
      <c r="Z35" s="1633" t="s">
        <v>3297</v>
      </c>
      <c r="AA35" s="1633" t="s">
        <v>3297</v>
      </c>
      <c r="AB35" s="1633" t="s">
        <v>3303</v>
      </c>
      <c r="AC35" s="1633" t="s">
        <v>3106</v>
      </c>
      <c r="AD35" s="1633" t="s">
        <v>3304</v>
      </c>
      <c r="AE35" s="1633">
        <v>57660</v>
      </c>
      <c r="AF35" s="1633">
        <v>57660</v>
      </c>
      <c r="AG35" s="1633">
        <v>57660</v>
      </c>
      <c r="AH35" s="1633">
        <v>405.06</v>
      </c>
      <c r="AI35" s="1633">
        <v>405.06</v>
      </c>
      <c r="AJ35" s="1633">
        <v>4674.01</v>
      </c>
      <c r="AK35" s="1633">
        <v>4674.01</v>
      </c>
      <c r="AL35" s="1633" t="s">
        <v>1327</v>
      </c>
      <c r="AM35" s="1633" t="s">
        <v>1327</v>
      </c>
      <c r="AN35" s="1633">
        <v>0</v>
      </c>
      <c r="AO35" s="1633" t="s">
        <v>3140</v>
      </c>
      <c r="AP35" s="1633" t="s">
        <v>1327</v>
      </c>
      <c r="AQ35" s="1633" t="s">
        <v>1327</v>
      </c>
      <c r="AR35" s="1633" t="s">
        <v>1327</v>
      </c>
      <c r="AS35" s="1633" t="s">
        <v>3169</v>
      </c>
    </row>
    <row r="36" spans="1:45" hidden="1">
      <c r="A36" s="1633" t="s">
        <v>3245</v>
      </c>
      <c r="B36" s="1633" t="s">
        <v>3092</v>
      </c>
      <c r="C36" s="1633" t="s">
        <v>3111</v>
      </c>
      <c r="D36" s="1633" t="s">
        <v>3094</v>
      </c>
      <c r="E36" s="1633" t="s">
        <v>1327</v>
      </c>
      <c r="F36" s="1633" t="s">
        <v>3245</v>
      </c>
      <c r="G36" s="1633" t="s">
        <v>3095</v>
      </c>
      <c r="H36" s="1633" t="s">
        <v>3305</v>
      </c>
      <c r="I36" s="1633" t="s">
        <v>3113</v>
      </c>
      <c r="J36" s="1633">
        <v>47045.8</v>
      </c>
      <c r="K36" s="1633">
        <v>70566</v>
      </c>
      <c r="L36" s="1633" t="s">
        <v>3152</v>
      </c>
      <c r="M36" s="1633" t="s">
        <v>1327</v>
      </c>
      <c r="N36" s="1633" t="s">
        <v>3134</v>
      </c>
      <c r="O36" s="1633" t="s">
        <v>1327</v>
      </c>
      <c r="P36" s="1633" t="s">
        <v>1327</v>
      </c>
      <c r="Q36" s="1633" t="s">
        <v>1327</v>
      </c>
      <c r="R36" s="1633" t="s">
        <v>1327</v>
      </c>
      <c r="S36" s="1633" t="s">
        <v>1327</v>
      </c>
      <c r="T36" s="1633" t="s">
        <v>3100</v>
      </c>
      <c r="U36" s="1633" t="s">
        <v>3101</v>
      </c>
      <c r="V36" s="1633" t="s">
        <v>1327</v>
      </c>
      <c r="W36" s="1633" t="s">
        <v>3102</v>
      </c>
      <c r="X36" s="1633" t="s">
        <v>3295</v>
      </c>
      <c r="Y36" s="1633" t="s">
        <v>3296</v>
      </c>
      <c r="Z36" s="1633" t="s">
        <v>3297</v>
      </c>
      <c r="AA36" s="1633" t="s">
        <v>3297</v>
      </c>
      <c r="AB36" s="1633" t="s">
        <v>3305</v>
      </c>
      <c r="AC36" s="1633" t="s">
        <v>3106</v>
      </c>
      <c r="AD36" s="1633" t="s">
        <v>3298</v>
      </c>
      <c r="AE36" s="1633">
        <v>29760</v>
      </c>
      <c r="AF36" s="1633">
        <v>29760</v>
      </c>
      <c r="AG36" s="1633">
        <v>29760</v>
      </c>
      <c r="AH36" s="1633">
        <v>421.72</v>
      </c>
      <c r="AI36" s="1633">
        <v>421.72</v>
      </c>
      <c r="AJ36" s="1633">
        <v>4217.32</v>
      </c>
      <c r="AK36" s="1633">
        <v>4217.32</v>
      </c>
      <c r="AL36" s="1633" t="s">
        <v>1327</v>
      </c>
      <c r="AM36" s="1633" t="s">
        <v>1327</v>
      </c>
      <c r="AN36" s="1633">
        <v>0</v>
      </c>
      <c r="AO36" s="1633" t="s">
        <v>3140</v>
      </c>
      <c r="AP36" s="1633" t="s">
        <v>1327</v>
      </c>
      <c r="AQ36" s="1633" t="s">
        <v>1327</v>
      </c>
      <c r="AR36" s="1633" t="s">
        <v>1327</v>
      </c>
      <c r="AS36" s="1633" t="s">
        <v>3169</v>
      </c>
    </row>
    <row r="37" spans="1:45" hidden="1">
      <c r="A37" s="1633" t="s">
        <v>3245</v>
      </c>
      <c r="B37" s="1633" t="s">
        <v>3092</v>
      </c>
      <c r="C37" s="1633" t="s">
        <v>3111</v>
      </c>
      <c r="D37" s="1633" t="s">
        <v>3094</v>
      </c>
      <c r="E37" s="1633" t="s">
        <v>1327</v>
      </c>
      <c r="F37" s="1633" t="s">
        <v>3245</v>
      </c>
      <c r="G37" s="1633" t="s">
        <v>3095</v>
      </c>
      <c r="H37" s="1633" t="s">
        <v>3306</v>
      </c>
      <c r="I37" s="1633" t="s">
        <v>3120</v>
      </c>
      <c r="J37" s="1633">
        <v>50758.3</v>
      </c>
      <c r="K37" s="1633">
        <v>71059.100000000006</v>
      </c>
      <c r="L37" s="1633" t="s">
        <v>3307</v>
      </c>
      <c r="M37" s="1633" t="s">
        <v>1327</v>
      </c>
      <c r="N37" s="1633" t="s">
        <v>3134</v>
      </c>
      <c r="O37" s="1633" t="s">
        <v>1327</v>
      </c>
      <c r="P37" s="1633" t="s">
        <v>1327</v>
      </c>
      <c r="Q37" s="1633" t="s">
        <v>1327</v>
      </c>
      <c r="R37" s="1633" t="s">
        <v>1327</v>
      </c>
      <c r="S37" s="1633" t="s">
        <v>1327</v>
      </c>
      <c r="T37" s="1633" t="s">
        <v>3100</v>
      </c>
      <c r="U37" s="1633" t="s">
        <v>3101</v>
      </c>
      <c r="V37" s="1633" t="s">
        <v>1327</v>
      </c>
      <c r="W37" s="1633" t="s">
        <v>3102</v>
      </c>
      <c r="X37" s="1633" t="s">
        <v>3295</v>
      </c>
      <c r="Y37" s="1633" t="s">
        <v>3296</v>
      </c>
      <c r="Z37" s="1633" t="s">
        <v>3297</v>
      </c>
      <c r="AA37" s="1633" t="s">
        <v>3297</v>
      </c>
      <c r="AB37" s="1633" t="s">
        <v>3306</v>
      </c>
      <c r="AC37" s="1633" t="s">
        <v>3106</v>
      </c>
      <c r="AD37" s="1633" t="s">
        <v>3298</v>
      </c>
      <c r="AE37" s="1633">
        <v>31840</v>
      </c>
      <c r="AF37" s="1633">
        <v>31840</v>
      </c>
      <c r="AG37" s="1633">
        <v>31840</v>
      </c>
      <c r="AH37" s="1633">
        <v>418.19</v>
      </c>
      <c r="AI37" s="1633">
        <v>418.19</v>
      </c>
      <c r="AJ37" s="1633">
        <v>4480.7700000000004</v>
      </c>
      <c r="AK37" s="1633">
        <v>4480.7700000000004</v>
      </c>
      <c r="AL37" s="1633" t="s">
        <v>1327</v>
      </c>
      <c r="AM37" s="1633" t="s">
        <v>1327</v>
      </c>
      <c r="AN37" s="1633">
        <v>0</v>
      </c>
      <c r="AO37" s="1633" t="s">
        <v>3120</v>
      </c>
      <c r="AP37" s="1633" t="s">
        <v>1327</v>
      </c>
      <c r="AQ37" s="1633" t="s">
        <v>1327</v>
      </c>
      <c r="AR37" s="1633" t="s">
        <v>1327</v>
      </c>
      <c r="AS37" s="1633" t="s">
        <v>3169</v>
      </c>
    </row>
    <row r="38" spans="1:45" hidden="1">
      <c r="A38" s="1633" t="s">
        <v>3245</v>
      </c>
      <c r="B38" s="1633" t="s">
        <v>3092</v>
      </c>
      <c r="C38" s="1633" t="s">
        <v>3111</v>
      </c>
      <c r="D38" s="1633" t="s">
        <v>3094</v>
      </c>
      <c r="E38" s="1633" t="s">
        <v>1327</v>
      </c>
      <c r="F38" s="1633" t="s">
        <v>3245</v>
      </c>
      <c r="G38" s="1633" t="s">
        <v>3095</v>
      </c>
      <c r="H38" s="1633" t="s">
        <v>3308</v>
      </c>
      <c r="I38" s="1633" t="s">
        <v>3113</v>
      </c>
      <c r="J38" s="1633">
        <v>65418.9</v>
      </c>
      <c r="K38" s="1633">
        <v>98124</v>
      </c>
      <c r="L38" s="1633" t="s">
        <v>3152</v>
      </c>
      <c r="M38" s="1633" t="s">
        <v>1327</v>
      </c>
      <c r="N38" s="1633" t="s">
        <v>3134</v>
      </c>
      <c r="O38" s="1633" t="s">
        <v>1327</v>
      </c>
      <c r="P38" s="1633" t="s">
        <v>1327</v>
      </c>
      <c r="Q38" s="1633" t="s">
        <v>1327</v>
      </c>
      <c r="R38" s="1633" t="s">
        <v>1327</v>
      </c>
      <c r="S38" s="1633" t="s">
        <v>1327</v>
      </c>
      <c r="T38" s="1633" t="s">
        <v>3100</v>
      </c>
      <c r="U38" s="1633" t="s">
        <v>3101</v>
      </c>
      <c r="V38" s="1633" t="s">
        <v>1327</v>
      </c>
      <c r="W38" s="1633" t="s">
        <v>3102</v>
      </c>
      <c r="X38" s="1633" t="s">
        <v>3295</v>
      </c>
      <c r="Y38" s="1633" t="s">
        <v>3296</v>
      </c>
      <c r="Z38" s="1633" t="s">
        <v>3297</v>
      </c>
      <c r="AA38" s="1633" t="s">
        <v>3297</v>
      </c>
      <c r="AB38" s="1633" t="s">
        <v>3308</v>
      </c>
      <c r="AC38" s="1633" t="s">
        <v>3106</v>
      </c>
      <c r="AD38" s="1633" t="s">
        <v>3304</v>
      </c>
      <c r="AE38" s="1633">
        <v>41650</v>
      </c>
      <c r="AF38" s="1633">
        <v>41650</v>
      </c>
      <c r="AG38" s="1633">
        <v>41650</v>
      </c>
      <c r="AH38" s="1633">
        <v>424.44</v>
      </c>
      <c r="AI38" s="1633">
        <v>424.44</v>
      </c>
      <c r="AJ38" s="1633">
        <v>4244.62</v>
      </c>
      <c r="AK38" s="1633">
        <v>4244.63</v>
      </c>
      <c r="AL38" s="1633" t="s">
        <v>1327</v>
      </c>
      <c r="AM38" s="1633" t="s">
        <v>1327</v>
      </c>
      <c r="AN38" s="1633">
        <v>0</v>
      </c>
      <c r="AO38" s="1633" t="s">
        <v>3140</v>
      </c>
      <c r="AP38" s="1633" t="s">
        <v>1327</v>
      </c>
      <c r="AQ38" s="1633" t="s">
        <v>1327</v>
      </c>
      <c r="AR38" s="1633" t="s">
        <v>1327</v>
      </c>
      <c r="AS38" s="1633" t="s">
        <v>3169</v>
      </c>
    </row>
    <row r="39" spans="1:45">
      <c r="A39" s="1633" t="s">
        <v>3309</v>
      </c>
      <c r="B39" s="1633" t="s">
        <v>3092</v>
      </c>
      <c r="C39" s="1633" t="s">
        <v>3093</v>
      </c>
      <c r="D39" s="1633" t="s">
        <v>3094</v>
      </c>
      <c r="E39" s="1633" t="s">
        <v>1327</v>
      </c>
      <c r="F39" s="1633" t="s">
        <v>3309</v>
      </c>
      <c r="G39" s="1633" t="s">
        <v>3095</v>
      </c>
      <c r="H39" s="1633" t="s">
        <v>3310</v>
      </c>
      <c r="I39" s="1633" t="s">
        <v>3097</v>
      </c>
      <c r="J39" s="1633">
        <v>109685.7</v>
      </c>
      <c r="K39" s="1633">
        <v>87748.56</v>
      </c>
      <c r="L39" s="1633" t="s">
        <v>3311</v>
      </c>
      <c r="M39" s="1633" t="s">
        <v>1327</v>
      </c>
      <c r="N39" s="1633" t="s">
        <v>3312</v>
      </c>
      <c r="O39" s="1633" t="s">
        <v>3146</v>
      </c>
      <c r="P39" s="1633" t="s">
        <v>1327</v>
      </c>
      <c r="Q39" s="1633" t="s">
        <v>1327</v>
      </c>
      <c r="R39" s="1633" t="s">
        <v>1327</v>
      </c>
      <c r="S39" s="1633" t="s">
        <v>1327</v>
      </c>
      <c r="T39" s="1633" t="s">
        <v>3100</v>
      </c>
      <c r="U39" s="1633" t="s">
        <v>3101</v>
      </c>
      <c r="V39" s="1633" t="s">
        <v>1327</v>
      </c>
      <c r="W39" s="1633" t="s">
        <v>3313</v>
      </c>
      <c r="X39" s="1633" t="s">
        <v>3314</v>
      </c>
      <c r="Y39" s="1633" t="s">
        <v>3315</v>
      </c>
      <c r="Z39" s="1633" t="s">
        <v>3316</v>
      </c>
      <c r="AA39" s="1633" t="s">
        <v>3316</v>
      </c>
      <c r="AB39" s="1633" t="s">
        <v>3310</v>
      </c>
      <c r="AC39" s="1633" t="s">
        <v>3106</v>
      </c>
      <c r="AD39" s="1633" t="s">
        <v>3317</v>
      </c>
      <c r="AE39" s="1633">
        <v>32100</v>
      </c>
      <c r="AF39" s="1633">
        <v>107000</v>
      </c>
      <c r="AG39" s="1633">
        <v>107000</v>
      </c>
      <c r="AH39" s="1633">
        <v>650.34</v>
      </c>
      <c r="AI39" s="1633">
        <v>650.34</v>
      </c>
      <c r="AJ39" s="1633">
        <v>12193.93</v>
      </c>
      <c r="AK39" s="1633">
        <v>12193.93</v>
      </c>
      <c r="AL39" s="1633" t="s">
        <v>1327</v>
      </c>
      <c r="AM39" s="1633" t="s">
        <v>1327</v>
      </c>
      <c r="AN39" s="1633">
        <v>0</v>
      </c>
      <c r="AO39" s="1633" t="s">
        <v>3108</v>
      </c>
      <c r="AP39" s="1633" t="s">
        <v>1327</v>
      </c>
      <c r="AQ39" s="1633" t="s">
        <v>1327</v>
      </c>
      <c r="AR39" s="1633" t="s">
        <v>1327</v>
      </c>
      <c r="AS39" s="1633" t="s">
        <v>3109</v>
      </c>
    </row>
    <row r="40" spans="1:45" hidden="1">
      <c r="A40" s="1633" t="s">
        <v>3193</v>
      </c>
      <c r="B40" s="1633" t="s">
        <v>3092</v>
      </c>
      <c r="C40" s="1633" t="s">
        <v>3111</v>
      </c>
      <c r="D40" s="1633" t="s">
        <v>3094</v>
      </c>
      <c r="E40" s="1633" t="s">
        <v>1327</v>
      </c>
      <c r="F40" s="1633" t="s">
        <v>3193</v>
      </c>
      <c r="G40" s="1633" t="s">
        <v>3095</v>
      </c>
      <c r="H40" s="1633" t="s">
        <v>3318</v>
      </c>
      <c r="I40" s="1633" t="s">
        <v>3113</v>
      </c>
      <c r="J40" s="1633">
        <v>37280.1</v>
      </c>
      <c r="K40" s="1633">
        <v>55920.15</v>
      </c>
      <c r="L40" s="1633" t="s">
        <v>3319</v>
      </c>
      <c r="M40" s="1633" t="s">
        <v>1327</v>
      </c>
      <c r="N40" s="1633" t="s">
        <v>3320</v>
      </c>
      <c r="O40" s="1633" t="s">
        <v>3321</v>
      </c>
      <c r="P40" s="1633" t="s">
        <v>1327</v>
      </c>
      <c r="Q40" s="1633" t="s">
        <v>1327</v>
      </c>
      <c r="R40" s="1633" t="s">
        <v>1327</v>
      </c>
      <c r="S40" s="1633" t="s">
        <v>1327</v>
      </c>
      <c r="T40" s="1633" t="s">
        <v>1327</v>
      </c>
      <c r="U40" s="1633" t="s">
        <v>1327</v>
      </c>
      <c r="V40" s="1633" t="s">
        <v>1327</v>
      </c>
      <c r="W40" s="1633" t="s">
        <v>3313</v>
      </c>
      <c r="X40" s="1633" t="s">
        <v>3322</v>
      </c>
      <c r="Y40" s="1633" t="s">
        <v>3323</v>
      </c>
      <c r="Z40" s="1633" t="s">
        <v>3324</v>
      </c>
      <c r="AA40" s="1633" t="s">
        <v>3324</v>
      </c>
      <c r="AB40" s="1633" t="s">
        <v>3318</v>
      </c>
      <c r="AC40" s="1633" t="s">
        <v>3106</v>
      </c>
      <c r="AD40" s="1633" t="s">
        <v>3325</v>
      </c>
      <c r="AE40" s="1633">
        <v>4530</v>
      </c>
      <c r="AF40" s="1633">
        <v>15100</v>
      </c>
      <c r="AG40" s="1633">
        <v>15100</v>
      </c>
      <c r="AH40" s="1633">
        <v>270.02999999999997</v>
      </c>
      <c r="AI40" s="1633">
        <v>270.02999999999997</v>
      </c>
      <c r="AJ40" s="1633">
        <v>2700.27</v>
      </c>
      <c r="AK40" s="1633">
        <v>2700.28</v>
      </c>
      <c r="AL40" s="1633" t="s">
        <v>1327</v>
      </c>
      <c r="AM40" s="1633" t="s">
        <v>1327</v>
      </c>
      <c r="AN40" s="1633">
        <v>0</v>
      </c>
      <c r="AO40" s="1633" t="s">
        <v>3326</v>
      </c>
      <c r="AP40" s="1633" t="s">
        <v>1327</v>
      </c>
      <c r="AQ40" s="1633" t="s">
        <v>1327</v>
      </c>
      <c r="AR40" s="1633" t="s">
        <v>1327</v>
      </c>
      <c r="AS40" s="1633" t="s">
        <v>3121</v>
      </c>
    </row>
    <row r="41" spans="1:45" hidden="1">
      <c r="A41" s="1633" t="s">
        <v>3327</v>
      </c>
      <c r="B41" s="1633" t="s">
        <v>3092</v>
      </c>
      <c r="C41" s="1633" t="s">
        <v>3111</v>
      </c>
      <c r="D41" s="1633" t="s">
        <v>3094</v>
      </c>
      <c r="E41" s="1633" t="s">
        <v>1327</v>
      </c>
      <c r="F41" s="1633" t="s">
        <v>3327</v>
      </c>
      <c r="G41" s="1633" t="s">
        <v>3095</v>
      </c>
      <c r="H41" s="1633" t="s">
        <v>3328</v>
      </c>
      <c r="I41" s="1633" t="s">
        <v>3113</v>
      </c>
      <c r="J41" s="1633">
        <v>145201.79999999999</v>
      </c>
      <c r="K41" s="1633">
        <v>217791.6</v>
      </c>
      <c r="L41" s="1633" t="s">
        <v>3152</v>
      </c>
      <c r="M41" s="1633" t="s">
        <v>1327</v>
      </c>
      <c r="N41" s="1633" t="s">
        <v>3134</v>
      </c>
      <c r="O41" s="1633" t="s">
        <v>3329</v>
      </c>
      <c r="P41" s="1633" t="s">
        <v>1327</v>
      </c>
      <c r="Q41" s="1633" t="s">
        <v>1327</v>
      </c>
      <c r="R41" s="1633" t="s">
        <v>1327</v>
      </c>
      <c r="S41" s="1633" t="s">
        <v>1327</v>
      </c>
      <c r="T41" s="1633" t="s">
        <v>3330</v>
      </c>
      <c r="U41" s="1633" t="s">
        <v>3101</v>
      </c>
      <c r="V41" s="1633" t="s">
        <v>1327</v>
      </c>
      <c r="W41" s="1633" t="s">
        <v>3313</v>
      </c>
      <c r="X41" s="1633" t="s">
        <v>3331</v>
      </c>
      <c r="Y41" s="1633" t="s">
        <v>3332</v>
      </c>
      <c r="Z41" s="1633" t="s">
        <v>3333</v>
      </c>
      <c r="AA41" s="1633" t="s">
        <v>3333</v>
      </c>
      <c r="AB41" s="1633" t="s">
        <v>3328</v>
      </c>
      <c r="AC41" s="1633" t="s">
        <v>3106</v>
      </c>
      <c r="AD41" s="1633" t="s">
        <v>3334</v>
      </c>
      <c r="AE41" s="1633">
        <v>22790</v>
      </c>
      <c r="AF41" s="1633">
        <v>79500</v>
      </c>
      <c r="AG41" s="1633">
        <v>79500</v>
      </c>
      <c r="AH41" s="1633">
        <v>365.01</v>
      </c>
      <c r="AI41" s="1633">
        <v>365.01</v>
      </c>
      <c r="AJ41" s="1633">
        <v>3650.27</v>
      </c>
      <c r="AK41" s="1633">
        <v>3650.28</v>
      </c>
      <c r="AL41" s="1633" t="s">
        <v>1327</v>
      </c>
      <c r="AM41" s="1633" t="s">
        <v>1327</v>
      </c>
      <c r="AN41" s="1633">
        <v>0</v>
      </c>
      <c r="AO41" s="1633" t="s">
        <v>3140</v>
      </c>
      <c r="AP41" s="1633" t="s">
        <v>1327</v>
      </c>
      <c r="AQ41" s="1633" t="s">
        <v>1327</v>
      </c>
      <c r="AR41" s="1633" t="s">
        <v>1327</v>
      </c>
      <c r="AS41" s="1633" t="s">
        <v>3141</v>
      </c>
    </row>
    <row r="42" spans="1:45" hidden="1">
      <c r="A42" s="1633" t="s">
        <v>3193</v>
      </c>
      <c r="B42" s="1633" t="s">
        <v>3092</v>
      </c>
      <c r="C42" s="1633" t="s">
        <v>3111</v>
      </c>
      <c r="D42" s="1633" t="s">
        <v>3094</v>
      </c>
      <c r="E42" s="1633" t="s">
        <v>1327</v>
      </c>
      <c r="F42" s="1633" t="s">
        <v>3193</v>
      </c>
      <c r="G42" s="1633" t="s">
        <v>3095</v>
      </c>
      <c r="H42" s="1633" t="s">
        <v>3335</v>
      </c>
      <c r="I42" s="1633" t="s">
        <v>3336</v>
      </c>
      <c r="J42" s="1633">
        <v>53294.2</v>
      </c>
      <c r="K42" s="1633">
        <v>70863.149999999994</v>
      </c>
      <c r="L42" s="1633" t="s">
        <v>3337</v>
      </c>
      <c r="M42" s="1633" t="s">
        <v>1327</v>
      </c>
      <c r="N42" s="1633" t="s">
        <v>3264</v>
      </c>
      <c r="O42" s="1633" t="s">
        <v>3338</v>
      </c>
      <c r="P42" s="1633" t="s">
        <v>1327</v>
      </c>
      <c r="Q42" s="1633" t="s">
        <v>1327</v>
      </c>
      <c r="R42" s="1633" t="s">
        <v>1327</v>
      </c>
      <c r="S42" s="1633" t="s">
        <v>1327</v>
      </c>
      <c r="T42" s="1633" t="s">
        <v>3100</v>
      </c>
      <c r="U42" s="1633" t="s">
        <v>3101</v>
      </c>
      <c r="V42" s="1633" t="s">
        <v>1327</v>
      </c>
      <c r="W42" s="1633" t="s">
        <v>3313</v>
      </c>
      <c r="X42" s="1633" t="s">
        <v>3339</v>
      </c>
      <c r="Y42" s="1633" t="s">
        <v>3340</v>
      </c>
      <c r="Z42" s="1633" t="s">
        <v>3333</v>
      </c>
      <c r="AA42" s="1633" t="s">
        <v>3333</v>
      </c>
      <c r="AB42" s="1633" t="s">
        <v>3335</v>
      </c>
      <c r="AC42" s="1633" t="s">
        <v>3106</v>
      </c>
      <c r="AD42" s="1633" t="s">
        <v>3325</v>
      </c>
      <c r="AE42" s="1633">
        <v>27810</v>
      </c>
      <c r="AF42" s="1633">
        <v>107210</v>
      </c>
      <c r="AG42" s="1633">
        <v>107210</v>
      </c>
      <c r="AH42" s="1633">
        <v>1341.11</v>
      </c>
      <c r="AI42" s="1633">
        <v>1341.11</v>
      </c>
      <c r="AJ42" s="1633">
        <v>15129.16</v>
      </c>
      <c r="AK42" s="1633">
        <v>15129.15</v>
      </c>
      <c r="AL42" s="1633" t="s">
        <v>1327</v>
      </c>
      <c r="AM42" s="1633" t="s">
        <v>1327</v>
      </c>
      <c r="AN42" s="1633">
        <v>0</v>
      </c>
      <c r="AO42" s="1633" t="s">
        <v>3341</v>
      </c>
      <c r="AP42" s="1633" t="s">
        <v>1327</v>
      </c>
      <c r="AQ42" s="1633" t="s">
        <v>1327</v>
      </c>
      <c r="AR42" s="1633" t="s">
        <v>1327</v>
      </c>
      <c r="AS42" s="1633" t="s">
        <v>3121</v>
      </c>
    </row>
    <row r="43" spans="1:45" hidden="1">
      <c r="A43" s="1633" t="s">
        <v>3342</v>
      </c>
      <c r="B43" s="1633" t="s">
        <v>3092</v>
      </c>
      <c r="C43" s="1633" t="s">
        <v>3111</v>
      </c>
      <c r="D43" s="1633" t="s">
        <v>3094</v>
      </c>
      <c r="E43" s="1633" t="s">
        <v>1327</v>
      </c>
      <c r="F43" s="1633" t="s">
        <v>3342</v>
      </c>
      <c r="G43" s="1633" t="s">
        <v>3095</v>
      </c>
      <c r="H43" s="1633" t="s">
        <v>3343</v>
      </c>
      <c r="I43" s="1633" t="s">
        <v>3113</v>
      </c>
      <c r="J43" s="1633">
        <v>17455.7</v>
      </c>
      <c r="K43" s="1633">
        <v>19201.27</v>
      </c>
      <c r="L43" s="1633" t="s">
        <v>3176</v>
      </c>
      <c r="M43" s="1633" t="s">
        <v>1327</v>
      </c>
      <c r="N43" s="1633" t="s">
        <v>3153</v>
      </c>
      <c r="O43" s="1633" t="s">
        <v>3344</v>
      </c>
      <c r="P43" s="1633" t="s">
        <v>1327</v>
      </c>
      <c r="Q43" s="1633" t="s">
        <v>1327</v>
      </c>
      <c r="R43" s="1633" t="s">
        <v>1327</v>
      </c>
      <c r="S43" s="1633" t="s">
        <v>1327</v>
      </c>
      <c r="T43" s="1633" t="s">
        <v>3100</v>
      </c>
      <c r="U43" s="1633" t="s">
        <v>3101</v>
      </c>
      <c r="V43" s="1633" t="s">
        <v>1327</v>
      </c>
      <c r="W43" s="1633" t="s">
        <v>3313</v>
      </c>
      <c r="X43" s="1633" t="s">
        <v>3345</v>
      </c>
      <c r="Y43" s="1633" t="s">
        <v>3346</v>
      </c>
      <c r="Z43" s="1633" t="s">
        <v>3347</v>
      </c>
      <c r="AA43" s="1633" t="s">
        <v>3347</v>
      </c>
      <c r="AB43" s="1633" t="s">
        <v>3343</v>
      </c>
      <c r="AC43" s="1633" t="s">
        <v>3106</v>
      </c>
      <c r="AD43" s="1633" t="s">
        <v>3348</v>
      </c>
      <c r="AE43" s="1633">
        <v>9540</v>
      </c>
      <c r="AF43" s="1633">
        <v>9540</v>
      </c>
      <c r="AG43" s="1633">
        <v>9540</v>
      </c>
      <c r="AH43" s="1633">
        <v>364.35</v>
      </c>
      <c r="AI43" s="1633">
        <v>364.35</v>
      </c>
      <c r="AJ43" s="1633">
        <v>4968.42</v>
      </c>
      <c r="AK43" s="1633">
        <v>4968.42</v>
      </c>
      <c r="AL43" s="1633" t="s">
        <v>1327</v>
      </c>
      <c r="AM43" s="1633" t="s">
        <v>1327</v>
      </c>
      <c r="AN43" s="1633">
        <v>0</v>
      </c>
      <c r="AO43" s="1633" t="s">
        <v>3140</v>
      </c>
      <c r="AP43" s="1633" t="s">
        <v>1327</v>
      </c>
      <c r="AQ43" s="1633" t="s">
        <v>1327</v>
      </c>
      <c r="AR43" s="1633" t="s">
        <v>1327</v>
      </c>
      <c r="AS43" s="1633" t="s">
        <v>3121</v>
      </c>
    </row>
    <row r="44" spans="1:45" hidden="1">
      <c r="A44" s="1633" t="s">
        <v>3349</v>
      </c>
      <c r="B44" s="1633" t="s">
        <v>3092</v>
      </c>
      <c r="C44" s="1633" t="s">
        <v>3111</v>
      </c>
      <c r="D44" s="1633" t="s">
        <v>3094</v>
      </c>
      <c r="E44" s="1633" t="s">
        <v>1327</v>
      </c>
      <c r="F44" s="1633" t="s">
        <v>3349</v>
      </c>
      <c r="G44" s="1633" t="s">
        <v>3095</v>
      </c>
      <c r="H44" s="1633" t="s">
        <v>3350</v>
      </c>
      <c r="I44" s="1633" t="s">
        <v>3113</v>
      </c>
      <c r="J44" s="1633">
        <v>16177.1</v>
      </c>
      <c r="K44" s="1633">
        <v>17794.810000000001</v>
      </c>
      <c r="L44" s="1633" t="s">
        <v>3176</v>
      </c>
      <c r="M44" s="1633" t="s">
        <v>1327</v>
      </c>
      <c r="N44" s="1633" t="s">
        <v>3153</v>
      </c>
      <c r="O44" s="1633" t="s">
        <v>3344</v>
      </c>
      <c r="P44" s="1633" t="s">
        <v>1327</v>
      </c>
      <c r="Q44" s="1633" t="s">
        <v>1327</v>
      </c>
      <c r="R44" s="1633" t="s">
        <v>1327</v>
      </c>
      <c r="S44" s="1633" t="s">
        <v>1327</v>
      </c>
      <c r="T44" s="1633" t="s">
        <v>3100</v>
      </c>
      <c r="U44" s="1633" t="s">
        <v>3101</v>
      </c>
      <c r="V44" s="1633" t="s">
        <v>1327</v>
      </c>
      <c r="W44" s="1633" t="s">
        <v>3313</v>
      </c>
      <c r="X44" s="1633" t="s">
        <v>3345</v>
      </c>
      <c r="Y44" s="1633" t="s">
        <v>3346</v>
      </c>
      <c r="Z44" s="1633" t="s">
        <v>3347</v>
      </c>
      <c r="AA44" s="1633" t="s">
        <v>3347</v>
      </c>
      <c r="AB44" s="1633" t="s">
        <v>3350</v>
      </c>
      <c r="AC44" s="1633" t="s">
        <v>3106</v>
      </c>
      <c r="AD44" s="1633" t="s">
        <v>3351</v>
      </c>
      <c r="AE44" s="1633">
        <v>8700</v>
      </c>
      <c r="AF44" s="1633">
        <v>8700</v>
      </c>
      <c r="AG44" s="1633">
        <v>8700</v>
      </c>
      <c r="AH44" s="1633">
        <v>358.53</v>
      </c>
      <c r="AI44" s="1633">
        <v>358.53</v>
      </c>
      <c r="AJ44" s="1633">
        <v>4889.0600000000004</v>
      </c>
      <c r="AK44" s="1633">
        <v>4889.0600000000004</v>
      </c>
      <c r="AL44" s="1633" t="s">
        <v>1327</v>
      </c>
      <c r="AM44" s="1633" t="s">
        <v>1327</v>
      </c>
      <c r="AN44" s="1633">
        <v>0</v>
      </c>
      <c r="AO44" s="1633" t="s">
        <v>3140</v>
      </c>
      <c r="AP44" s="1633" t="s">
        <v>1327</v>
      </c>
      <c r="AQ44" s="1633" t="s">
        <v>1327</v>
      </c>
      <c r="AR44" s="1633" t="s">
        <v>1327</v>
      </c>
      <c r="AS44" s="1633" t="s">
        <v>3121</v>
      </c>
    </row>
    <row r="45" spans="1:45" hidden="1">
      <c r="A45" s="1633" t="s">
        <v>3352</v>
      </c>
      <c r="B45" s="1633" t="s">
        <v>3092</v>
      </c>
      <c r="C45" s="1633" t="s">
        <v>3111</v>
      </c>
      <c r="D45" s="1633" t="s">
        <v>3094</v>
      </c>
      <c r="E45" s="1633" t="s">
        <v>1327</v>
      </c>
      <c r="F45" s="1633" t="s">
        <v>3352</v>
      </c>
      <c r="G45" s="1633" t="s">
        <v>3095</v>
      </c>
      <c r="H45" s="1633" t="s">
        <v>3353</v>
      </c>
      <c r="I45" s="1633" t="s">
        <v>3113</v>
      </c>
      <c r="J45" s="1633">
        <v>17455.7</v>
      </c>
      <c r="K45" s="1633">
        <v>19201.27</v>
      </c>
      <c r="L45" s="1633" t="s">
        <v>3176</v>
      </c>
      <c r="M45" s="1633" t="s">
        <v>1327</v>
      </c>
      <c r="N45" s="1633" t="s">
        <v>3153</v>
      </c>
      <c r="O45" s="1633" t="s">
        <v>3344</v>
      </c>
      <c r="P45" s="1633" t="s">
        <v>1327</v>
      </c>
      <c r="Q45" s="1633" t="s">
        <v>1327</v>
      </c>
      <c r="R45" s="1633" t="s">
        <v>1327</v>
      </c>
      <c r="S45" s="1633" t="s">
        <v>1327</v>
      </c>
      <c r="T45" s="1633" t="s">
        <v>3100</v>
      </c>
      <c r="U45" s="1633" t="s">
        <v>3101</v>
      </c>
      <c r="V45" s="1633" t="s">
        <v>1327</v>
      </c>
      <c r="W45" s="1633" t="s">
        <v>3313</v>
      </c>
      <c r="X45" s="1633" t="s">
        <v>3345</v>
      </c>
      <c r="Y45" s="1633" t="s">
        <v>3346</v>
      </c>
      <c r="Z45" s="1633" t="s">
        <v>3347</v>
      </c>
      <c r="AA45" s="1633" t="s">
        <v>3347</v>
      </c>
      <c r="AB45" s="1633" t="s">
        <v>3353</v>
      </c>
      <c r="AC45" s="1633" t="s">
        <v>3106</v>
      </c>
      <c r="AD45" s="1633" t="s">
        <v>3348</v>
      </c>
      <c r="AE45" s="1633">
        <v>9390</v>
      </c>
      <c r="AF45" s="1633">
        <v>9390</v>
      </c>
      <c r="AG45" s="1633">
        <v>9390</v>
      </c>
      <c r="AH45" s="1633">
        <v>358.62</v>
      </c>
      <c r="AI45" s="1633">
        <v>358.62</v>
      </c>
      <c r="AJ45" s="1633">
        <v>4890.3</v>
      </c>
      <c r="AK45" s="1633">
        <v>4890.3</v>
      </c>
      <c r="AL45" s="1633" t="s">
        <v>1327</v>
      </c>
      <c r="AM45" s="1633" t="s">
        <v>1327</v>
      </c>
      <c r="AN45" s="1633">
        <v>0</v>
      </c>
      <c r="AO45" s="1633" t="s">
        <v>3140</v>
      </c>
      <c r="AP45" s="1633" t="s">
        <v>1327</v>
      </c>
      <c r="AQ45" s="1633" t="s">
        <v>1327</v>
      </c>
      <c r="AR45" s="1633" t="s">
        <v>1327</v>
      </c>
      <c r="AS45" s="1633" t="s">
        <v>3121</v>
      </c>
    </row>
    <row r="46" spans="1:45" hidden="1">
      <c r="A46" s="1633" t="s">
        <v>3354</v>
      </c>
      <c r="B46" s="1633" t="s">
        <v>3092</v>
      </c>
      <c r="C46" s="1633" t="s">
        <v>3111</v>
      </c>
      <c r="D46" s="1633" t="s">
        <v>3094</v>
      </c>
      <c r="E46" s="1633" t="s">
        <v>1327</v>
      </c>
      <c r="F46" s="1633" t="s">
        <v>3354</v>
      </c>
      <c r="G46" s="1633" t="s">
        <v>3095</v>
      </c>
      <c r="H46" s="1633" t="s">
        <v>3355</v>
      </c>
      <c r="I46" s="1633" t="s">
        <v>3113</v>
      </c>
      <c r="J46" s="1633">
        <v>18478.400000000001</v>
      </c>
      <c r="K46" s="1633">
        <v>22174.080000000002</v>
      </c>
      <c r="L46" s="1633" t="s">
        <v>3356</v>
      </c>
      <c r="M46" s="1633" t="s">
        <v>1327</v>
      </c>
      <c r="N46" s="1633" t="s">
        <v>3145</v>
      </c>
      <c r="O46" s="1633" t="s">
        <v>3357</v>
      </c>
      <c r="P46" s="1633" t="s">
        <v>1327</v>
      </c>
      <c r="Q46" s="1633" t="s">
        <v>1327</v>
      </c>
      <c r="R46" s="1633" t="s">
        <v>1327</v>
      </c>
      <c r="S46" s="1633" t="s">
        <v>1327</v>
      </c>
      <c r="T46" s="1633" t="s">
        <v>3100</v>
      </c>
      <c r="U46" s="1633" t="s">
        <v>3101</v>
      </c>
      <c r="V46" s="1633" t="s">
        <v>1327</v>
      </c>
      <c r="W46" s="1633" t="s">
        <v>3313</v>
      </c>
      <c r="X46" s="1633" t="s">
        <v>3345</v>
      </c>
      <c r="Y46" s="1633" t="s">
        <v>3346</v>
      </c>
      <c r="Z46" s="1633" t="s">
        <v>3347</v>
      </c>
      <c r="AA46" s="1633" t="s">
        <v>3347</v>
      </c>
      <c r="AB46" s="1633" t="s">
        <v>3355</v>
      </c>
      <c r="AC46" s="1633" t="s">
        <v>3106</v>
      </c>
      <c r="AD46" s="1633" t="s">
        <v>3358</v>
      </c>
      <c r="AE46" s="1633">
        <v>10100</v>
      </c>
      <c r="AF46" s="1633">
        <v>10100</v>
      </c>
      <c r="AG46" s="1633">
        <v>10100</v>
      </c>
      <c r="AH46" s="1633">
        <v>364.39</v>
      </c>
      <c r="AI46" s="1633">
        <v>364.39</v>
      </c>
      <c r="AJ46" s="1633">
        <v>4554.8599999999997</v>
      </c>
      <c r="AK46" s="1633">
        <v>4554.8599999999997</v>
      </c>
      <c r="AL46" s="1633" t="s">
        <v>1327</v>
      </c>
      <c r="AM46" s="1633" t="s">
        <v>1327</v>
      </c>
      <c r="AN46" s="1633">
        <v>0</v>
      </c>
      <c r="AO46" s="1633" t="s">
        <v>3140</v>
      </c>
      <c r="AP46" s="1633" t="s">
        <v>1327</v>
      </c>
      <c r="AQ46" s="1633" t="s">
        <v>1327</v>
      </c>
      <c r="AR46" s="1633" t="s">
        <v>1327</v>
      </c>
      <c r="AS46" s="1633" t="s">
        <v>3121</v>
      </c>
    </row>
    <row r="47" spans="1:45" s="2956" customFormat="1">
      <c r="A47" s="2956" t="s">
        <v>3142</v>
      </c>
      <c r="B47" s="2956" t="s">
        <v>3092</v>
      </c>
      <c r="C47" s="2956" t="s">
        <v>3093</v>
      </c>
      <c r="D47" s="2956" t="s">
        <v>3094</v>
      </c>
      <c r="E47" s="1633" t="s">
        <v>1327</v>
      </c>
      <c r="F47" s="1633" t="s">
        <v>3142</v>
      </c>
      <c r="G47" s="1633" t="s">
        <v>3095</v>
      </c>
      <c r="H47" s="1633" t="s">
        <v>3359</v>
      </c>
      <c r="I47" s="2956" t="s">
        <v>3097</v>
      </c>
      <c r="J47" s="2956">
        <v>87678.5</v>
      </c>
      <c r="K47" s="2956">
        <v>219100</v>
      </c>
      <c r="L47" s="2956" t="s">
        <v>3360</v>
      </c>
      <c r="M47" s="1633" t="s">
        <v>1327</v>
      </c>
      <c r="N47" s="1633" t="s">
        <v>3361</v>
      </c>
      <c r="O47" s="1633" t="s">
        <v>3362</v>
      </c>
      <c r="P47" s="1633" t="s">
        <v>1327</v>
      </c>
      <c r="Q47" s="1633" t="s">
        <v>1327</v>
      </c>
      <c r="R47" s="1633" t="s">
        <v>1327</v>
      </c>
      <c r="S47" s="1633" t="s">
        <v>1327</v>
      </c>
      <c r="T47" s="1633" t="s">
        <v>3100</v>
      </c>
      <c r="U47" s="1633" t="s">
        <v>3101</v>
      </c>
      <c r="V47" s="1633" t="s">
        <v>1327</v>
      </c>
      <c r="W47" s="1633" t="s">
        <v>3313</v>
      </c>
      <c r="X47" s="1633" t="s">
        <v>3363</v>
      </c>
      <c r="Y47" s="1633" t="s">
        <v>3364</v>
      </c>
      <c r="Z47" s="1633" t="s">
        <v>3365</v>
      </c>
      <c r="AA47" s="2956" t="s">
        <v>3365</v>
      </c>
      <c r="AB47" s="1633" t="s">
        <v>3359</v>
      </c>
      <c r="AC47" s="1633" t="s">
        <v>3106</v>
      </c>
      <c r="AD47" s="2956" t="s">
        <v>3366</v>
      </c>
      <c r="AE47" s="1633">
        <v>40974</v>
      </c>
      <c r="AF47" s="1633">
        <v>136577</v>
      </c>
      <c r="AG47" s="2956">
        <v>146000</v>
      </c>
      <c r="AH47" s="1633">
        <v>1038.47</v>
      </c>
      <c r="AI47" s="2956">
        <v>1110.1199999999999</v>
      </c>
      <c r="AJ47" s="1633">
        <v>6233.54</v>
      </c>
      <c r="AK47" s="2956">
        <v>6663.61</v>
      </c>
      <c r="AL47" s="1633" t="s">
        <v>1327</v>
      </c>
      <c r="AM47" s="1633" t="s">
        <v>1327</v>
      </c>
      <c r="AN47" s="2956">
        <v>6.9</v>
      </c>
      <c r="AO47" s="2956" t="s">
        <v>3108</v>
      </c>
      <c r="AP47" s="2956" t="s">
        <v>1327</v>
      </c>
      <c r="AQ47" s="2956" t="s">
        <v>1327</v>
      </c>
      <c r="AR47" s="2956" t="s">
        <v>1327</v>
      </c>
      <c r="AS47" s="2956" t="s">
        <v>3192</v>
      </c>
    </row>
    <row r="48" spans="1:45">
      <c r="A48" s="1633" t="s">
        <v>3142</v>
      </c>
      <c r="B48" s="1633" t="s">
        <v>3092</v>
      </c>
      <c r="C48" s="1633" t="s">
        <v>3093</v>
      </c>
      <c r="D48" s="1633" t="s">
        <v>3094</v>
      </c>
      <c r="E48" s="1633" t="s">
        <v>1327</v>
      </c>
      <c r="F48" s="1633" t="s">
        <v>3142</v>
      </c>
      <c r="G48" s="1633" t="s">
        <v>3095</v>
      </c>
      <c r="H48" s="1633" t="s">
        <v>3367</v>
      </c>
      <c r="I48" s="1633" t="s">
        <v>3097</v>
      </c>
      <c r="J48" s="1633">
        <v>79422.399999999994</v>
      </c>
      <c r="K48" s="1633">
        <v>79500</v>
      </c>
      <c r="L48" s="1633" t="s">
        <v>3176</v>
      </c>
      <c r="M48" s="1633" t="s">
        <v>1327</v>
      </c>
      <c r="N48" s="1633" t="s">
        <v>3145</v>
      </c>
      <c r="O48" s="1633" t="s">
        <v>3368</v>
      </c>
      <c r="P48" s="1633" t="s">
        <v>1327</v>
      </c>
      <c r="Q48" s="1633" t="s">
        <v>1327</v>
      </c>
      <c r="R48" s="1633" t="s">
        <v>1327</v>
      </c>
      <c r="S48" s="1633" t="s">
        <v>1327</v>
      </c>
      <c r="T48" s="1633" t="s">
        <v>3100</v>
      </c>
      <c r="U48" s="1633" t="s">
        <v>3101</v>
      </c>
      <c r="V48" s="1633" t="s">
        <v>1327</v>
      </c>
      <c r="W48" s="1633" t="s">
        <v>3313</v>
      </c>
      <c r="X48" s="1633" t="s">
        <v>3369</v>
      </c>
      <c r="Y48" s="1633" t="s">
        <v>3370</v>
      </c>
      <c r="Z48" s="1633" t="s">
        <v>3371</v>
      </c>
      <c r="AA48" s="1633" t="s">
        <v>3371</v>
      </c>
      <c r="AB48" s="1633" t="s">
        <v>3367</v>
      </c>
      <c r="AC48" s="1633" t="s">
        <v>3106</v>
      </c>
      <c r="AD48" s="1633" t="s">
        <v>3372</v>
      </c>
      <c r="AE48" s="1633">
        <v>25023</v>
      </c>
      <c r="AF48" s="1633">
        <v>83410</v>
      </c>
      <c r="AG48" s="1633">
        <v>83510</v>
      </c>
      <c r="AH48" s="1633">
        <v>700.14</v>
      </c>
      <c r="AI48" s="1633">
        <v>700.98</v>
      </c>
      <c r="AJ48" s="1633">
        <v>10491.82</v>
      </c>
      <c r="AK48" s="1633">
        <v>10504.39</v>
      </c>
      <c r="AL48" s="1633" t="s">
        <v>1327</v>
      </c>
      <c r="AM48" s="1633" t="s">
        <v>1327</v>
      </c>
      <c r="AN48" s="1633">
        <v>0.12</v>
      </c>
      <c r="AO48" s="1633">
        <v>79500</v>
      </c>
      <c r="AP48" s="1633" t="s">
        <v>1327</v>
      </c>
      <c r="AQ48" s="1633" t="s">
        <v>1327</v>
      </c>
      <c r="AR48" s="1633" t="s">
        <v>1327</v>
      </c>
      <c r="AS48" s="1633" t="s">
        <v>3192</v>
      </c>
    </row>
    <row r="49" spans="1:45">
      <c r="A49" s="1633" t="s">
        <v>3373</v>
      </c>
      <c r="B49" s="1633" t="s">
        <v>3092</v>
      </c>
      <c r="C49" s="1633" t="s">
        <v>3111</v>
      </c>
      <c r="D49" s="1633" t="s">
        <v>3094</v>
      </c>
      <c r="E49" s="1633" t="s">
        <v>1327</v>
      </c>
      <c r="F49" s="1633" t="s">
        <v>3373</v>
      </c>
      <c r="G49" s="1633" t="s">
        <v>3095</v>
      </c>
      <c r="H49" s="1633" t="s">
        <v>3374</v>
      </c>
      <c r="I49" s="1633" t="s">
        <v>3375</v>
      </c>
      <c r="J49" s="1633">
        <v>456410.2</v>
      </c>
      <c r="K49" s="1633">
        <v>283981.3</v>
      </c>
      <c r="L49" s="1633" t="s">
        <v>3376</v>
      </c>
      <c r="M49" s="1633" t="s">
        <v>1327</v>
      </c>
      <c r="N49" s="1633" t="s">
        <v>3377</v>
      </c>
      <c r="O49" s="1633" t="s">
        <v>3378</v>
      </c>
      <c r="P49" s="1633" t="s">
        <v>1327</v>
      </c>
      <c r="Q49" s="1633" t="s">
        <v>1327</v>
      </c>
      <c r="R49" s="1633" t="s">
        <v>1327</v>
      </c>
      <c r="S49" s="1633" t="s">
        <v>1327</v>
      </c>
      <c r="T49" s="1633" t="s">
        <v>3100</v>
      </c>
      <c r="U49" s="1633" t="s">
        <v>3101</v>
      </c>
      <c r="V49" s="1633" t="s">
        <v>1327</v>
      </c>
      <c r="W49" s="1633" t="s">
        <v>3313</v>
      </c>
      <c r="X49" s="1633" t="s">
        <v>3379</v>
      </c>
      <c r="Y49" s="1633" t="s">
        <v>3380</v>
      </c>
      <c r="Z49" s="1633" t="s">
        <v>3381</v>
      </c>
      <c r="AA49" s="1633" t="s">
        <v>3381</v>
      </c>
      <c r="AB49" s="1633" t="s">
        <v>3374</v>
      </c>
      <c r="AC49" s="1633" t="s">
        <v>3106</v>
      </c>
      <c r="AD49" s="1633" t="s">
        <v>3382</v>
      </c>
      <c r="AE49" s="1633">
        <v>62850</v>
      </c>
      <c r="AF49" s="1633">
        <v>134050</v>
      </c>
      <c r="AG49" s="1633">
        <v>134050</v>
      </c>
      <c r="AH49" s="1633">
        <v>195.8</v>
      </c>
      <c r="AI49" s="1633">
        <v>195.8</v>
      </c>
      <c r="AJ49" s="1633">
        <v>4720.38</v>
      </c>
      <c r="AK49" s="1633">
        <v>4720.38</v>
      </c>
      <c r="AL49" s="1633" t="s">
        <v>1327</v>
      </c>
      <c r="AM49" s="1633" t="s">
        <v>1327</v>
      </c>
      <c r="AN49" s="1633">
        <v>0</v>
      </c>
      <c r="AO49" s="1633" t="s">
        <v>3383</v>
      </c>
      <c r="AP49" s="1633" t="s">
        <v>1327</v>
      </c>
      <c r="AQ49" s="1633" t="s">
        <v>1327</v>
      </c>
      <c r="AR49" s="1633" t="s">
        <v>1327</v>
      </c>
      <c r="AS49" s="1633" t="s">
        <v>3141</v>
      </c>
    </row>
    <row r="50" spans="1:45" s="2956" customFormat="1">
      <c r="A50" s="2956" t="s">
        <v>3373</v>
      </c>
      <c r="B50" s="2956" t="s">
        <v>3092</v>
      </c>
      <c r="C50" s="2956" t="s">
        <v>3111</v>
      </c>
      <c r="D50" s="2956" t="s">
        <v>3094</v>
      </c>
      <c r="E50" s="1633" t="s">
        <v>1327</v>
      </c>
      <c r="F50" s="1633" t="s">
        <v>3373</v>
      </c>
      <c r="G50" s="1633" t="s">
        <v>3095</v>
      </c>
      <c r="H50" s="1633" t="s">
        <v>3384</v>
      </c>
      <c r="I50" s="2956" t="s">
        <v>3385</v>
      </c>
      <c r="J50" s="2956">
        <v>264903.8</v>
      </c>
      <c r="K50" s="2956">
        <v>298732.09999999998</v>
      </c>
      <c r="L50" s="2956" t="s">
        <v>3386</v>
      </c>
      <c r="M50" s="1633" t="s">
        <v>1327</v>
      </c>
      <c r="N50" s="1633" t="s">
        <v>3387</v>
      </c>
      <c r="O50" s="1633" t="s">
        <v>3388</v>
      </c>
      <c r="P50" s="1633" t="s">
        <v>1327</v>
      </c>
      <c r="Q50" s="1633" t="s">
        <v>1327</v>
      </c>
      <c r="R50" s="1633" t="s">
        <v>1327</v>
      </c>
      <c r="S50" s="1633" t="s">
        <v>1327</v>
      </c>
      <c r="T50" s="1633" t="s">
        <v>3100</v>
      </c>
      <c r="U50" s="1633" t="s">
        <v>3101</v>
      </c>
      <c r="V50" s="1633" t="s">
        <v>1327</v>
      </c>
      <c r="W50" s="1633" t="s">
        <v>3313</v>
      </c>
      <c r="X50" s="1633" t="s">
        <v>3389</v>
      </c>
      <c r="Y50" s="1633" t="s">
        <v>3390</v>
      </c>
      <c r="Z50" s="1633" t="s">
        <v>3391</v>
      </c>
      <c r="AA50" s="2956" t="s">
        <v>3391</v>
      </c>
      <c r="AB50" s="1633" t="s">
        <v>3384</v>
      </c>
      <c r="AC50" s="1633" t="s">
        <v>3106</v>
      </c>
      <c r="AD50" s="2956" t="s">
        <v>3392</v>
      </c>
      <c r="AE50" s="1633">
        <v>96220</v>
      </c>
      <c r="AF50" s="1633">
        <v>192430</v>
      </c>
      <c r="AG50" s="2956">
        <v>192430</v>
      </c>
      <c r="AH50" s="1633">
        <v>484.28</v>
      </c>
      <c r="AI50" s="2956">
        <v>484.28</v>
      </c>
      <c r="AJ50" s="1633">
        <v>6441.55</v>
      </c>
      <c r="AK50" s="2956">
        <v>6441.56</v>
      </c>
      <c r="AL50" s="1633" t="s">
        <v>1327</v>
      </c>
      <c r="AM50" s="1633" t="s">
        <v>1327</v>
      </c>
      <c r="AN50" s="2956">
        <v>0</v>
      </c>
      <c r="AO50" s="2956" t="s">
        <v>3140</v>
      </c>
      <c r="AP50" s="2956" t="s">
        <v>1327</v>
      </c>
      <c r="AQ50" s="2956" t="s">
        <v>1327</v>
      </c>
      <c r="AR50" s="2956" t="s">
        <v>1327</v>
      </c>
      <c r="AS50" s="2956" t="s">
        <v>3169</v>
      </c>
    </row>
    <row r="51" spans="1:45">
      <c r="A51" s="1633" t="s">
        <v>3373</v>
      </c>
      <c r="B51" s="1633" t="s">
        <v>3092</v>
      </c>
      <c r="C51" s="1633" t="s">
        <v>3111</v>
      </c>
      <c r="D51" s="1633" t="s">
        <v>3094</v>
      </c>
      <c r="E51" s="1633" t="s">
        <v>1327</v>
      </c>
      <c r="F51" s="1633" t="s">
        <v>3373</v>
      </c>
      <c r="G51" s="1633" t="s">
        <v>3095</v>
      </c>
      <c r="H51" s="1633" t="s">
        <v>3393</v>
      </c>
      <c r="I51" s="1633" t="s">
        <v>3113</v>
      </c>
      <c r="J51" s="1633">
        <v>28056.9</v>
      </c>
      <c r="K51" s="1633">
        <v>33668.28</v>
      </c>
      <c r="L51" s="1633" t="s">
        <v>3356</v>
      </c>
      <c r="M51" s="1633" t="s">
        <v>1327</v>
      </c>
      <c r="N51" s="1633" t="s">
        <v>3153</v>
      </c>
      <c r="O51" s="1633" t="s">
        <v>3394</v>
      </c>
      <c r="P51" s="1633" t="s">
        <v>1327</v>
      </c>
      <c r="Q51" s="1633" t="s">
        <v>1327</v>
      </c>
      <c r="R51" s="1633" t="s">
        <v>1327</v>
      </c>
      <c r="S51" s="1633" t="s">
        <v>1327</v>
      </c>
      <c r="T51" s="1633" t="s">
        <v>3395</v>
      </c>
      <c r="U51" s="1633" t="s">
        <v>3100</v>
      </c>
      <c r="V51" s="1633" t="s">
        <v>1327</v>
      </c>
      <c r="W51" s="1633" t="s">
        <v>3313</v>
      </c>
      <c r="X51" s="1633" t="s">
        <v>3396</v>
      </c>
      <c r="Y51" s="1633" t="s">
        <v>3397</v>
      </c>
      <c r="Z51" s="1633" t="s">
        <v>3398</v>
      </c>
      <c r="AA51" s="1633" t="s">
        <v>3398</v>
      </c>
      <c r="AB51" s="1633" t="s">
        <v>3393</v>
      </c>
      <c r="AC51" s="1633" t="s">
        <v>3106</v>
      </c>
      <c r="AD51" s="1633" t="s">
        <v>3399</v>
      </c>
      <c r="AE51" s="1633">
        <v>11445</v>
      </c>
      <c r="AF51" s="1633">
        <v>22890</v>
      </c>
      <c r="AG51" s="1633">
        <v>27468</v>
      </c>
      <c r="AH51" s="1633">
        <v>543.89</v>
      </c>
      <c r="AI51" s="1633">
        <v>652.66999999999996</v>
      </c>
      <c r="AJ51" s="1633">
        <v>6798.68</v>
      </c>
      <c r="AK51" s="1633">
        <v>8158.42</v>
      </c>
      <c r="AL51" s="1633" t="s">
        <v>1327</v>
      </c>
      <c r="AM51" s="1633" t="s">
        <v>1327</v>
      </c>
      <c r="AN51" s="1633">
        <v>20</v>
      </c>
      <c r="AO51" s="1633" t="s">
        <v>3140</v>
      </c>
      <c r="AP51" s="1633" t="s">
        <v>1327</v>
      </c>
      <c r="AQ51" s="1633">
        <v>11.9</v>
      </c>
      <c r="AR51" s="1633" t="s">
        <v>1327</v>
      </c>
      <c r="AS51" s="1633" t="s">
        <v>3169</v>
      </c>
    </row>
  </sheetData>
  <autoFilter ref="A1:AS51">
    <filterColumn colId="0">
      <filters>
        <filter val="生态城南部片区"/>
        <filter val="生态城中部片区"/>
        <filter val="天津市滨海新区中新天津生态城南部片区"/>
        <filter val="中新天津生态城(原旅游区区域内)"/>
        <filter val="中新天津生态城中部片区"/>
      </filters>
    </filterColumn>
  </autoFilter>
  <phoneticPr fontId="14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71" customWidth="1"/>
    <col min="33" max="36" width="9.33203125" style="2781" customWidth="1"/>
    <col min="37" max="38" width="9.33203125" style="2713" customWidth="1"/>
    <col min="39" max="16384" width="12" style="2713"/>
  </cols>
  <sheetData>
    <row r="1" spans="1:36" ht="31.2">
      <c r="A1" s="240" t="s">
        <v>2793</v>
      </c>
      <c r="B1" s="241"/>
      <c r="C1" s="245" t="s">
        <v>2794</v>
      </c>
      <c r="D1" s="388">
        <f>SUM(D29:D30,D33:D39)</f>
        <v>0</v>
      </c>
      <c r="E1" s="2710"/>
      <c r="F1" s="2710"/>
      <c r="G1" s="2710"/>
      <c r="H1" s="2710"/>
      <c r="I1" s="2710"/>
      <c r="J1" s="2710"/>
      <c r="K1" s="1369"/>
      <c r="L1" s="2711" t="s">
        <v>2795</v>
      </c>
      <c r="M1" s="1079">
        <f>SUMPRODUCT((区片价!B5:B9=I2)*(区片价!C3:F3=E2)*(区片价!C5:F9))</f>
        <v>0</v>
      </c>
      <c r="N1" s="1082">
        <f>SUMPRODUCT((因素修正幅度!B5:B9=I2)*(因素修正幅度!C3:F3=E2)*(因素修正幅度!C5:F9))</f>
        <v>0</v>
      </c>
      <c r="O1" s="2712"/>
      <c r="P1" s="2712"/>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6">
      <c r="A2" s="245" t="s">
        <v>2801</v>
      </c>
      <c r="B2" s="248" t="e">
        <f>C26</f>
        <v>#DIV/0!</v>
      </c>
      <c r="C2" s="2714" t="s">
        <v>2802</v>
      </c>
      <c r="D2" s="2715" t="s">
        <v>2803</v>
      </c>
      <c r="E2" s="2716"/>
      <c r="F2" s="2715" t="s">
        <v>2804</v>
      </c>
      <c r="G2" s="2717">
        <f>IF(E2="商业",项目基本情况!B37,IF(E2="办公",项目基本情况!C37,IF(E2="住宅",项目基本情况!D37,项目基本情况!E37)))</f>
        <v>0</v>
      </c>
      <c r="H2" s="2715" t="s">
        <v>2805</v>
      </c>
      <c r="I2" s="2717">
        <f>IF(E2="商业",项目基本情况!B38,IF(E2="办公",项目基本情况!C38,IF(E2="住宅",项目基本情况!D38,项目基本情况!E38)))</f>
        <v>0</v>
      </c>
      <c r="J2" s="2718"/>
      <c r="K2" s="1369"/>
      <c r="L2" s="2719" t="s">
        <v>2806</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2807</v>
      </c>
      <c r="B3" s="248" t="e">
        <f>ROUND(B2*10000/D1,0)</f>
        <v>#DIV/0!</v>
      </c>
      <c r="C3" s="2714" t="s">
        <v>2808</v>
      </c>
      <c r="D3" s="2715" t="s">
        <v>2809</v>
      </c>
      <c r="E3" s="2720"/>
      <c r="F3" s="2721" t="s">
        <v>2810</v>
      </c>
      <c r="G3" s="916">
        <f>IF(F3="宗地容积率",'数据-汇总表'!I4,IF(F3="估价对象容积率",'数据-汇总表'!I6,'数据-汇总表'!I7))</f>
        <v>0.11</v>
      </c>
      <c r="H3" s="198" t="s">
        <v>2811</v>
      </c>
      <c r="I3" s="944"/>
      <c r="J3" s="2718" t="s">
        <v>2812</v>
      </c>
      <c r="K3" s="1369"/>
      <c r="L3" s="2719"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79"/>
      <c r="B4" s="3280"/>
      <c r="C4" s="3280"/>
      <c r="D4" s="3281"/>
      <c r="E4" s="3281"/>
      <c r="F4" s="3281"/>
      <c r="G4" s="3281"/>
      <c r="H4" s="3281"/>
      <c r="I4" s="3281"/>
      <c r="J4" s="3282"/>
      <c r="K4" s="1369"/>
      <c r="L4" s="2719"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1" customFormat="1" ht="15.6" thickBot="1">
      <c r="A5" s="2722" t="s">
        <v>807</v>
      </c>
      <c r="B5" s="2723" t="s">
        <v>2815</v>
      </c>
      <c r="C5" s="917" t="e">
        <f>ROUND(IF(E2="商业",C6*C7+C16,(IF(E2="住宅",C6*C12+C16,C6+C16))),0)</f>
        <v>#DIV/0!</v>
      </c>
      <c r="D5" s="1785" t="e">
        <f>ROUND(C6+C16,0)</f>
        <v>#DIV/0!</v>
      </c>
      <c r="E5" s="1785"/>
      <c r="F5" s="2724"/>
      <c r="G5" s="2725"/>
      <c r="H5" s="2725"/>
      <c r="I5" s="2725"/>
      <c r="J5" s="2726"/>
      <c r="K5" s="2727"/>
      <c r="L5" s="2719"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8"/>
      <c r="AD5" s="2729"/>
      <c r="AE5" s="2729"/>
      <c r="AF5" s="2729"/>
      <c r="AG5" s="2729"/>
      <c r="AH5" s="2729"/>
      <c r="AI5" s="2729"/>
      <c r="AJ5" s="2730"/>
    </row>
    <row r="6" spans="1:36" ht="15.6" thickBot="1">
      <c r="A6" s="2732" t="s">
        <v>2817</v>
      </c>
      <c r="B6" s="2733" t="s">
        <v>2818</v>
      </c>
      <c r="C6" s="918">
        <f>SUMIF(L1:L12,G2,M1:M12)</f>
        <v>0</v>
      </c>
      <c r="D6" s="2734" t="s">
        <v>2819</v>
      </c>
      <c r="E6" s="2735"/>
      <c r="F6" s="2735"/>
      <c r="G6" s="2736"/>
      <c r="H6" s="2736"/>
      <c r="I6" s="2736"/>
      <c r="J6" s="2737"/>
      <c r="K6" s="1840"/>
      <c r="L6" s="2719"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8"/>
      <c r="AD6" s="2729"/>
      <c r="AE6" s="2729"/>
      <c r="AF6" s="2729"/>
      <c r="AG6" s="2729"/>
      <c r="AH6" s="2729"/>
      <c r="AI6" s="2729"/>
      <c r="AJ6" s="2730"/>
    </row>
    <row r="7" spans="1:36" ht="24">
      <c r="A7" s="3283" t="str">
        <f>IF(E2="商业",IF(C8="不临58条商业街","",2),"")</f>
        <v/>
      </c>
      <c r="B7" s="2738" t="s">
        <v>2821</v>
      </c>
      <c r="C7" s="919" t="e">
        <f>IF(C8="不临58条商业街",1,ROUND(1+(1.6*E8+1.2*E9+0.8*E10+0.4*E11)*C9,4))</f>
        <v>#DIV/0!</v>
      </c>
      <c r="D7" s="2739" t="s">
        <v>2822</v>
      </c>
      <c r="E7" s="945"/>
      <c r="F7" s="2740"/>
      <c r="G7" s="2741"/>
      <c r="H7" s="2741"/>
      <c r="I7" s="2741"/>
      <c r="J7" s="2742"/>
      <c r="K7" s="1840"/>
      <c r="L7" s="2719"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2824</v>
      </c>
      <c r="X7" s="1602">
        <f>G2</f>
        <v>0</v>
      </c>
      <c r="Y7" s="1602" t="s">
        <v>2825</v>
      </c>
      <c r="Z7" s="1603">
        <f>G3</f>
        <v>0.11</v>
      </c>
      <c r="AA7" s="1604"/>
      <c r="AB7" s="1604"/>
      <c r="AC7" s="1605"/>
      <c r="AD7" s="1606"/>
      <c r="AE7" s="1606"/>
      <c r="AF7" s="1606"/>
      <c r="AG7" s="1606"/>
      <c r="AH7" s="1606"/>
      <c r="AI7" s="1606"/>
      <c r="AJ7" s="1607"/>
    </row>
    <row r="8" spans="1:36" ht="15">
      <c r="A8" s="3284"/>
      <c r="B8" s="198" t="s">
        <v>2826</v>
      </c>
      <c r="C8" s="2743"/>
      <c r="D8" s="920" t="s">
        <v>139</v>
      </c>
      <c r="E8" s="921" t="e">
        <f>ROUND(C11/E7,4)</f>
        <v>#DIV/0!</v>
      </c>
      <c r="F8" s="2744" t="s">
        <v>2827</v>
      </c>
      <c r="G8" s="2745"/>
      <c r="H8" s="2745"/>
      <c r="I8" s="2745"/>
      <c r="J8" s="2746"/>
      <c r="K8" s="1369"/>
      <c r="L8" s="2719"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76" t="s">
        <v>2829</v>
      </c>
      <c r="X8" s="3277"/>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284"/>
      <c r="B9" s="198" t="s">
        <v>2842</v>
      </c>
      <c r="C9" s="922">
        <f>SUMIF(修正!C59:C119,C8,修正!E59:E119)</f>
        <v>0</v>
      </c>
      <c r="D9" s="200" t="s">
        <v>140</v>
      </c>
      <c r="E9" s="200" t="e">
        <f>ROUND(C11/E7,4)</f>
        <v>#DIV/0!</v>
      </c>
      <c r="F9" s="2744" t="s">
        <v>2843</v>
      </c>
      <c r="G9" s="2745"/>
      <c r="H9" s="2745"/>
      <c r="I9" s="2745"/>
      <c r="J9" s="2746"/>
      <c r="K9" s="1369"/>
      <c r="L9" s="2719"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78"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4"/>
      <c r="B10" s="198" t="s">
        <v>2847</v>
      </c>
      <c r="C10" s="200">
        <f>SUMIF(修正!C59:C119,C8,修正!F59:F119)</f>
        <v>0</v>
      </c>
      <c r="D10" s="200" t="s">
        <v>141</v>
      </c>
      <c r="E10" s="200" t="e">
        <f>ROUND(C11/E7,4)</f>
        <v>#DIV/0!</v>
      </c>
      <c r="F10" s="2744" t="s">
        <v>2848</v>
      </c>
      <c r="G10" s="2745"/>
      <c r="H10" s="2745"/>
      <c r="I10" s="2745"/>
      <c r="J10" s="2746"/>
      <c r="K10" s="1369"/>
      <c r="L10" s="2719"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7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84"/>
      <c r="B11" s="2747" t="s">
        <v>2850</v>
      </c>
      <c r="C11" s="923">
        <f>C10/4</f>
        <v>0</v>
      </c>
      <c r="D11" s="923" t="s">
        <v>142</v>
      </c>
      <c r="E11" s="923" t="e">
        <f>ROUND(C11/E7,4)</f>
        <v>#DIV/0!</v>
      </c>
      <c r="F11" s="2748" t="s">
        <v>2851</v>
      </c>
      <c r="G11" s="2749"/>
      <c r="H11" s="2749"/>
      <c r="I11" s="2749"/>
      <c r="J11" s="2750"/>
      <c r="K11" s="1369"/>
      <c r="L11" s="2719"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78" t="s">
        <v>2853</v>
      </c>
      <c r="X11" s="1612" t="s">
        <v>2854</v>
      </c>
      <c r="Y11" s="1613">
        <f>$G$3</f>
        <v>0.11</v>
      </c>
      <c r="Z11" s="1613">
        <f t="shared" ref="Z11:AJ11" si="3">$G$3</f>
        <v>0.11</v>
      </c>
      <c r="AA11" s="1613">
        <f t="shared" si="3"/>
        <v>0.11</v>
      </c>
      <c r="AB11" s="1613">
        <f t="shared" si="3"/>
        <v>0.11</v>
      </c>
      <c r="AC11" s="1613">
        <f t="shared" si="3"/>
        <v>0.11</v>
      </c>
      <c r="AD11" s="1613">
        <f t="shared" si="3"/>
        <v>0.11</v>
      </c>
      <c r="AE11" s="1613">
        <f t="shared" si="3"/>
        <v>0.11</v>
      </c>
      <c r="AF11" s="1613">
        <f t="shared" si="3"/>
        <v>0.11</v>
      </c>
      <c r="AG11" s="1613">
        <f t="shared" si="3"/>
        <v>0.11</v>
      </c>
      <c r="AH11" s="1613">
        <f t="shared" si="3"/>
        <v>0.11</v>
      </c>
      <c r="AI11" s="1613">
        <f t="shared" si="3"/>
        <v>0.11</v>
      </c>
      <c r="AJ11" s="1613">
        <f t="shared" si="3"/>
        <v>0.11</v>
      </c>
    </row>
    <row r="12" spans="1:36" ht="25.8" thickBot="1">
      <c r="A12" s="3283" t="s">
        <v>2855</v>
      </c>
      <c r="B12" s="2751" t="s">
        <v>2856</v>
      </c>
      <c r="C12" s="919">
        <f>ROUND(C15*D15*E15*F15*G15*H15*I15*J15,4)</f>
        <v>1</v>
      </c>
      <c r="D12" s="2752" t="s">
        <v>2857</v>
      </c>
      <c r="E12" s="2753"/>
      <c r="F12" s="2753"/>
      <c r="G12" s="2754"/>
      <c r="H12" s="2754"/>
      <c r="I12" s="2754"/>
      <c r="J12" s="2755"/>
      <c r="K12" s="1369"/>
      <c r="L12" s="2756"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78"/>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5"/>
      <c r="B13" s="2757" t="s">
        <v>2860</v>
      </c>
      <c r="C13" s="2758" t="s">
        <v>2861</v>
      </c>
      <c r="D13" s="1806" t="s">
        <v>2862</v>
      </c>
      <c r="E13" s="1806" t="s">
        <v>2863</v>
      </c>
      <c r="F13" s="30" t="s">
        <v>2864</v>
      </c>
      <c r="G13" s="2759" t="s">
        <v>2865</v>
      </c>
      <c r="H13" s="2759" t="s">
        <v>2865</v>
      </c>
      <c r="I13" s="2759" t="s">
        <v>2865</v>
      </c>
      <c r="J13" s="2760" t="s">
        <v>2865</v>
      </c>
      <c r="K13" s="1369"/>
      <c r="L13" s="1369"/>
      <c r="M13" s="1369"/>
      <c r="N13" s="1369"/>
      <c r="O13" s="1369"/>
      <c r="P13" s="1369"/>
      <c r="Q13" s="1369"/>
      <c r="R13" s="1600">
        <v>12</v>
      </c>
      <c r="S13" s="1601"/>
      <c r="T13" s="1600" t="e">
        <f t="shared" si="0"/>
        <v>#DIV/0!</v>
      </c>
      <c r="U13" s="1601"/>
      <c r="V13" s="1600" t="e">
        <f t="shared" si="1"/>
        <v>#DIV/0!</v>
      </c>
      <c r="W13" s="3278"/>
      <c r="X13" s="1614"/>
      <c r="Y13" s="1611">
        <f>(-0.163*(Y12^2)-0.59*Y12+7617)*(10^(-4))/Y11</f>
        <v>6.9245454545454548</v>
      </c>
      <c r="Z13" s="1611">
        <f t="shared" ref="Z13:AJ13" si="5">(-0.163*(Z12^2)-0.59*Z12+7617)*(10^(-4))/Z11</f>
        <v>6.9245454545454548</v>
      </c>
      <c r="AA13" s="1611">
        <f t="shared" si="5"/>
        <v>6.9245454545454548</v>
      </c>
      <c r="AB13" s="1611">
        <f t="shared" si="5"/>
        <v>6.9245454545454548</v>
      </c>
      <c r="AC13" s="1611">
        <f t="shared" si="5"/>
        <v>6.9245454545454548</v>
      </c>
      <c r="AD13" s="1611">
        <f t="shared" si="5"/>
        <v>6.9245454545454548</v>
      </c>
      <c r="AE13" s="1611">
        <f t="shared" si="5"/>
        <v>6.9245454545454548</v>
      </c>
      <c r="AF13" s="1611">
        <f t="shared" si="5"/>
        <v>6.9245454545454548</v>
      </c>
      <c r="AG13" s="1611">
        <f t="shared" si="5"/>
        <v>6.9245454545454548</v>
      </c>
      <c r="AH13" s="1611">
        <f t="shared" si="5"/>
        <v>6.9245454545454548</v>
      </c>
      <c r="AI13" s="1611">
        <f t="shared" si="5"/>
        <v>6.9245454545454548</v>
      </c>
      <c r="AJ13" s="1611">
        <f t="shared" si="5"/>
        <v>6.9245454545454548</v>
      </c>
    </row>
    <row r="14" spans="1:36" ht="15">
      <c r="A14" s="3285"/>
      <c r="B14" s="2761"/>
      <c r="C14" s="2762"/>
      <c r="D14" s="2763"/>
      <c r="E14" s="2763"/>
      <c r="F14" s="2764"/>
      <c r="G14" s="2765" t="s">
        <v>2866</v>
      </c>
      <c r="H14" s="2766"/>
      <c r="I14" s="2767"/>
      <c r="J14" s="2768"/>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86"/>
      <c r="B15" s="2769" t="s">
        <v>2867</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83" t="s">
        <v>2872</v>
      </c>
      <c r="B16" s="2738" t="s">
        <v>2873</v>
      </c>
      <c r="C16" s="2925" t="e">
        <f>ROUND(IF(F17="与级别开发程度一致",0,(G17-E17)/C17),0)</f>
        <v>#DIV/0!</v>
      </c>
      <c r="D16" s="3297" t="s">
        <v>2877</v>
      </c>
      <c r="E16" s="3298"/>
      <c r="F16" s="3297" t="s">
        <v>2874</v>
      </c>
      <c r="G16" s="3298"/>
      <c r="H16" s="2772"/>
      <c r="I16" s="2772"/>
      <c r="J16" s="2929"/>
      <c r="K16" s="2772"/>
      <c r="L16" s="2772"/>
      <c r="M16" s="2772"/>
      <c r="N16" s="2772"/>
      <c r="O16" s="2773"/>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8" thickBot="1">
      <c r="A17" s="3287"/>
      <c r="B17" s="2936" t="s">
        <v>2876</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9"/>
      <c r="R17" s="1369"/>
      <c r="S17" s="1369"/>
      <c r="T17" s="1369"/>
      <c r="U17" s="1369"/>
      <c r="V17" s="1369"/>
      <c r="W17" s="1369"/>
      <c r="X17" s="1369"/>
      <c r="Y17" s="1369"/>
      <c r="Z17" s="1370"/>
      <c r="AE17" s="2776"/>
      <c r="AF17" s="2776"/>
      <c r="AG17" s="2713"/>
      <c r="AH17" s="2713"/>
      <c r="AI17" s="2713"/>
      <c r="AJ17" s="2713"/>
    </row>
    <row r="18" spans="1:37" s="2731" customFormat="1" ht="15" thickBot="1">
      <c r="A18" s="2930" t="s">
        <v>808</v>
      </c>
      <c r="B18" s="2931" t="s">
        <v>2879</v>
      </c>
      <c r="C18" s="2932">
        <f>SUMIF(修正!C18:C39,E3,修正!E18:E39)</f>
        <v>0</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9.4" thickBot="1">
      <c r="A19" s="2777" t="s">
        <v>809</v>
      </c>
      <c r="B19" s="2778" t="s">
        <v>2880</v>
      </c>
      <c r="C19" s="924" t="e">
        <f>ROUND(IF(H19="按公示增长率计算",SUMPRODUCT((地价!A3:A27=YEAR(G19)&amp;"-"&amp;ROUNDUP(MONTH(G19)/3,0))*(地价!X2:AB2=E2)*(地价!X3:AB27)),IF(H19="地价指数",M20/M19,(1+I19)^O19)),4)</f>
        <v>#VALUE!</v>
      </c>
      <c r="D19" s="2782" t="s">
        <v>2881</v>
      </c>
      <c r="E19" s="925">
        <v>41640</v>
      </c>
      <c r="F19" s="2782" t="s">
        <v>2882</v>
      </c>
      <c r="G19" s="926">
        <f>'数据-取费表'!B2</f>
        <v>43725</v>
      </c>
      <c r="H19" s="2783"/>
      <c r="I19" s="927" t="str">
        <f>IF(H19="季度增幅（自定义）",SUMIF(N21:N24,E2,O21:O24),"")</f>
        <v/>
      </c>
      <c r="J19" s="2780"/>
      <c r="K19" s="1376"/>
      <c r="L19" s="2784" t="s">
        <v>2883</v>
      </c>
      <c r="M19" s="1732">
        <f>ROUND(SUMIF(地价!B2:F2,E2,地价!B27:F27),0)</f>
        <v>0</v>
      </c>
      <c r="N19" s="2785"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9.4" thickBot="1">
      <c r="A20" s="2789" t="s">
        <v>810</v>
      </c>
      <c r="B20" s="2790" t="s">
        <v>2885</v>
      </c>
      <c r="C20" s="929" t="e">
        <f>ROUND(POWER(1+G20,J20-I20)*(POWER(1+G20,I20)-1)/(POWER(1+G20,J20)-1),4)</f>
        <v>#DIV/0!</v>
      </c>
      <c r="D20" s="2791" t="s">
        <v>2886</v>
      </c>
      <c r="E20" s="1766">
        <f ca="1">存贷款利率!D4/100</f>
        <v>4.3499999999999997E-2</v>
      </c>
      <c r="F20" s="2791" t="s">
        <v>2878</v>
      </c>
      <c r="G20" s="934">
        <f>SUMIF(M26:P26,E2,M28:P28)</f>
        <v>0</v>
      </c>
      <c r="H20" s="2791" t="s">
        <v>2887</v>
      </c>
      <c r="I20" s="935" t="e">
        <f>SUMIF('数据-取费表'!C6:C15,E2,'数据-取费表'!F6:F15)/COUNTIF('数据-取费表'!C6:C15,E2)</f>
        <v>#DIV/0!</v>
      </c>
      <c r="J20" s="936">
        <f>IF(E2="住宅",70,IF(E2="商业",40,50))</f>
        <v>50</v>
      </c>
      <c r="K20" s="1376"/>
      <c r="L20" s="2792" t="s">
        <v>2888</v>
      </c>
      <c r="M20" s="1733">
        <f>ROUND(SUMPRODUCT((地价!A4:A27=YEAR(G19)&amp;"-"&amp;ROUNDUP(MONTH(G19)/3,0))*(地价!B2:F2=E2)*(地价!B4:F27)),0)</f>
        <v>0</v>
      </c>
      <c r="N20" s="2793" t="s">
        <v>2889</v>
      </c>
      <c r="O20" s="2794" t="s">
        <v>2890</v>
      </c>
      <c r="P20" s="2795" t="s">
        <v>2891</v>
      </c>
      <c r="R20" s="1375"/>
      <c r="S20" s="1375"/>
      <c r="T20" s="1370"/>
      <c r="U20" s="1370"/>
      <c r="V20" s="1370"/>
      <c r="W20" s="1369"/>
      <c r="X20" s="1369"/>
      <c r="Y20" s="1369"/>
      <c r="Z20" s="1376"/>
      <c r="AA20" s="1377"/>
      <c r="AB20" s="1377"/>
      <c r="AC20" s="1377"/>
      <c r="AD20" s="1377"/>
      <c r="AE20" s="1377"/>
      <c r="AF20" s="1377"/>
    </row>
    <row r="21" spans="1:37" s="2731" customFormat="1" ht="14.4">
      <c r="A21" s="2796" t="s">
        <v>811</v>
      </c>
      <c r="B21" s="2797" t="s">
        <v>2892</v>
      </c>
      <c r="C21" s="937">
        <f>IF(B21="容积率修正",IF(G3&lt;=10,D22,J22),C23)</f>
        <v>0</v>
      </c>
      <c r="D21" s="2798"/>
      <c r="E21" s="2798"/>
      <c r="F21" s="2798"/>
      <c r="G21" s="2798"/>
      <c r="H21" s="2798"/>
      <c r="I21" s="2798"/>
      <c r="J21" s="2799"/>
      <c r="K21" s="1376"/>
      <c r="N21" s="2800" t="s">
        <v>2893</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1" customFormat="1" ht="14.4">
      <c r="A22" s="2657" t="s">
        <v>2894</v>
      </c>
      <c r="B22" s="2801" t="s">
        <v>2895</v>
      </c>
      <c r="C22" s="1808" t="s">
        <v>2896</v>
      </c>
      <c r="D22" s="1808">
        <f>IF(E22=G22,F22,IF(G3&lt;=10,ROUND(F22+(H22-F22)*(G3-E22)/(G22-E22),4),"——"))</f>
        <v>0</v>
      </c>
      <c r="E22" s="916">
        <f>ROUNDDOWN(G3,1)</f>
        <v>0.1</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8" t="str">
        <f>IF(G3&gt;10,D113,"——")</f>
        <v>——</v>
      </c>
      <c r="K22" s="1376"/>
      <c r="N22" s="2800" t="s">
        <v>2897</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57" t="s">
        <v>2898</v>
      </c>
      <c r="B23" s="2802" t="s">
        <v>2899</v>
      </c>
      <c r="C23" s="1012">
        <f>ROUND(IF(G3&gt;1,IF(I3&lt;7,SUMPRODUCT((B93:B98=I3)*(C92:N92=G2)*(C93:N98)),SUMIF(C92:N92,G2,C100:N100)),IF(I3&lt;7,SUMPRODUCT((B102:B107=I3)*(C92:N92=G2)*(C102:N107)),SUMIF(C92:N92,G2,C109:N109))),4)</f>
        <v>0</v>
      </c>
      <c r="D23" s="2766"/>
      <c r="E23" s="2766"/>
      <c r="F23" s="2803"/>
      <c r="G23" s="2804"/>
      <c r="H23" s="2805"/>
      <c r="I23" s="2806"/>
      <c r="J23" s="2807"/>
      <c r="K23" s="1369"/>
      <c r="N23" s="2800" t="s">
        <v>2900</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1"/>
    </row>
    <row r="24" spans="1:37" s="2731" customFormat="1" ht="15" thickBot="1">
      <c r="A24" s="2789" t="s">
        <v>812</v>
      </c>
      <c r="B24" s="2778" t="s">
        <v>2901</v>
      </c>
      <c r="C24" s="924">
        <f>SUMIF(A45:A88,E2,B45:B88)</f>
        <v>0</v>
      </c>
      <c r="D24" s="2779"/>
      <c r="E24" s="2808"/>
      <c r="F24" s="2808"/>
      <c r="G24" s="2808"/>
      <c r="H24" s="2808"/>
      <c r="I24" s="2808"/>
      <c r="J24" s="2809"/>
      <c r="K24" s="1376"/>
      <c r="N24" s="2810" t="s">
        <v>2902</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89" t="s">
        <v>813</v>
      </c>
      <c r="B25" s="2811" t="s">
        <v>2903</v>
      </c>
      <c r="C25" s="930"/>
      <c r="D25" s="2741"/>
      <c r="E25" s="2741"/>
      <c r="F25" s="2812"/>
      <c r="G25" s="2741"/>
      <c r="H25" s="2741"/>
      <c r="I25" s="2741"/>
      <c r="J25" s="2742"/>
      <c r="K25" s="1369"/>
      <c r="N25" s="2813" t="s">
        <v>2904</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14"/>
      <c r="B26" s="2801" t="s">
        <v>2905</v>
      </c>
      <c r="C26" s="206" t="e">
        <f>E29+SUM(E33:E39)</f>
        <v>#DIV/0!</v>
      </c>
      <c r="D26" s="2815"/>
      <c r="E26" s="2766"/>
      <c r="F26" s="2816"/>
      <c r="G26" s="2766"/>
      <c r="H26" s="2766"/>
      <c r="I26" s="2766"/>
      <c r="J26" s="2817"/>
      <c r="K26" s="1369"/>
      <c r="L26" s="2770" t="s">
        <v>2803</v>
      </c>
      <c r="M26" s="920" t="s">
        <v>2868</v>
      </c>
      <c r="N26" s="920" t="s">
        <v>2869</v>
      </c>
      <c r="O26" s="920" t="s">
        <v>2870</v>
      </c>
      <c r="P26" s="2771" t="s">
        <v>2871</v>
      </c>
      <c r="R26" s="1375"/>
      <c r="S26" s="1375"/>
      <c r="T26" s="1370"/>
      <c r="U26" s="1370"/>
      <c r="V26" s="1370"/>
      <c r="W26" s="1369"/>
      <c r="X26" s="1369"/>
      <c r="Y26" s="1369"/>
      <c r="Z26" s="1376"/>
      <c r="AA26" s="1377"/>
      <c r="AB26" s="1377"/>
      <c r="AC26" s="1377"/>
      <c r="AD26" s="1377"/>
    </row>
    <row r="27" spans="1:37" ht="15" thickBot="1">
      <c r="A27" s="2814"/>
      <c r="B27" s="2818" t="s">
        <v>2906</v>
      </c>
      <c r="C27" s="931" t="e">
        <f>E30+SUM(I33:I39)</f>
        <v>#DIV/0!</v>
      </c>
      <c r="D27" s="2819"/>
      <c r="E27" s="2820"/>
      <c r="F27" s="2821"/>
      <c r="G27" s="2820"/>
      <c r="H27" s="2820"/>
      <c r="I27" s="2820"/>
      <c r="J27" s="2822"/>
      <c r="K27" s="1369"/>
      <c r="L27" s="2774"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3"/>
      <c r="B28" s="2824" t="s">
        <v>2907</v>
      </c>
      <c r="C28" s="2825" t="s">
        <v>2908</v>
      </c>
      <c r="D28" s="2825" t="s">
        <v>2909</v>
      </c>
      <c r="E28" s="2826" t="s">
        <v>2910</v>
      </c>
      <c r="F28" s="2827"/>
      <c r="G28" s="2754"/>
      <c r="H28" s="2754"/>
      <c r="I28" s="2754"/>
      <c r="J28" s="2755"/>
      <c r="K28" s="1369"/>
      <c r="L28" s="2775"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2911</v>
      </c>
      <c r="C29" s="206" t="e">
        <f>ROUND(C5*C18*C19*C20*C21*C24,0)</f>
        <v>#DIV/0!</v>
      </c>
      <c r="D29" s="2830"/>
      <c r="E29" s="942" t="e">
        <f>ROUND(C29*D29/10000,0)</f>
        <v>#DIV/0!</v>
      </c>
      <c r="F29" s="2831" t="s">
        <v>2912</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8" thickBot="1">
      <c r="A30" s="2834"/>
      <c r="B30" s="2835" t="s">
        <v>2913</v>
      </c>
      <c r="C30" s="229" t="e">
        <f>ROUND(IF(E2="工业",C29*M39,C29*M38),0)</f>
        <v>#DIV/0!</v>
      </c>
      <c r="D30" s="2836"/>
      <c r="E30" s="942" t="e">
        <f>ROUND(C30*D30/10000,0)</f>
        <v>#DIV/0!</v>
      </c>
      <c r="F30" s="2837" t="s">
        <v>2914</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3.8">
      <c r="A31" s="2840"/>
      <c r="B31" s="2841" t="s">
        <v>2915</v>
      </c>
      <c r="C31" s="2842" t="s">
        <v>2916</v>
      </c>
      <c r="D31" s="2754"/>
      <c r="E31" s="2842"/>
      <c r="F31" s="2842"/>
      <c r="G31" s="2752" t="s">
        <v>2917</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36">
      <c r="A32" s="2828"/>
      <c r="B32" s="2844"/>
      <c r="C32" s="501" t="s">
        <v>2908</v>
      </c>
      <c r="D32" s="498" t="s">
        <v>2909</v>
      </c>
      <c r="E32" s="498" t="s">
        <v>2910</v>
      </c>
      <c r="F32" s="388" t="s">
        <v>2918</v>
      </c>
      <c r="G32" s="2845" t="s">
        <v>2908</v>
      </c>
      <c r="H32" s="2845" t="s">
        <v>2909</v>
      </c>
      <c r="I32" s="2845"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294" t="s">
        <v>2919</v>
      </c>
      <c r="B33" s="2846" t="s">
        <v>2920</v>
      </c>
      <c r="C33" s="206" t="e">
        <f>ROUND(D5*C19*C20*C24*F33,0)</f>
        <v>#DIV/0!</v>
      </c>
      <c r="D33" s="2830"/>
      <c r="E33" s="200" t="e">
        <f>ROUND(C33*D33/10000,0)</f>
        <v>#DIV/0!</v>
      </c>
      <c r="F33" s="200">
        <f>SUMIF(修正!A45:A56,G2,修正!B45:B56)</f>
        <v>0</v>
      </c>
      <c r="G33" s="200" t="e">
        <f>ROUND(IF(E2="工业",C33*$M$39,C33*$M$38),0)</f>
        <v>#DIV/0!</v>
      </c>
      <c r="H33" s="200">
        <f>D33</f>
        <v>0</v>
      </c>
      <c r="I33" s="200" t="e">
        <f>ROUND(G33*H33/10000,0)</f>
        <v>#DIV/0!</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95"/>
      <c r="B34" s="2758" t="s">
        <v>2921</v>
      </c>
      <c r="C34" s="206" t="e">
        <f>ROUND(D5*C19*C20*C24*F34,0)</f>
        <v>#DIV/0!</v>
      </c>
      <c r="D34" s="2830"/>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5"/>
      <c r="B35" s="2758" t="s">
        <v>2922</v>
      </c>
      <c r="C35" s="206" t="e">
        <f>ROUND(D5*C19*C20*C24*F35,0)</f>
        <v>#DIV/0!</v>
      </c>
      <c r="D35" s="2830"/>
      <c r="E35" s="200" t="e">
        <f t="shared" si="6"/>
        <v>#DIV/0!</v>
      </c>
      <c r="F35" s="200">
        <f>SUMIF(修正!A45:A56,G2,修正!D45:D56)</f>
        <v>0</v>
      </c>
      <c r="G35" s="200" t="e">
        <f>ROUND(IF(E2="工业",C35*$M$39,C35*$M$38),0)</f>
        <v>#DIV/0!</v>
      </c>
      <c r="H35" s="200">
        <f t="shared" si="7"/>
        <v>0</v>
      </c>
      <c r="I35" s="200" t="e">
        <f t="shared" si="8"/>
        <v>#DIV/0!</v>
      </c>
      <c r="J35" s="2847"/>
      <c r="K35" s="1369"/>
      <c r="L35" s="1369"/>
      <c r="M35" s="1369"/>
      <c r="N35" s="1369"/>
      <c r="O35" s="1369"/>
      <c r="P35" s="1369"/>
      <c r="Q35" s="1369"/>
      <c r="R35" s="1369"/>
      <c r="S35" s="1369"/>
      <c r="T35" s="1369"/>
      <c r="U35" s="1369"/>
      <c r="V35" s="1369"/>
      <c r="W35" s="1369"/>
      <c r="X35" s="1369"/>
      <c r="Y35" s="1369"/>
      <c r="Z35" s="1370"/>
    </row>
    <row r="36" spans="1:37" ht="13.8" thickBot="1">
      <c r="A36" s="3296"/>
      <c r="B36" s="2758" t="s">
        <v>2923</v>
      </c>
      <c r="C36" s="206" t="e">
        <f>ROUND(D5*C19*C20*C24*F36,0)</f>
        <v>#DIV/0!</v>
      </c>
      <c r="D36" s="2830"/>
      <c r="E36" s="200" t="e">
        <f t="shared" si="6"/>
        <v>#DIV/0!</v>
      </c>
      <c r="F36" s="200">
        <f>SUMIF(修正!A45:A56,G2,修正!E45:E56)</f>
        <v>0</v>
      </c>
      <c r="G36" s="200" t="e">
        <f>ROUND(IF(E2="工业",C36*$M$39,C36*$M$38),0)</f>
        <v>#DIV/0!</v>
      </c>
      <c r="H36" s="200">
        <f t="shared" si="7"/>
        <v>0</v>
      </c>
      <c r="I36" s="200" t="e">
        <f t="shared" si="8"/>
        <v>#DIV/0!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2924</v>
      </c>
      <c r="C37" s="200" t="e">
        <f>ROUND(D5*C19*C20*C24*F37,0)</f>
        <v>#DIV/0!</v>
      </c>
      <c r="D37" s="2830"/>
      <c r="E37" s="200" t="e">
        <f t="shared" si="6"/>
        <v>#DIV/0!</v>
      </c>
      <c r="F37" s="206">
        <f>SUMIF(修正!A45:A56,G2,修正!F45:F56)</f>
        <v>0</v>
      </c>
      <c r="G37" s="200" t="e">
        <f>ROUND(IF(E2="工业",C37*$M$39,C37*$M$38),0)</f>
        <v>#DIV/0!</v>
      </c>
      <c r="H37" s="200">
        <f t="shared" si="7"/>
        <v>0</v>
      </c>
      <c r="I37" s="200" t="e">
        <f t="shared" si="8"/>
        <v>#DIV/0!</v>
      </c>
      <c r="J37" s="2847"/>
      <c r="K37" s="1369"/>
      <c r="L37" s="2849" t="s">
        <v>2925</v>
      </c>
      <c r="M37" s="2850"/>
      <c r="N37" s="1369"/>
      <c r="O37" s="1369"/>
      <c r="P37" s="1369"/>
      <c r="Q37" s="1369"/>
      <c r="R37" s="1369"/>
      <c r="S37" s="1369"/>
      <c r="T37" s="1369"/>
      <c r="U37" s="1369"/>
      <c r="V37" s="1369"/>
      <c r="W37" s="1369"/>
      <c r="X37" s="1369"/>
      <c r="Y37" s="1369"/>
      <c r="Z37" s="1370"/>
    </row>
    <row r="38" spans="1:37">
      <c r="A38" s="2848"/>
      <c r="B38" s="2758" t="s">
        <v>2926</v>
      </c>
      <c r="C38" s="200" t="e">
        <f>ROUND(D5*C19*C41*C24*F38,0)</f>
        <v>#DIV/0!</v>
      </c>
      <c r="D38" s="2830"/>
      <c r="E38" s="200" t="e">
        <f t="shared" si="6"/>
        <v>#DIV/0!</v>
      </c>
      <c r="F38" s="206">
        <f>SUMIF(修正!A45:A56,G2,修正!G45:G56)</f>
        <v>0</v>
      </c>
      <c r="G38" s="200" t="e">
        <f>ROUND(IF(E2="工业",C38*$M$39,C38*$M$38),0)</f>
        <v>#DIV/0!</v>
      </c>
      <c r="H38" s="200">
        <f t="shared" si="7"/>
        <v>0</v>
      </c>
      <c r="I38" s="200" t="e">
        <f t="shared" si="8"/>
        <v>#DIV/0!</v>
      </c>
      <c r="J38" s="2847"/>
      <c r="K38" s="1369"/>
      <c r="L38" s="1885" t="s">
        <v>2927</v>
      </c>
      <c r="M38" s="2851">
        <v>0.25</v>
      </c>
      <c r="N38" s="1369"/>
      <c r="O38" s="1369"/>
      <c r="P38" s="1369"/>
      <c r="Q38" s="1369"/>
      <c r="R38" s="1369"/>
      <c r="S38" s="1369"/>
      <c r="T38" s="1369"/>
      <c r="U38" s="1369"/>
      <c r="V38" s="1369"/>
      <c r="W38" s="1369"/>
      <c r="X38" s="1369"/>
      <c r="Y38" s="1369"/>
      <c r="Z38" s="1370"/>
    </row>
    <row r="39" spans="1:37" ht="13.8" thickBot="1">
      <c r="A39" s="2834"/>
      <c r="B39" s="2852" t="s">
        <v>2928</v>
      </c>
      <c r="C39" s="229" t="e">
        <f>ROUND(D5*C19*C41*C24*F39,0)</f>
        <v>#DIV/0!</v>
      </c>
      <c r="D39" s="2836"/>
      <c r="E39" s="229" t="e">
        <f t="shared" si="6"/>
        <v>#DIV/0!</v>
      </c>
      <c r="F39" s="932">
        <f>SUMIF(修正!A45:A56,G2,修正!H45:H56)</f>
        <v>0</v>
      </c>
      <c r="G39" s="229" t="e">
        <f>ROUND(IF(E2="工业",C39*$M$39,C39*$M$38),0)</f>
        <v>#DIV/0!</v>
      </c>
      <c r="H39" s="229">
        <f t="shared" si="7"/>
        <v>0</v>
      </c>
      <c r="I39" s="229" t="e">
        <f t="shared" si="8"/>
        <v>#DIV/0!</v>
      </c>
      <c r="J39" s="2853"/>
      <c r="K39" s="1369"/>
      <c r="L39" s="2854" t="s">
        <v>2871</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3" t="s">
        <v>3039</v>
      </c>
      <c r="C41" s="388" t="e">
        <f>ROUND(POWER(1+E41,H41-G41)*(POWER(1+E41,G41)-1)/(POWER(1+E41,H41)-1),4)</f>
        <v>#DIV/0!</v>
      </c>
      <c r="D41" s="200" t="s">
        <v>2878</v>
      </c>
      <c r="E41" s="2922">
        <f>G20</f>
        <v>0</v>
      </c>
      <c r="F41" s="200" t="s">
        <v>2887</v>
      </c>
      <c r="G41" s="218"/>
      <c r="H41" s="200">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 thickBot="1">
      <c r="A45" s="2857" t="s">
        <v>2929</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4.4">
      <c r="A46" s="2859" t="s">
        <v>2930</v>
      </c>
      <c r="B46" s="2860">
        <f>1+E48</f>
        <v>1</v>
      </c>
      <c r="C46" s="2861"/>
      <c r="D46" s="814"/>
      <c r="E46" s="815"/>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5.2">
      <c r="A47" s="2863" t="s">
        <v>2931</v>
      </c>
      <c r="B47" s="1807" t="s">
        <v>2932</v>
      </c>
      <c r="C47" s="1807" t="s">
        <v>2933</v>
      </c>
      <c r="D47" s="1807" t="s">
        <v>2934</v>
      </c>
      <c r="E47" s="819" t="s">
        <v>2935</v>
      </c>
      <c r="F47" s="2864" t="s">
        <v>2936</v>
      </c>
      <c r="G47" s="1807" t="s">
        <v>754</v>
      </c>
      <c r="H47" s="2865" t="s">
        <v>2937</v>
      </c>
      <c r="I47" s="1807" t="s">
        <v>2938</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5.2">
      <c r="A48" s="2863" t="s">
        <v>2939</v>
      </c>
      <c r="B48" s="2866" t="str">
        <f>估价对象房地状况!C4</f>
        <v>较差</v>
      </c>
      <c r="C48" s="2763"/>
      <c r="D48" s="1285">
        <f t="shared" ref="D48:D56" si="9">SUMIF($J$47:$N$47,C48,J48:N48)</f>
        <v>0</v>
      </c>
      <c r="E48" s="821">
        <f>ROUND(SUM(D48:D56),4)</f>
        <v>0</v>
      </c>
      <c r="F48" s="2496" t="str">
        <f>IF(E2="商业",SUMIF(L1:L12,G2,N1:N12),"——")</f>
        <v>——</v>
      </c>
      <c r="G48" s="1283"/>
      <c r="H48" s="1287" t="str">
        <f t="shared" ref="H48:H56" si="10">IFERROR(ROUNDDOWN($F$48*I48/2,4),"——")</f>
        <v>——</v>
      </c>
      <c r="I48" s="820">
        <v>0.33</v>
      </c>
      <c r="J48" s="1284">
        <f t="shared" ref="J48:J56" si="11">K48+$G48</f>
        <v>0</v>
      </c>
      <c r="K48" s="1284">
        <f t="shared" ref="K48:K56" si="12">$L48+$G48</f>
        <v>0</v>
      </c>
      <c r="L48" s="1284">
        <v>0</v>
      </c>
      <c r="M48" s="1284">
        <f t="shared" ref="M48:N56" si="13">L48-$G48</f>
        <v>0</v>
      </c>
      <c r="N48" s="1284">
        <f t="shared" si="13"/>
        <v>0</v>
      </c>
      <c r="AA48" s="1370"/>
      <c r="AB48" s="1370"/>
      <c r="AC48" s="1370"/>
      <c r="AD48" s="1370"/>
      <c r="AE48" s="1370"/>
      <c r="AF48" s="1370"/>
      <c r="AG48" s="1370"/>
      <c r="AH48" s="1370"/>
      <c r="AI48" s="1370"/>
      <c r="AJ48" s="1370"/>
      <c r="AK48" s="1370"/>
    </row>
    <row r="49" spans="1:37" s="1369" customFormat="1" ht="24">
      <c r="A49" s="2863" t="s">
        <v>2940</v>
      </c>
      <c r="B49" s="2867" t="str">
        <f>估价对象房地状况!C18</f>
        <v>差</v>
      </c>
      <c r="C49" s="2763"/>
      <c r="D49" s="1285">
        <f t="shared" si="9"/>
        <v>0</v>
      </c>
      <c r="E49" s="822"/>
      <c r="F49" s="2496"/>
      <c r="G49" s="1283"/>
      <c r="H49" s="1287" t="str">
        <f t="shared" si="10"/>
        <v>——</v>
      </c>
      <c r="I49" s="820">
        <v>0.25</v>
      </c>
      <c r="J49" s="1284">
        <f t="shared" si="11"/>
        <v>0</v>
      </c>
      <c r="K49" s="1284">
        <f t="shared" si="12"/>
        <v>0</v>
      </c>
      <c r="L49" s="1284">
        <v>0</v>
      </c>
      <c r="M49" s="1284">
        <f t="shared" si="13"/>
        <v>0</v>
      </c>
      <c r="N49" s="1284">
        <f t="shared" si="13"/>
        <v>0</v>
      </c>
      <c r="AA49" s="1370"/>
      <c r="AB49" s="1370"/>
      <c r="AC49" s="1370"/>
      <c r="AD49" s="1370"/>
      <c r="AE49" s="1370"/>
      <c r="AF49" s="1370"/>
      <c r="AG49" s="1370"/>
      <c r="AH49" s="1370"/>
      <c r="AI49" s="1370"/>
      <c r="AJ49" s="1370"/>
      <c r="AK49" s="1370"/>
    </row>
    <row r="50" spans="1:37" s="1369" customFormat="1" ht="24">
      <c r="A50" s="2863" t="s">
        <v>2941</v>
      </c>
      <c r="B50" s="2867" t="str">
        <f>估价对象房地状况!C19</f>
        <v>一般</v>
      </c>
      <c r="C50" s="2763"/>
      <c r="D50" s="1285">
        <f t="shared" si="9"/>
        <v>0</v>
      </c>
      <c r="E50" s="822"/>
      <c r="F50" s="2496"/>
      <c r="G50" s="1283"/>
      <c r="H50" s="1287" t="str">
        <f t="shared" si="10"/>
        <v>——</v>
      </c>
      <c r="I50" s="820">
        <v>0.05</v>
      </c>
      <c r="J50" s="1284">
        <f t="shared" si="11"/>
        <v>0</v>
      </c>
      <c r="K50" s="1284">
        <f t="shared" si="12"/>
        <v>0</v>
      </c>
      <c r="L50" s="1284">
        <v>0</v>
      </c>
      <c r="M50" s="1284">
        <f t="shared" si="13"/>
        <v>0</v>
      </c>
      <c r="N50" s="1284">
        <f t="shared" si="13"/>
        <v>0</v>
      </c>
      <c r="AA50" s="1370"/>
      <c r="AB50" s="1370"/>
      <c r="AC50" s="1370"/>
      <c r="AD50" s="1370"/>
      <c r="AE50" s="1370"/>
      <c r="AF50" s="1370"/>
      <c r="AG50" s="1370"/>
      <c r="AH50" s="1370"/>
      <c r="AI50" s="1370"/>
      <c r="AJ50" s="1370"/>
      <c r="AK50" s="1370"/>
    </row>
    <row r="51" spans="1:37" s="1369" customFormat="1" ht="50.4">
      <c r="A51" s="2863" t="s">
        <v>2942</v>
      </c>
      <c r="B51" s="2868" t="s">
        <v>2943</v>
      </c>
      <c r="C51" s="2763"/>
      <c r="D51" s="1285">
        <f t="shared" si="9"/>
        <v>0</v>
      </c>
      <c r="E51" s="822"/>
      <c r="F51" s="2496"/>
      <c r="G51" s="1283"/>
      <c r="H51" s="1287" t="str">
        <f t="shared" si="10"/>
        <v>——</v>
      </c>
      <c r="I51" s="820">
        <v>0.05</v>
      </c>
      <c r="J51" s="1284">
        <f t="shared" si="11"/>
        <v>0</v>
      </c>
      <c r="K51" s="1284">
        <f t="shared" si="12"/>
        <v>0</v>
      </c>
      <c r="L51" s="1284">
        <v>0</v>
      </c>
      <c r="M51" s="1284">
        <f t="shared" si="13"/>
        <v>0</v>
      </c>
      <c r="N51" s="1284">
        <f t="shared" si="13"/>
        <v>0</v>
      </c>
      <c r="AA51" s="1370"/>
      <c r="AB51" s="1370"/>
      <c r="AC51" s="1370"/>
      <c r="AD51" s="1370"/>
      <c r="AE51" s="1370"/>
      <c r="AF51" s="1370"/>
      <c r="AG51" s="1370"/>
      <c r="AH51" s="1370"/>
      <c r="AI51" s="1370"/>
      <c r="AJ51" s="1370"/>
      <c r="AK51" s="1370"/>
    </row>
    <row r="52" spans="1:37" s="1369" customFormat="1" ht="24">
      <c r="A52" s="2863" t="s">
        <v>2944</v>
      </c>
      <c r="B52" s="2867">
        <f>估价对象房地状况!C24</f>
        <v>0</v>
      </c>
      <c r="C52" s="2763"/>
      <c r="D52" s="1285">
        <f t="shared" si="9"/>
        <v>0</v>
      </c>
      <c r="E52" s="822"/>
      <c r="F52" s="2496"/>
      <c r="G52" s="1283"/>
      <c r="H52" s="1287" t="str">
        <f t="shared" si="10"/>
        <v>——</v>
      </c>
      <c r="I52" s="820">
        <v>0.08</v>
      </c>
      <c r="J52" s="1284">
        <f t="shared" si="11"/>
        <v>0</v>
      </c>
      <c r="K52" s="1284">
        <f t="shared" si="12"/>
        <v>0</v>
      </c>
      <c r="L52" s="1284">
        <v>0</v>
      </c>
      <c r="M52" s="1284">
        <f t="shared" si="13"/>
        <v>0</v>
      </c>
      <c r="N52" s="1284">
        <f t="shared" si="13"/>
        <v>0</v>
      </c>
      <c r="AA52" s="1370"/>
      <c r="AB52" s="1370"/>
      <c r="AC52" s="1370"/>
      <c r="AD52" s="1370"/>
      <c r="AE52" s="1370"/>
      <c r="AF52" s="1370"/>
      <c r="AG52" s="1370"/>
      <c r="AH52" s="1370"/>
      <c r="AI52" s="1370"/>
      <c r="AJ52" s="1370"/>
      <c r="AK52" s="1370"/>
    </row>
    <row r="53" spans="1:37" s="1369" customFormat="1" ht="36">
      <c r="A53" s="2863" t="s">
        <v>2945</v>
      </c>
      <c r="B53" s="2869" t="s">
        <v>2946</v>
      </c>
      <c r="C53" s="2763"/>
      <c r="D53" s="1285">
        <f t="shared" si="9"/>
        <v>0</v>
      </c>
      <c r="E53" s="822"/>
      <c r="F53" s="2496"/>
      <c r="G53" s="1283"/>
      <c r="H53" s="1287" t="str">
        <f t="shared" si="10"/>
        <v>——</v>
      </c>
      <c r="I53" s="820">
        <v>0.03</v>
      </c>
      <c r="J53" s="1284">
        <f t="shared" si="11"/>
        <v>0</v>
      </c>
      <c r="K53" s="1284">
        <f t="shared" si="12"/>
        <v>0</v>
      </c>
      <c r="L53" s="1284">
        <v>0</v>
      </c>
      <c r="M53" s="1284">
        <f t="shared" si="13"/>
        <v>0</v>
      </c>
      <c r="N53" s="1284">
        <f t="shared" si="13"/>
        <v>0</v>
      </c>
      <c r="AA53" s="1370"/>
      <c r="AB53" s="1370"/>
      <c r="AC53" s="1370"/>
      <c r="AD53" s="1370"/>
      <c r="AE53" s="1370"/>
      <c r="AF53" s="1370"/>
      <c r="AG53" s="1370"/>
      <c r="AH53" s="1370"/>
      <c r="AI53" s="1370"/>
      <c r="AJ53" s="1370"/>
      <c r="AK53" s="1370"/>
    </row>
    <row r="54" spans="1:37" s="1369" customFormat="1" ht="24">
      <c r="A54" s="2870" t="s">
        <v>2947</v>
      </c>
      <c r="B54" s="1723" t="str">
        <f>估价对象房地状况!C21</f>
        <v>差</v>
      </c>
      <c r="C54" s="2763"/>
      <c r="D54" s="1285">
        <f t="shared" si="9"/>
        <v>0</v>
      </c>
      <c r="E54" s="822"/>
      <c r="F54" s="2496"/>
      <c r="G54" s="1283"/>
      <c r="H54" s="1287" t="str">
        <f t="shared" si="10"/>
        <v>——</v>
      </c>
      <c r="I54" s="820">
        <v>0.05</v>
      </c>
      <c r="J54" s="1284">
        <f t="shared" si="11"/>
        <v>0</v>
      </c>
      <c r="K54" s="1284">
        <f t="shared" si="12"/>
        <v>0</v>
      </c>
      <c r="L54" s="1284">
        <v>0</v>
      </c>
      <c r="M54" s="1284">
        <f t="shared" si="13"/>
        <v>0</v>
      </c>
      <c r="N54" s="1284">
        <f t="shared" si="13"/>
        <v>0</v>
      </c>
      <c r="AA54" s="1370"/>
      <c r="AB54" s="1370"/>
      <c r="AC54" s="1370"/>
      <c r="AD54" s="1370"/>
      <c r="AE54" s="1370"/>
      <c r="AF54" s="1370"/>
      <c r="AG54" s="1370"/>
      <c r="AH54" s="1370"/>
      <c r="AI54" s="1370"/>
      <c r="AJ54" s="1370"/>
      <c r="AK54" s="1370"/>
    </row>
    <row r="55" spans="1:37" s="1369" customFormat="1" ht="24">
      <c r="A55" s="2870" t="s">
        <v>2948</v>
      </c>
      <c r="B55" s="2867" t="str">
        <f>估价对象房地状况!C22</f>
        <v>七通</v>
      </c>
      <c r="C55" s="2763"/>
      <c r="D55" s="1285">
        <f t="shared" si="9"/>
        <v>0</v>
      </c>
      <c r="E55" s="822"/>
      <c r="F55" s="2496"/>
      <c r="G55" s="1283"/>
      <c r="H55" s="1287" t="str">
        <f t="shared" si="10"/>
        <v>——</v>
      </c>
      <c r="I55" s="820">
        <v>0.1</v>
      </c>
      <c r="J55" s="1284">
        <f t="shared" si="11"/>
        <v>0</v>
      </c>
      <c r="K55" s="1284">
        <f t="shared" si="12"/>
        <v>0</v>
      </c>
      <c r="L55" s="1284">
        <v>0</v>
      </c>
      <c r="M55" s="1284">
        <f t="shared" si="13"/>
        <v>0</v>
      </c>
      <c r="N55" s="1284">
        <f t="shared" si="13"/>
        <v>0</v>
      </c>
      <c r="AA55" s="1370"/>
      <c r="AB55" s="1370"/>
      <c r="AC55" s="1370"/>
      <c r="AD55" s="1370"/>
      <c r="AE55" s="1370"/>
      <c r="AF55" s="1370"/>
      <c r="AG55" s="1370"/>
      <c r="AH55" s="1370"/>
      <c r="AI55" s="1370"/>
      <c r="AJ55" s="1370"/>
      <c r="AK55" s="1370"/>
    </row>
    <row r="56" spans="1:37" s="1369" customFormat="1" ht="36.6" thickBot="1">
      <c r="A56" s="2871" t="s">
        <v>2949</v>
      </c>
      <c r="B56" s="2872" t="str">
        <f>估价对象房地状况!C20</f>
        <v>一般</v>
      </c>
      <c r="C56" s="2763"/>
      <c r="D56" s="1285">
        <f t="shared" si="9"/>
        <v>0</v>
      </c>
      <c r="E56" s="825"/>
      <c r="F56" s="2496"/>
      <c r="G56" s="1283"/>
      <c r="H56" s="1287" t="str">
        <f t="shared" si="10"/>
        <v>——</v>
      </c>
      <c r="I56" s="824">
        <v>0.06</v>
      </c>
      <c r="J56" s="1284">
        <f t="shared" si="11"/>
        <v>0</v>
      </c>
      <c r="K56" s="1284">
        <f t="shared" si="12"/>
        <v>0</v>
      </c>
      <c r="L56" s="1284">
        <v>0</v>
      </c>
      <c r="M56" s="1284">
        <f t="shared" si="13"/>
        <v>0</v>
      </c>
      <c r="N56" s="1284">
        <f t="shared" si="13"/>
        <v>0</v>
      </c>
      <c r="AA56" s="1370"/>
      <c r="AB56" s="1370"/>
      <c r="AC56" s="1370"/>
      <c r="AD56" s="1370"/>
      <c r="AE56" s="1370"/>
      <c r="AF56" s="1370"/>
      <c r="AG56" s="1370"/>
      <c r="AH56" s="1370"/>
      <c r="AI56" s="1370"/>
      <c r="AJ56" s="1370"/>
      <c r="AK56" s="1370"/>
    </row>
    <row r="57" spans="1:37" s="1369" customFormat="1" ht="14.4">
      <c r="A57" s="2859" t="s">
        <v>2950</v>
      </c>
      <c r="B57" s="2860">
        <f>1+E59</f>
        <v>1</v>
      </c>
      <c r="C57" s="814"/>
      <c r="D57" s="814"/>
      <c r="E57" s="815"/>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3" t="s">
        <v>2931</v>
      </c>
      <c r="B58" s="1807"/>
      <c r="C58" s="1807" t="s">
        <v>2933</v>
      </c>
      <c r="D58" s="1807" t="s">
        <v>2934</v>
      </c>
      <c r="E58" s="819" t="s">
        <v>2935</v>
      </c>
      <c r="F58" s="2864" t="s">
        <v>2951</v>
      </c>
      <c r="G58" s="1807" t="s">
        <v>754</v>
      </c>
      <c r="H58" s="2865" t="s">
        <v>2937</v>
      </c>
      <c r="I58" s="1807" t="s">
        <v>2938</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63" t="s">
        <v>2952</v>
      </c>
      <c r="B59" s="2866">
        <f>估价对象房地状况!C17</f>
        <v>0</v>
      </c>
      <c r="C59" s="2763"/>
      <c r="D59" s="1285">
        <f t="shared" ref="D59:D67" si="14">SUMIF($J$58:$N$58,C59,J59:N59)</f>
        <v>0</v>
      </c>
      <c r="E59" s="821">
        <f>ROUND(SUM(D59:D67),4)</f>
        <v>0</v>
      </c>
      <c r="F59" s="2496" t="str">
        <f>IF(E2="办公",SUMIF(L1:L12,G2,N1:N12),"——")</f>
        <v>——</v>
      </c>
      <c r="G59" s="1283"/>
      <c r="H59" s="1287" t="str">
        <f t="shared" ref="H59:H67" si="15">IFERROR(ROUNDDOWN($F$59*I59/2,4),"——")</f>
        <v>——</v>
      </c>
      <c r="I59" s="820">
        <v>0.24</v>
      </c>
      <c r="J59" s="1284">
        <f t="shared" ref="J59:J67" si="16">K59+$G59</f>
        <v>0</v>
      </c>
      <c r="K59" s="1284">
        <f t="shared" ref="K59:K67" si="17">$L59+$G59</f>
        <v>0</v>
      </c>
      <c r="L59" s="1284">
        <v>0</v>
      </c>
      <c r="M59" s="1284">
        <f t="shared" ref="M59:N67" si="18">L59-$G59</f>
        <v>0</v>
      </c>
      <c r="N59" s="1284">
        <f t="shared" si="18"/>
        <v>0</v>
      </c>
      <c r="AA59" s="1370"/>
      <c r="AB59" s="1370"/>
      <c r="AC59" s="1370"/>
      <c r="AD59" s="1370"/>
      <c r="AE59" s="1370"/>
      <c r="AF59" s="1370"/>
      <c r="AG59" s="1370"/>
      <c r="AH59" s="1370"/>
      <c r="AI59" s="1370"/>
      <c r="AJ59" s="1370"/>
      <c r="AK59" s="1370"/>
    </row>
    <row r="60" spans="1:37" s="1369" customFormat="1" ht="24">
      <c r="A60" s="2863" t="s">
        <v>2940</v>
      </c>
      <c r="B60" s="2867" t="str">
        <f>估价对象房地状况!C18</f>
        <v>差</v>
      </c>
      <c r="C60" s="2763"/>
      <c r="D60" s="1285">
        <f t="shared" si="14"/>
        <v>0</v>
      </c>
      <c r="E60" s="822"/>
      <c r="F60" s="2496"/>
      <c r="G60" s="1283"/>
      <c r="H60" s="1287" t="str">
        <f t="shared" si="15"/>
        <v>——</v>
      </c>
      <c r="I60" s="820">
        <v>0.3</v>
      </c>
      <c r="J60" s="1284">
        <f t="shared" si="16"/>
        <v>0</v>
      </c>
      <c r="K60" s="1284">
        <f t="shared" si="17"/>
        <v>0</v>
      </c>
      <c r="L60" s="1284">
        <v>0</v>
      </c>
      <c r="M60" s="1284">
        <f t="shared" si="18"/>
        <v>0</v>
      </c>
      <c r="N60" s="1284">
        <f t="shared" si="18"/>
        <v>0</v>
      </c>
      <c r="AA60" s="1370"/>
      <c r="AB60" s="1370"/>
      <c r="AC60" s="1370"/>
      <c r="AD60" s="1370"/>
      <c r="AE60" s="1370"/>
      <c r="AF60" s="1370"/>
      <c r="AG60" s="1370"/>
      <c r="AH60" s="1370"/>
      <c r="AI60" s="1370"/>
      <c r="AJ60" s="1370"/>
      <c r="AK60" s="1370"/>
    </row>
    <row r="61" spans="1:37" s="1369" customFormat="1" ht="24">
      <c r="A61" s="2863" t="s">
        <v>2941</v>
      </c>
      <c r="B61" s="2867" t="str">
        <f>估价对象房地状况!C19</f>
        <v>一般</v>
      </c>
      <c r="C61" s="2763"/>
      <c r="D61" s="1285">
        <f t="shared" si="14"/>
        <v>0</v>
      </c>
      <c r="E61" s="822"/>
      <c r="F61" s="2496"/>
      <c r="G61" s="1283"/>
      <c r="H61" s="1287" t="str">
        <f t="shared" si="15"/>
        <v>——</v>
      </c>
      <c r="I61" s="820">
        <v>0.08</v>
      </c>
      <c r="J61" s="1284">
        <f t="shared" si="16"/>
        <v>0</v>
      </c>
      <c r="K61" s="1284">
        <f t="shared" si="17"/>
        <v>0</v>
      </c>
      <c r="L61" s="1284">
        <v>0</v>
      </c>
      <c r="M61" s="1284">
        <f t="shared" si="18"/>
        <v>0</v>
      </c>
      <c r="N61" s="1284">
        <f t="shared" si="18"/>
        <v>0</v>
      </c>
      <c r="AA61" s="1370"/>
      <c r="AB61" s="1370"/>
      <c r="AC61" s="1370"/>
      <c r="AD61" s="1370"/>
      <c r="AE61" s="1370"/>
      <c r="AF61" s="1370"/>
      <c r="AG61" s="1370"/>
      <c r="AH61" s="1370"/>
      <c r="AI61" s="1370"/>
      <c r="AJ61" s="1370"/>
      <c r="AK61" s="1370"/>
    </row>
    <row r="62" spans="1:37" s="1369" customFormat="1" ht="50.4">
      <c r="A62" s="2863" t="s">
        <v>2942</v>
      </c>
      <c r="B62" s="2868" t="s">
        <v>2943</v>
      </c>
      <c r="C62" s="2763"/>
      <c r="D62" s="1285">
        <f t="shared" si="14"/>
        <v>0</v>
      </c>
      <c r="E62" s="822"/>
      <c r="F62" s="2496"/>
      <c r="G62" s="1283"/>
      <c r="H62" s="1287" t="str">
        <f t="shared" si="15"/>
        <v>——</v>
      </c>
      <c r="I62" s="820">
        <v>0.04</v>
      </c>
      <c r="J62" s="1284">
        <f t="shared" si="16"/>
        <v>0</v>
      </c>
      <c r="K62" s="1284">
        <f t="shared" si="17"/>
        <v>0</v>
      </c>
      <c r="L62" s="1284">
        <v>0</v>
      </c>
      <c r="M62" s="1284">
        <f t="shared" si="18"/>
        <v>0</v>
      </c>
      <c r="N62" s="1284">
        <f t="shared" si="18"/>
        <v>0</v>
      </c>
      <c r="AA62" s="1370"/>
      <c r="AB62" s="1370"/>
      <c r="AC62" s="1370"/>
      <c r="AD62" s="1370"/>
      <c r="AE62" s="1370"/>
      <c r="AF62" s="1370"/>
      <c r="AG62" s="1370"/>
      <c r="AH62" s="1370"/>
      <c r="AI62" s="1370"/>
      <c r="AJ62" s="1370"/>
      <c r="AK62" s="1370"/>
    </row>
    <row r="63" spans="1:37" s="1369" customFormat="1" ht="24">
      <c r="A63" s="2863" t="s">
        <v>2944</v>
      </c>
      <c r="B63" s="2867">
        <f>估价对象房地状况!C24</f>
        <v>0</v>
      </c>
      <c r="C63" s="2763"/>
      <c r="D63" s="1285">
        <f t="shared" si="14"/>
        <v>0</v>
      </c>
      <c r="E63" s="822"/>
      <c r="F63" s="2496"/>
      <c r="G63" s="1283"/>
      <c r="H63" s="1287" t="str">
        <f t="shared" si="15"/>
        <v>——</v>
      </c>
      <c r="I63" s="820">
        <v>0.05</v>
      </c>
      <c r="J63" s="1284">
        <f t="shared" si="16"/>
        <v>0</v>
      </c>
      <c r="K63" s="1284">
        <f t="shared" si="17"/>
        <v>0</v>
      </c>
      <c r="L63" s="1284">
        <v>0</v>
      </c>
      <c r="M63" s="1284">
        <f t="shared" si="18"/>
        <v>0</v>
      </c>
      <c r="N63" s="1284">
        <f t="shared" si="18"/>
        <v>0</v>
      </c>
      <c r="AA63" s="1370"/>
      <c r="AB63" s="1370"/>
      <c r="AC63" s="1370"/>
      <c r="AD63" s="1370"/>
      <c r="AE63" s="1370"/>
      <c r="AF63" s="1370"/>
      <c r="AG63" s="1370"/>
      <c r="AH63" s="1370"/>
      <c r="AI63" s="1370"/>
      <c r="AJ63" s="1370"/>
      <c r="AK63" s="1370"/>
    </row>
    <row r="64" spans="1:37" s="1369" customFormat="1" ht="36">
      <c r="A64" s="2863" t="s">
        <v>2945</v>
      </c>
      <c r="B64" s="2869" t="s">
        <v>2946</v>
      </c>
      <c r="C64" s="2763"/>
      <c r="D64" s="1285">
        <f t="shared" si="14"/>
        <v>0</v>
      </c>
      <c r="E64" s="822"/>
      <c r="F64" s="2496"/>
      <c r="G64" s="1283"/>
      <c r="H64" s="1287" t="str">
        <f t="shared" si="15"/>
        <v>——</v>
      </c>
      <c r="I64" s="820">
        <v>0.05</v>
      </c>
      <c r="J64" s="1284">
        <f t="shared" si="16"/>
        <v>0</v>
      </c>
      <c r="K64" s="1284">
        <f t="shared" si="17"/>
        <v>0</v>
      </c>
      <c r="L64" s="1284">
        <v>0</v>
      </c>
      <c r="M64" s="1284">
        <f t="shared" si="18"/>
        <v>0</v>
      </c>
      <c r="N64" s="1284">
        <f t="shared" si="18"/>
        <v>0</v>
      </c>
      <c r="AA64" s="1370"/>
      <c r="AB64" s="1370"/>
      <c r="AC64" s="1370"/>
      <c r="AD64" s="1370"/>
      <c r="AE64" s="1370"/>
      <c r="AF64" s="1370"/>
      <c r="AG64" s="1370"/>
      <c r="AH64" s="1370"/>
      <c r="AI64" s="1370"/>
      <c r="AJ64" s="1370"/>
      <c r="AK64" s="1370"/>
    </row>
    <row r="65" spans="1:37" s="1369" customFormat="1" ht="24">
      <c r="A65" s="2863" t="s">
        <v>2947</v>
      </c>
      <c r="B65" s="1723" t="str">
        <f>估价对象房地状况!C21</f>
        <v>差</v>
      </c>
      <c r="C65" s="2763"/>
      <c r="D65" s="1285">
        <f t="shared" si="14"/>
        <v>0</v>
      </c>
      <c r="E65" s="822"/>
      <c r="F65" s="2496"/>
      <c r="G65" s="1283"/>
      <c r="H65" s="1287" t="str">
        <f t="shared" si="15"/>
        <v>——</v>
      </c>
      <c r="I65" s="820">
        <v>0.06</v>
      </c>
      <c r="J65" s="1284">
        <f t="shared" si="16"/>
        <v>0</v>
      </c>
      <c r="K65" s="1284">
        <f t="shared" si="17"/>
        <v>0</v>
      </c>
      <c r="L65" s="1284">
        <v>0</v>
      </c>
      <c r="M65" s="1284">
        <f t="shared" si="18"/>
        <v>0</v>
      </c>
      <c r="N65" s="1284">
        <f t="shared" si="18"/>
        <v>0</v>
      </c>
      <c r="AA65" s="1370"/>
      <c r="AB65" s="1370"/>
      <c r="AC65" s="1370"/>
      <c r="AD65" s="1370"/>
      <c r="AE65" s="1370"/>
      <c r="AF65" s="1370"/>
      <c r="AG65" s="1370"/>
      <c r="AH65" s="1370"/>
      <c r="AI65" s="1370"/>
      <c r="AJ65" s="1370"/>
      <c r="AK65" s="1370"/>
    </row>
    <row r="66" spans="1:37" s="1369" customFormat="1" ht="24">
      <c r="A66" s="2863" t="s">
        <v>2948</v>
      </c>
      <c r="B66" s="1723" t="str">
        <f>估价对象房地状况!C22</f>
        <v>七通</v>
      </c>
      <c r="C66" s="2763"/>
      <c r="D66" s="1285">
        <f t="shared" si="14"/>
        <v>0</v>
      </c>
      <c r="E66" s="822"/>
      <c r="F66" s="2496"/>
      <c r="G66" s="1283"/>
      <c r="H66" s="1287" t="str">
        <f t="shared" si="15"/>
        <v>——</v>
      </c>
      <c r="I66" s="820">
        <v>0.12</v>
      </c>
      <c r="J66" s="1284">
        <f t="shared" si="16"/>
        <v>0</v>
      </c>
      <c r="K66" s="1284">
        <f t="shared" si="17"/>
        <v>0</v>
      </c>
      <c r="L66" s="1284">
        <v>0</v>
      </c>
      <c r="M66" s="1284">
        <f t="shared" si="18"/>
        <v>0</v>
      </c>
      <c r="N66" s="1284">
        <f t="shared" si="18"/>
        <v>0</v>
      </c>
      <c r="AA66" s="1370"/>
      <c r="AB66" s="1370"/>
      <c r="AC66" s="1370"/>
      <c r="AD66" s="1370"/>
      <c r="AE66" s="1370"/>
      <c r="AF66" s="1370"/>
      <c r="AG66" s="1370"/>
      <c r="AH66" s="1370"/>
      <c r="AI66" s="1370"/>
      <c r="AJ66" s="1370"/>
      <c r="AK66" s="1370"/>
    </row>
    <row r="67" spans="1:37" s="1369" customFormat="1" ht="36.6" thickBot="1">
      <c r="A67" s="2871" t="s">
        <v>2949</v>
      </c>
      <c r="B67" s="2873" t="str">
        <f>估价对象房地状况!C20</f>
        <v>一般</v>
      </c>
      <c r="C67" s="2763"/>
      <c r="D67" s="1285">
        <f t="shared" si="14"/>
        <v>0</v>
      </c>
      <c r="E67" s="825"/>
      <c r="F67" s="2496"/>
      <c r="G67" s="1283"/>
      <c r="H67" s="1287" t="str">
        <f t="shared" si="15"/>
        <v>——</v>
      </c>
      <c r="I67" s="824">
        <v>0.06</v>
      </c>
      <c r="J67" s="1284">
        <f t="shared" si="16"/>
        <v>0</v>
      </c>
      <c r="K67" s="1284">
        <f t="shared" si="17"/>
        <v>0</v>
      </c>
      <c r="L67" s="1284">
        <v>0</v>
      </c>
      <c r="M67" s="1284">
        <f t="shared" si="18"/>
        <v>0</v>
      </c>
      <c r="N67" s="1284">
        <f t="shared" si="18"/>
        <v>0</v>
      </c>
      <c r="AA67" s="1370"/>
      <c r="AB67" s="1370"/>
      <c r="AC67" s="1370"/>
      <c r="AD67" s="1370"/>
      <c r="AE67" s="1370"/>
      <c r="AF67" s="1370"/>
      <c r="AG67" s="1370"/>
      <c r="AH67" s="1370"/>
      <c r="AI67" s="1370"/>
      <c r="AJ67" s="1370"/>
      <c r="AK67" s="1370"/>
    </row>
    <row r="68" spans="1:37" s="1369" customFormat="1" ht="14.4">
      <c r="A68" s="2859" t="s">
        <v>2953</v>
      </c>
      <c r="B68" s="2860">
        <f>1+E70</f>
        <v>1</v>
      </c>
      <c r="C68" s="814"/>
      <c r="D68" s="814"/>
      <c r="E68" s="815"/>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3" t="s">
        <v>2931</v>
      </c>
      <c r="B69" s="1807"/>
      <c r="C69" s="1807" t="s">
        <v>2933</v>
      </c>
      <c r="D69" s="1807" t="s">
        <v>2934</v>
      </c>
      <c r="E69" s="819" t="s">
        <v>2935</v>
      </c>
      <c r="F69" s="2864" t="s">
        <v>2951</v>
      </c>
      <c r="G69" s="1807" t="s">
        <v>754</v>
      </c>
      <c r="H69" s="2865" t="s">
        <v>2937</v>
      </c>
      <c r="I69" s="1807" t="s">
        <v>2938</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63" t="s">
        <v>2954</v>
      </c>
      <c r="B70" s="2866" t="str">
        <f>估价对象房地状况!C15</f>
        <v>较差</v>
      </c>
      <c r="C70" s="2763"/>
      <c r="D70" s="1285">
        <f t="shared" ref="D70:D78" si="19">SUMIF($J$69:$N$69,C70,J70:N70)</f>
        <v>0</v>
      </c>
      <c r="E70" s="821">
        <f>ROUND(SUM(D70:D78),4)</f>
        <v>0</v>
      </c>
      <c r="F70" s="2496" t="str">
        <f>IF(E2="住宅",SUMIF(L1:L12,G2,N1:N12),"——")</f>
        <v>——</v>
      </c>
      <c r="G70" s="1283"/>
      <c r="H70" s="1287" t="str">
        <f t="shared" ref="H70:H78" si="20">IFERROR(ROUNDDOWN($F$70*I70/2,4),"——")</f>
        <v>——</v>
      </c>
      <c r="I70" s="820">
        <v>0.14000000000000001</v>
      </c>
      <c r="J70" s="1284">
        <f t="shared" ref="J70:J78" si="21">K70+$G70</f>
        <v>0</v>
      </c>
      <c r="K70" s="1284">
        <f t="shared" ref="K70:K78" si="22">$L70+$G70</f>
        <v>0</v>
      </c>
      <c r="L70" s="1284">
        <v>0</v>
      </c>
      <c r="M70" s="1284">
        <f t="shared" ref="M70:N78" si="23">L70-$G70</f>
        <v>0</v>
      </c>
      <c r="N70" s="1284">
        <f t="shared" si="23"/>
        <v>0</v>
      </c>
      <c r="AA70" s="1370"/>
      <c r="AB70" s="1370"/>
      <c r="AC70" s="1370"/>
      <c r="AD70" s="1370"/>
      <c r="AE70" s="1370"/>
      <c r="AF70" s="1370"/>
      <c r="AG70" s="1370"/>
      <c r="AH70" s="1370"/>
      <c r="AI70" s="1370"/>
      <c r="AJ70" s="1370"/>
      <c r="AK70" s="1370"/>
    </row>
    <row r="71" spans="1:37" s="1369" customFormat="1" ht="24">
      <c r="A71" s="2863" t="s">
        <v>2940</v>
      </c>
      <c r="B71" s="2867" t="str">
        <f>估价对象房地状况!C18</f>
        <v>差</v>
      </c>
      <c r="C71" s="2763"/>
      <c r="D71" s="1285">
        <f t="shared" si="19"/>
        <v>0</v>
      </c>
      <c r="E71" s="826"/>
      <c r="F71" s="2496"/>
      <c r="G71" s="1283"/>
      <c r="H71" s="1287" t="str">
        <f t="shared" si="20"/>
        <v>——</v>
      </c>
      <c r="I71" s="820">
        <v>0.3</v>
      </c>
      <c r="J71" s="1284">
        <f t="shared" si="21"/>
        <v>0</v>
      </c>
      <c r="K71" s="1284">
        <f t="shared" si="22"/>
        <v>0</v>
      </c>
      <c r="L71" s="1284">
        <v>0</v>
      </c>
      <c r="M71" s="1284">
        <f t="shared" si="23"/>
        <v>0</v>
      </c>
      <c r="N71" s="1284">
        <f t="shared" si="23"/>
        <v>0</v>
      </c>
      <c r="AA71" s="1370"/>
      <c r="AB71" s="1370"/>
      <c r="AC71" s="1370"/>
      <c r="AD71" s="1370"/>
      <c r="AE71" s="1370"/>
      <c r="AF71" s="1370"/>
      <c r="AG71" s="1370"/>
      <c r="AH71" s="1370"/>
      <c r="AI71" s="1370"/>
      <c r="AJ71" s="1370"/>
      <c r="AK71" s="1370"/>
    </row>
    <row r="72" spans="1:37" s="1369" customFormat="1" ht="24">
      <c r="A72" s="2863" t="s">
        <v>2941</v>
      </c>
      <c r="B72" s="2867" t="str">
        <f>估价对象房地状况!C19</f>
        <v>一般</v>
      </c>
      <c r="C72" s="2763"/>
      <c r="D72" s="1285">
        <f t="shared" si="19"/>
        <v>0</v>
      </c>
      <c r="E72" s="826"/>
      <c r="F72" s="2496"/>
      <c r="G72" s="1283"/>
      <c r="H72" s="1287" t="str">
        <f t="shared" si="20"/>
        <v>——</v>
      </c>
      <c r="I72" s="820">
        <v>0.08</v>
      </c>
      <c r="J72" s="1284">
        <f t="shared" si="21"/>
        <v>0</v>
      </c>
      <c r="K72" s="1284">
        <f t="shared" si="22"/>
        <v>0</v>
      </c>
      <c r="L72" s="1284">
        <v>0</v>
      </c>
      <c r="M72" s="1284">
        <f t="shared" si="23"/>
        <v>0</v>
      </c>
      <c r="N72" s="1284">
        <f t="shared" si="23"/>
        <v>0</v>
      </c>
      <c r="AA72" s="1370"/>
      <c r="AB72" s="1370"/>
      <c r="AC72" s="1370"/>
      <c r="AD72" s="1370"/>
      <c r="AE72" s="1370"/>
      <c r="AF72" s="1370"/>
      <c r="AG72" s="1370"/>
      <c r="AH72" s="1370"/>
      <c r="AI72" s="1370"/>
      <c r="AJ72" s="1370"/>
      <c r="AK72" s="1370"/>
    </row>
    <row r="73" spans="1:37" s="1369" customFormat="1" ht="13.8">
      <c r="A73" s="2863" t="s">
        <v>2955</v>
      </c>
      <c r="B73" s="2867">
        <f>估价对象房地状况!C24</f>
        <v>0</v>
      </c>
      <c r="C73" s="2763"/>
      <c r="D73" s="1285">
        <f t="shared" si="19"/>
        <v>0</v>
      </c>
      <c r="E73" s="826"/>
      <c r="F73" s="2496"/>
      <c r="G73" s="1283"/>
      <c r="H73" s="1287" t="str">
        <f t="shared" si="20"/>
        <v>——</v>
      </c>
      <c r="I73" s="820">
        <v>0.04</v>
      </c>
      <c r="J73" s="1284">
        <f t="shared" si="21"/>
        <v>0</v>
      </c>
      <c r="K73" s="1284">
        <f t="shared" si="22"/>
        <v>0</v>
      </c>
      <c r="L73" s="1284">
        <v>0</v>
      </c>
      <c r="M73" s="1284">
        <f t="shared" si="23"/>
        <v>0</v>
      </c>
      <c r="N73" s="1284">
        <f t="shared" si="23"/>
        <v>0</v>
      </c>
      <c r="AA73" s="1370"/>
      <c r="AB73" s="1370"/>
      <c r="AC73" s="1370"/>
      <c r="AD73" s="1370"/>
      <c r="AE73" s="1370"/>
      <c r="AF73" s="1370"/>
      <c r="AG73" s="1370"/>
      <c r="AH73" s="1370"/>
      <c r="AI73" s="1370"/>
      <c r="AJ73" s="1370"/>
      <c r="AK73" s="1370"/>
    </row>
    <row r="74" spans="1:37" s="1369" customFormat="1" ht="24">
      <c r="A74" s="2863" t="s">
        <v>2947</v>
      </c>
      <c r="B74" s="1723" t="str">
        <f>估价对象房地状况!C21</f>
        <v>差</v>
      </c>
      <c r="C74" s="2763"/>
      <c r="D74" s="1285">
        <f t="shared" si="19"/>
        <v>0</v>
      </c>
      <c r="E74" s="826"/>
      <c r="F74" s="2496"/>
      <c r="G74" s="1283"/>
      <c r="H74" s="1287" t="str">
        <f t="shared" si="20"/>
        <v>——</v>
      </c>
      <c r="I74" s="820">
        <v>0.08</v>
      </c>
      <c r="J74" s="1284">
        <f t="shared" si="21"/>
        <v>0</v>
      </c>
      <c r="K74" s="1284">
        <f t="shared" si="22"/>
        <v>0</v>
      </c>
      <c r="L74" s="1284">
        <v>0</v>
      </c>
      <c r="M74" s="1284">
        <f t="shared" si="23"/>
        <v>0</v>
      </c>
      <c r="N74" s="1284">
        <f t="shared" si="23"/>
        <v>0</v>
      </c>
      <c r="AA74" s="1370"/>
      <c r="AB74" s="1370"/>
      <c r="AC74" s="1370"/>
      <c r="AD74" s="1370"/>
      <c r="AE74" s="1370"/>
      <c r="AF74" s="1370"/>
      <c r="AG74" s="1370"/>
      <c r="AH74" s="1370"/>
      <c r="AI74" s="1370"/>
      <c r="AJ74" s="1370"/>
      <c r="AK74" s="1370"/>
    </row>
    <row r="75" spans="1:37" s="1369" customFormat="1" ht="24">
      <c r="A75" s="2863" t="s">
        <v>2948</v>
      </c>
      <c r="B75" s="1723" t="str">
        <f>估价对象房地状况!C22</f>
        <v>七通</v>
      </c>
      <c r="C75" s="2763"/>
      <c r="D75" s="1285">
        <f t="shared" si="19"/>
        <v>0</v>
      </c>
      <c r="E75" s="826"/>
      <c r="F75" s="2496"/>
      <c r="G75" s="1283"/>
      <c r="H75" s="1287" t="str">
        <f t="shared" si="20"/>
        <v>——</v>
      </c>
      <c r="I75" s="820">
        <v>0.12</v>
      </c>
      <c r="J75" s="1284">
        <f t="shared" si="21"/>
        <v>0</v>
      </c>
      <c r="K75" s="1284">
        <f t="shared" si="22"/>
        <v>0</v>
      </c>
      <c r="L75" s="1284">
        <v>0</v>
      </c>
      <c r="M75" s="1284">
        <f t="shared" si="23"/>
        <v>0</v>
      </c>
      <c r="N75" s="1284">
        <f t="shared" si="23"/>
        <v>0</v>
      </c>
      <c r="AA75" s="1370"/>
      <c r="AB75" s="1370"/>
      <c r="AC75" s="1370"/>
      <c r="AD75" s="1370"/>
      <c r="AE75" s="1370"/>
      <c r="AF75" s="1370"/>
      <c r="AG75" s="1370"/>
      <c r="AH75" s="1370"/>
      <c r="AI75" s="1370"/>
      <c r="AJ75" s="1370"/>
      <c r="AK75" s="1370"/>
    </row>
    <row r="76" spans="1:37" s="2712" customFormat="1" ht="36">
      <c r="A76" s="2863" t="s">
        <v>2945</v>
      </c>
      <c r="B76" s="2869" t="s">
        <v>2946</v>
      </c>
      <c r="C76" s="2763"/>
      <c r="D76" s="1285">
        <f t="shared" si="19"/>
        <v>0</v>
      </c>
      <c r="E76" s="826"/>
      <c r="F76" s="2496"/>
      <c r="G76" s="1283"/>
      <c r="H76" s="1287" t="str">
        <f t="shared" si="20"/>
        <v>——</v>
      </c>
      <c r="I76" s="820">
        <v>0.05</v>
      </c>
      <c r="J76" s="1284">
        <f t="shared" si="21"/>
        <v>0</v>
      </c>
      <c r="K76" s="1284">
        <f t="shared" si="22"/>
        <v>0</v>
      </c>
      <c r="L76" s="1284">
        <v>0</v>
      </c>
      <c r="M76" s="1284">
        <f t="shared" si="23"/>
        <v>0</v>
      </c>
      <c r="N76" s="1284">
        <f t="shared" si="23"/>
        <v>0</v>
      </c>
      <c r="AA76" s="2874"/>
      <c r="AB76" s="1370"/>
      <c r="AC76" s="1370"/>
      <c r="AD76" s="1370"/>
      <c r="AE76" s="1370"/>
      <c r="AF76" s="1370"/>
      <c r="AG76" s="1370"/>
      <c r="AH76" s="2874"/>
      <c r="AI76" s="2874"/>
      <c r="AJ76" s="2874"/>
      <c r="AK76" s="2874"/>
    </row>
    <row r="77" spans="1:37" ht="36">
      <c r="A77" s="2863" t="s">
        <v>2949</v>
      </c>
      <c r="B77" s="2866" t="str">
        <f>估价对象房地状况!C20</f>
        <v>一般</v>
      </c>
      <c r="C77" s="2763"/>
      <c r="D77" s="1285">
        <f t="shared" si="19"/>
        <v>0</v>
      </c>
      <c r="E77" s="826"/>
      <c r="F77" s="2496"/>
      <c r="G77" s="1283"/>
      <c r="H77" s="1287" t="str">
        <f t="shared" si="20"/>
        <v>——</v>
      </c>
      <c r="I77" s="820">
        <v>0.15</v>
      </c>
      <c r="J77" s="1284">
        <f t="shared" si="21"/>
        <v>0</v>
      </c>
      <c r="K77" s="1284">
        <f t="shared" si="22"/>
        <v>0</v>
      </c>
      <c r="L77" s="1284">
        <v>0</v>
      </c>
      <c r="M77" s="1284">
        <f t="shared" si="23"/>
        <v>0</v>
      </c>
      <c r="N77" s="1284">
        <f t="shared" si="23"/>
        <v>0</v>
      </c>
      <c r="Z77" s="2713"/>
      <c r="AA77" s="2781"/>
      <c r="AG77" s="1371"/>
      <c r="AK77" s="2781"/>
    </row>
    <row r="78" spans="1:37" ht="36.6" thickBot="1">
      <c r="A78" s="2871" t="s">
        <v>2956</v>
      </c>
      <c r="B78" s="2875"/>
      <c r="C78" s="2763"/>
      <c r="D78" s="1285">
        <f t="shared" si="19"/>
        <v>0</v>
      </c>
      <c r="E78" s="827"/>
      <c r="F78" s="2496"/>
      <c r="G78" s="1283"/>
      <c r="H78" s="1287" t="str">
        <f t="shared" si="20"/>
        <v>——</v>
      </c>
      <c r="I78" s="824">
        <v>0.04</v>
      </c>
      <c r="J78" s="1284">
        <f t="shared" si="21"/>
        <v>0</v>
      </c>
      <c r="K78" s="1284">
        <f t="shared" si="22"/>
        <v>0</v>
      </c>
      <c r="L78" s="1284">
        <v>0</v>
      </c>
      <c r="M78" s="1284">
        <f t="shared" si="23"/>
        <v>0</v>
      </c>
      <c r="N78" s="1284">
        <f t="shared" si="23"/>
        <v>0</v>
      </c>
      <c r="Z78" s="2713"/>
      <c r="AA78" s="2781"/>
      <c r="AG78" s="1371"/>
      <c r="AK78" s="2781"/>
    </row>
    <row r="79" spans="1:37" ht="14.4">
      <c r="A79" s="2859" t="s">
        <v>2957</v>
      </c>
      <c r="B79" s="2860">
        <f>1+E81</f>
        <v>1</v>
      </c>
      <c r="C79" s="814"/>
      <c r="D79" s="814"/>
      <c r="E79" s="815"/>
      <c r="F79" s="2862"/>
      <c r="G79" s="6"/>
      <c r="H79" s="6"/>
      <c r="I79" s="6"/>
      <c r="J79" s="7"/>
      <c r="K79" s="7"/>
      <c r="L79" s="7"/>
      <c r="M79" s="7"/>
      <c r="N79" s="7"/>
      <c r="Z79" s="2713"/>
      <c r="AA79" s="2781"/>
      <c r="AG79" s="1371"/>
      <c r="AK79" s="2781"/>
    </row>
    <row r="80" spans="1:37" ht="25.2">
      <c r="A80" s="2863" t="s">
        <v>2931</v>
      </c>
      <c r="B80" s="1807"/>
      <c r="C80" s="1807" t="s">
        <v>2933</v>
      </c>
      <c r="D80" s="1807" t="s">
        <v>2934</v>
      </c>
      <c r="E80" s="819" t="s">
        <v>2935</v>
      </c>
      <c r="F80" s="2864" t="s">
        <v>2951</v>
      </c>
      <c r="G80" s="1807" t="s">
        <v>754</v>
      </c>
      <c r="H80" s="2865" t="s">
        <v>2937</v>
      </c>
      <c r="I80" s="1807" t="s">
        <v>2938</v>
      </c>
      <c r="J80" s="603" t="s">
        <v>2586</v>
      </c>
      <c r="K80" s="603" t="s">
        <v>2587</v>
      </c>
      <c r="L80" s="603" t="s">
        <v>2588</v>
      </c>
      <c r="M80" s="603" t="s">
        <v>2589</v>
      </c>
      <c r="N80" s="603" t="s">
        <v>2590</v>
      </c>
      <c r="Z80" s="2713"/>
      <c r="AA80" s="2781"/>
      <c r="AG80" s="1371"/>
      <c r="AK80" s="2781"/>
    </row>
    <row r="81" spans="1:37" ht="39.6">
      <c r="A81" s="2863" t="s">
        <v>2958</v>
      </c>
      <c r="B81" s="2867" t="str">
        <f>估价对象房地状况!G15</f>
        <v>估价对象位于XX开发区，园区建设成熟度XX，产业集聚程度XX</v>
      </c>
      <c r="C81" s="2763"/>
      <c r="D81" s="1285">
        <f t="shared" ref="D81:D88" si="24">SUMIF($J$80:$N$80,C81,J81:N81)</f>
        <v>0</v>
      </c>
      <c r="E81" s="821">
        <f>ROUND(SUM(D81:D88),4)</f>
        <v>0</v>
      </c>
      <c r="F81" s="2496" t="str">
        <f>IF(E2="工业",SUMIF(L1:L12,G2,N1:N12),"——")</f>
        <v>——</v>
      </c>
      <c r="G81" s="1283"/>
      <c r="H81" s="1287" t="str">
        <f t="shared" ref="H81:H88" si="25">IFERROR(ROUNDDOWN($F$81*I81/2,4),"——")</f>
        <v>——</v>
      </c>
      <c r="I81" s="820">
        <v>0.26</v>
      </c>
      <c r="J81" s="1284">
        <f t="shared" ref="J81:J88" si="26">K81+$G81</f>
        <v>0</v>
      </c>
      <c r="K81" s="1284">
        <f t="shared" ref="K81:K88" si="27">$L81+$G81</f>
        <v>0</v>
      </c>
      <c r="L81" s="1284">
        <v>0</v>
      </c>
      <c r="M81" s="1284">
        <f t="shared" ref="M81:N88" si="28">L81-$G81</f>
        <v>0</v>
      </c>
      <c r="N81" s="1284">
        <f t="shared" si="28"/>
        <v>0</v>
      </c>
      <c r="Z81" s="2713"/>
      <c r="AA81" s="2781"/>
      <c r="AG81" s="1371"/>
      <c r="AK81" s="2781"/>
    </row>
    <row r="82" spans="1:37" ht="66">
      <c r="A82" s="2863" t="s">
        <v>2940</v>
      </c>
      <c r="B82" s="2867" t="str">
        <f>估价对象房地状况!G16</f>
        <v>估价对象周边道路状况、公共交通通达情况、停车便捷程度，综合评价交通便捷度较好</v>
      </c>
      <c r="C82" s="2763"/>
      <c r="D82" s="1285">
        <f t="shared" si="24"/>
        <v>0</v>
      </c>
      <c r="E82" s="826"/>
      <c r="F82" s="2496"/>
      <c r="G82" s="1283"/>
      <c r="H82" s="1287" t="str">
        <f t="shared" si="25"/>
        <v>——</v>
      </c>
      <c r="I82" s="820">
        <v>0.33</v>
      </c>
      <c r="J82" s="1284">
        <f t="shared" si="26"/>
        <v>0</v>
      </c>
      <c r="K82" s="1284">
        <f t="shared" si="27"/>
        <v>0</v>
      </c>
      <c r="L82" s="1284">
        <v>0</v>
      </c>
      <c r="M82" s="1284">
        <f t="shared" si="28"/>
        <v>0</v>
      </c>
      <c r="N82" s="1284">
        <f t="shared" si="28"/>
        <v>0</v>
      </c>
      <c r="Z82" s="2713"/>
      <c r="AA82" s="2781"/>
      <c r="AG82" s="1371"/>
      <c r="AK82" s="2781"/>
    </row>
    <row r="83" spans="1:37" ht="24">
      <c r="A83" s="2863" t="s">
        <v>2941</v>
      </c>
      <c r="B83" s="2867">
        <f>估价对象房地状况!G17</f>
        <v>0</v>
      </c>
      <c r="C83" s="2763"/>
      <c r="D83" s="1285">
        <f t="shared" si="24"/>
        <v>0</v>
      </c>
      <c r="E83" s="826"/>
      <c r="F83" s="2496"/>
      <c r="G83" s="1283"/>
      <c r="H83" s="1287" t="str">
        <f t="shared" si="25"/>
        <v>——</v>
      </c>
      <c r="I83" s="820">
        <v>0.05</v>
      </c>
      <c r="J83" s="1284">
        <f t="shared" si="26"/>
        <v>0</v>
      </c>
      <c r="K83" s="1284">
        <f t="shared" si="27"/>
        <v>0</v>
      </c>
      <c r="L83" s="1284">
        <v>0</v>
      </c>
      <c r="M83" s="1284">
        <f t="shared" si="28"/>
        <v>0</v>
      </c>
      <c r="N83" s="1284">
        <f t="shared" si="28"/>
        <v>0</v>
      </c>
      <c r="Z83" s="2713"/>
      <c r="AA83" s="2781"/>
      <c r="AG83" s="1371"/>
      <c r="AK83" s="2781"/>
    </row>
    <row r="84" spans="1:37" ht="13.8">
      <c r="A84" s="2863" t="s">
        <v>2955</v>
      </c>
      <c r="B84" s="2867">
        <f>估价对象房地状况!G22</f>
        <v>0</v>
      </c>
      <c r="C84" s="2763"/>
      <c r="D84" s="1285">
        <f t="shared" si="24"/>
        <v>0</v>
      </c>
      <c r="E84" s="826"/>
      <c r="F84" s="2496"/>
      <c r="G84" s="1283"/>
      <c r="H84" s="1287" t="str">
        <f t="shared" si="25"/>
        <v>——</v>
      </c>
      <c r="I84" s="820">
        <v>0.04</v>
      </c>
      <c r="J84" s="1284">
        <f t="shared" si="26"/>
        <v>0</v>
      </c>
      <c r="K84" s="1284">
        <f t="shared" si="27"/>
        <v>0</v>
      </c>
      <c r="L84" s="1284">
        <v>0</v>
      </c>
      <c r="M84" s="1284">
        <f t="shared" si="28"/>
        <v>0</v>
      </c>
      <c r="N84" s="1284">
        <f t="shared" si="28"/>
        <v>0</v>
      </c>
      <c r="Z84" s="2713"/>
      <c r="AA84" s="2781"/>
      <c r="AG84" s="1371"/>
      <c r="AK84" s="2781"/>
    </row>
    <row r="85" spans="1:37" ht="26.4">
      <c r="A85" s="2863" t="s">
        <v>2947</v>
      </c>
      <c r="B85" s="1723" t="str">
        <f>估价对象房地状况!G19</f>
        <v>估价对象所在区域公共配套设施齐备情况</v>
      </c>
      <c r="C85" s="2763"/>
      <c r="D85" s="1285">
        <f t="shared" si="24"/>
        <v>0</v>
      </c>
      <c r="E85" s="826"/>
      <c r="F85" s="2496"/>
      <c r="G85" s="1283"/>
      <c r="H85" s="1287" t="str">
        <f t="shared" si="25"/>
        <v>——</v>
      </c>
      <c r="I85" s="820">
        <v>0.06</v>
      </c>
      <c r="J85" s="1284">
        <f t="shared" si="26"/>
        <v>0</v>
      </c>
      <c r="K85" s="1284">
        <f t="shared" si="27"/>
        <v>0</v>
      </c>
      <c r="L85" s="1284">
        <v>0</v>
      </c>
      <c r="M85" s="1284">
        <f t="shared" si="28"/>
        <v>0</v>
      </c>
      <c r="N85" s="1284">
        <f t="shared" si="28"/>
        <v>0</v>
      </c>
      <c r="Z85" s="2713"/>
      <c r="AA85" s="2781"/>
      <c r="AG85" s="1371"/>
      <c r="AK85" s="2781"/>
    </row>
    <row r="86" spans="1:37" ht="26.4">
      <c r="A86" s="2863" t="s">
        <v>2948</v>
      </c>
      <c r="B86" s="1723" t="str">
        <f>估价对象房地状况!G20</f>
        <v>估价对象所在区域基础设施水平</v>
      </c>
      <c r="C86" s="2763"/>
      <c r="D86" s="1285">
        <f t="shared" si="24"/>
        <v>0</v>
      </c>
      <c r="E86" s="826"/>
      <c r="F86" s="2496"/>
      <c r="G86" s="1283"/>
      <c r="H86" s="1287" t="str">
        <f t="shared" si="25"/>
        <v>——</v>
      </c>
      <c r="I86" s="820">
        <v>0.15</v>
      </c>
      <c r="J86" s="1284">
        <f t="shared" si="26"/>
        <v>0</v>
      </c>
      <c r="K86" s="1284">
        <f t="shared" si="27"/>
        <v>0</v>
      </c>
      <c r="L86" s="1284">
        <v>0</v>
      </c>
      <c r="M86" s="1284">
        <f t="shared" si="28"/>
        <v>0</v>
      </c>
      <c r="N86" s="1284">
        <f t="shared" si="28"/>
        <v>0</v>
      </c>
      <c r="Z86" s="2713"/>
      <c r="AA86" s="2781"/>
      <c r="AG86" s="1371"/>
      <c r="AK86" s="2781"/>
    </row>
    <row r="87" spans="1:37" ht="36">
      <c r="A87" s="2863" t="s">
        <v>2945</v>
      </c>
      <c r="B87" s="2869" t="s">
        <v>2959</v>
      </c>
      <c r="C87" s="2763"/>
      <c r="D87" s="1285">
        <f t="shared" si="24"/>
        <v>0</v>
      </c>
      <c r="E87" s="826"/>
      <c r="F87" s="2496"/>
      <c r="G87" s="1283"/>
      <c r="H87" s="1287" t="str">
        <f t="shared" si="25"/>
        <v>——</v>
      </c>
      <c r="I87" s="820">
        <v>0.05</v>
      </c>
      <c r="J87" s="1284">
        <f t="shared" si="26"/>
        <v>0</v>
      </c>
      <c r="K87" s="1284">
        <f t="shared" si="27"/>
        <v>0</v>
      </c>
      <c r="L87" s="1284">
        <v>0</v>
      </c>
      <c r="M87" s="1284">
        <f t="shared" si="28"/>
        <v>0</v>
      </c>
      <c r="N87" s="1284">
        <f t="shared" si="28"/>
        <v>0</v>
      </c>
      <c r="Z87" s="2713"/>
      <c r="AA87" s="2781"/>
      <c r="AG87" s="1371"/>
      <c r="AK87" s="2781"/>
    </row>
    <row r="88" spans="1:37" ht="53.4" thickBot="1">
      <c r="A88" s="2871" t="s">
        <v>2960</v>
      </c>
      <c r="B88" s="2876" t="str">
        <f>估价对象房地状况!G18</f>
        <v>该园区内是否有污染型企业，绿化情况，卫生条件，整体环境状况判断</v>
      </c>
      <c r="C88" s="2763"/>
      <c r="D88" s="1285">
        <f t="shared" si="24"/>
        <v>0</v>
      </c>
      <c r="E88" s="827"/>
      <c r="F88" s="2496"/>
      <c r="G88" s="1283"/>
      <c r="H88" s="1287" t="str">
        <f t="shared" si="25"/>
        <v>——</v>
      </c>
      <c r="I88" s="824">
        <v>0.06</v>
      </c>
      <c r="J88" s="1284">
        <f t="shared" si="26"/>
        <v>0</v>
      </c>
      <c r="K88" s="1284">
        <f t="shared" si="27"/>
        <v>0</v>
      </c>
      <c r="L88" s="1284">
        <v>0</v>
      </c>
      <c r="M88" s="1284">
        <f t="shared" si="28"/>
        <v>0</v>
      </c>
      <c r="N88" s="1284">
        <f t="shared" si="28"/>
        <v>0</v>
      </c>
      <c r="Z88" s="2713"/>
      <c r="AA88" s="2781"/>
      <c r="AG88" s="1371"/>
      <c r="AK88" s="2781"/>
    </row>
    <row r="90" spans="1:37">
      <c r="A90" s="3288" t="s">
        <v>2961</v>
      </c>
      <c r="B90" s="3288"/>
      <c r="C90" s="3288"/>
      <c r="D90" s="3288"/>
      <c r="E90" s="3288"/>
      <c r="F90" s="3288"/>
      <c r="G90" s="3288"/>
      <c r="H90" s="3288"/>
      <c r="I90" s="3288"/>
      <c r="J90" s="3288"/>
      <c r="K90" s="2877"/>
      <c r="L90" s="2877"/>
      <c r="M90" s="2877"/>
      <c r="N90" s="2877"/>
    </row>
    <row r="91" spans="1:37">
      <c r="A91" s="3290" t="s">
        <v>2962</v>
      </c>
      <c r="B91" s="3290" t="s">
        <v>2963</v>
      </c>
      <c r="C91" s="2831" t="s">
        <v>2964</v>
      </c>
      <c r="D91" s="2832"/>
      <c r="E91" s="2832"/>
      <c r="F91" s="2832"/>
      <c r="G91" s="2832"/>
      <c r="H91" s="2832"/>
      <c r="I91" s="2832"/>
      <c r="J91" s="2878"/>
      <c r="K91" s="2879"/>
      <c r="L91" s="2879"/>
      <c r="M91" s="2879"/>
      <c r="N91" s="2879"/>
    </row>
    <row r="92" spans="1:37">
      <c r="A92" s="3290"/>
      <c r="B92" s="3290"/>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291" t="s">
        <v>2965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2"/>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2"/>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2"/>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2"/>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2"/>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2"/>
      <c r="B99" s="2880" t="s">
        <v>2846</v>
      </c>
      <c r="C99" s="2882">
        <f>$I$3</f>
        <v>0</v>
      </c>
      <c r="D99" s="2882">
        <f t="shared" ref="D99:M99" si="29">$I$3</f>
        <v>0</v>
      </c>
      <c r="E99" s="2882">
        <f t="shared" si="29"/>
        <v>0</v>
      </c>
      <c r="F99" s="2882">
        <f t="shared" si="29"/>
        <v>0</v>
      </c>
      <c r="G99" s="2882">
        <f t="shared" si="29"/>
        <v>0</v>
      </c>
      <c r="H99" s="2882">
        <f t="shared" si="29"/>
        <v>0</v>
      </c>
      <c r="I99" s="2882">
        <f t="shared" si="29"/>
        <v>0</v>
      </c>
      <c r="J99" s="2882">
        <f t="shared" si="29"/>
        <v>0</v>
      </c>
      <c r="K99" s="2882">
        <f t="shared" si="29"/>
        <v>0</v>
      </c>
      <c r="L99" s="2882">
        <f t="shared" si="29"/>
        <v>0</v>
      </c>
      <c r="M99" s="2882">
        <f t="shared" si="29"/>
        <v>0</v>
      </c>
      <c r="N99" s="2882">
        <f>$I$3</f>
        <v>0</v>
      </c>
    </row>
    <row r="100" spans="1:14">
      <c r="A100" s="3293"/>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1" t="s">
        <v>2966</v>
      </c>
      <c r="B101" s="2884" t="s">
        <v>2967</v>
      </c>
      <c r="C101" s="2885">
        <f>$G$3</f>
        <v>0.11</v>
      </c>
      <c r="D101" s="2885">
        <f t="shared" ref="D101:N101" si="30">$G$3</f>
        <v>0.11</v>
      </c>
      <c r="E101" s="2885">
        <f t="shared" si="30"/>
        <v>0.11</v>
      </c>
      <c r="F101" s="2885">
        <f t="shared" si="30"/>
        <v>0.11</v>
      </c>
      <c r="G101" s="2885">
        <f t="shared" si="30"/>
        <v>0.11</v>
      </c>
      <c r="H101" s="2885">
        <f t="shared" si="30"/>
        <v>0.11</v>
      </c>
      <c r="I101" s="2885">
        <f t="shared" si="30"/>
        <v>0.11</v>
      </c>
      <c r="J101" s="2885">
        <f t="shared" si="30"/>
        <v>0.11</v>
      </c>
      <c r="K101" s="2885">
        <f t="shared" si="30"/>
        <v>0.11</v>
      </c>
      <c r="L101" s="2885">
        <f t="shared" si="30"/>
        <v>0.11</v>
      </c>
      <c r="M101" s="2885">
        <f t="shared" si="30"/>
        <v>0.11</v>
      </c>
      <c r="N101" s="2885">
        <f t="shared" si="30"/>
        <v>0.11</v>
      </c>
    </row>
    <row r="102" spans="1:14">
      <c r="A102" s="3292"/>
      <c r="B102" s="2880">
        <v>1</v>
      </c>
      <c r="C102" s="2881">
        <f>1.9362/C101</f>
        <v>17.601818181818182</v>
      </c>
      <c r="D102" s="2881">
        <f>1.9362/D101</f>
        <v>17.601818181818182</v>
      </c>
      <c r="E102" s="2881">
        <f>1.8629/E101</f>
        <v>16.935454545454544</v>
      </c>
      <c r="F102" s="2881">
        <f>1.8629/F101</f>
        <v>16.935454545454544</v>
      </c>
      <c r="G102" s="2881">
        <f>1.8629/G101</f>
        <v>16.935454545454544</v>
      </c>
      <c r="H102" s="2881">
        <f>1.8629/H101</f>
        <v>16.935454545454544</v>
      </c>
      <c r="I102" s="2881">
        <f>1.8629/I101</f>
        <v>16.935454545454544</v>
      </c>
      <c r="J102" s="2881">
        <f>1.942/J101</f>
        <v>17.654545454545453</v>
      </c>
      <c r="K102" s="2881">
        <f>1.942/K101</f>
        <v>17.654545454545453</v>
      </c>
      <c r="L102" s="2881">
        <f>1.942/L101</f>
        <v>17.654545454545453</v>
      </c>
      <c r="M102" s="2881">
        <f>1.942/M101</f>
        <v>17.654545454545453</v>
      </c>
      <c r="N102" s="2881">
        <f>1.942/N101</f>
        <v>17.654545454545453</v>
      </c>
    </row>
    <row r="103" spans="1:14">
      <c r="A103" s="3292"/>
      <c r="B103" s="2880">
        <v>2</v>
      </c>
      <c r="C103" s="2881">
        <f>1.4198/C101</f>
        <v>12.907272727272726</v>
      </c>
      <c r="D103" s="2881">
        <f>1.4198/D101</f>
        <v>12.907272727272726</v>
      </c>
      <c r="E103" s="2881">
        <f>1.3372/E101</f>
        <v>12.156363636363636</v>
      </c>
      <c r="F103" s="2881">
        <f>1.3372/F101</f>
        <v>12.156363636363636</v>
      </c>
      <c r="G103" s="2881">
        <f>1.3372/G101</f>
        <v>12.156363636363636</v>
      </c>
      <c r="H103" s="2881">
        <f>1.3372/H101</f>
        <v>12.156363636363636</v>
      </c>
      <c r="I103" s="2881">
        <f>1.3372/I101</f>
        <v>12.156363636363636</v>
      </c>
      <c r="J103" s="2881">
        <f>1.2799/J101</f>
        <v>11.635454545454547</v>
      </c>
      <c r="K103" s="2881">
        <f>1.2799/K101</f>
        <v>11.635454545454547</v>
      </c>
      <c r="L103" s="2881">
        <f>1.2799/L101</f>
        <v>11.635454545454547</v>
      </c>
      <c r="M103" s="2881">
        <f>1.2799/M101</f>
        <v>11.635454545454547</v>
      </c>
      <c r="N103" s="2881">
        <f>1.2799/N101</f>
        <v>11.635454545454547</v>
      </c>
    </row>
    <row r="104" spans="1:14">
      <c r="A104" s="3292"/>
      <c r="B104" s="2880">
        <v>3</v>
      </c>
      <c r="C104" s="2881">
        <f>1.1594/C101</f>
        <v>10.54</v>
      </c>
      <c r="D104" s="2881">
        <f>1.1594/D101</f>
        <v>10.54</v>
      </c>
      <c r="E104" s="2881">
        <f>1.0788/E101</f>
        <v>9.8072727272727267</v>
      </c>
      <c r="F104" s="2881">
        <f>1.0788/F101</f>
        <v>9.8072727272727267</v>
      </c>
      <c r="G104" s="2881">
        <f>1.0788/G101</f>
        <v>9.8072727272727267</v>
      </c>
      <c r="H104" s="2881">
        <f>1.0788/H101</f>
        <v>9.8072727272727267</v>
      </c>
      <c r="I104" s="2881">
        <f>1.0788/I101</f>
        <v>9.8072727272727267</v>
      </c>
      <c r="J104" s="2881">
        <f>1.0072/J101</f>
        <v>9.156363636363638</v>
      </c>
      <c r="K104" s="2881">
        <f>1.0072/K101</f>
        <v>9.156363636363638</v>
      </c>
      <c r="L104" s="2881">
        <f>1.0072/L101</f>
        <v>9.156363636363638</v>
      </c>
      <c r="M104" s="2881">
        <f>1.0072/M101</f>
        <v>9.156363636363638</v>
      </c>
      <c r="N104" s="2881">
        <f>1.0072/N101</f>
        <v>9.156363636363638</v>
      </c>
    </row>
    <row r="105" spans="1:14">
      <c r="A105" s="3292"/>
      <c r="B105" s="2880">
        <v>4</v>
      </c>
      <c r="C105" s="2881">
        <f>0.9622/C101</f>
        <v>8.747272727272728</v>
      </c>
      <c r="D105" s="2881">
        <f>0.9622/D101</f>
        <v>8.747272727272728</v>
      </c>
      <c r="E105" s="2881">
        <f>0.8656/E101</f>
        <v>7.8690909090909091</v>
      </c>
      <c r="F105" s="2881">
        <f>0.8656/F101</f>
        <v>7.8690909090909091</v>
      </c>
      <c r="G105" s="2881">
        <f>0.8656/G101</f>
        <v>7.8690909090909091</v>
      </c>
      <c r="H105" s="2881">
        <f>0.8656/H101</f>
        <v>7.8690909090909091</v>
      </c>
      <c r="I105" s="2881">
        <f>0.8656/I101</f>
        <v>7.8690909090909091</v>
      </c>
      <c r="J105" s="2881">
        <f>0.7525/J101</f>
        <v>6.8409090909090908</v>
      </c>
      <c r="K105" s="2881">
        <f>0.7525/K101</f>
        <v>6.8409090909090908</v>
      </c>
      <c r="L105" s="2881">
        <f>0.7525/L101</f>
        <v>6.8409090909090908</v>
      </c>
      <c r="M105" s="2881">
        <f>0.7525/M101</f>
        <v>6.8409090909090908</v>
      </c>
      <c r="N105" s="2881">
        <f>0.7525/N101</f>
        <v>6.8409090909090908</v>
      </c>
    </row>
    <row r="106" spans="1:14">
      <c r="A106" s="3292"/>
      <c r="B106" s="2880">
        <v>5</v>
      </c>
      <c r="C106" s="2881">
        <f>0.8417/C101</f>
        <v>7.6518181818181814</v>
      </c>
      <c r="D106" s="2881">
        <f>0.8417/D101</f>
        <v>7.6518181818181814</v>
      </c>
      <c r="E106" s="2881">
        <f>0.7371/E101</f>
        <v>6.7009090909090903</v>
      </c>
      <c r="F106" s="2881">
        <f>0.7371/F101</f>
        <v>6.7009090909090903</v>
      </c>
      <c r="G106" s="2881">
        <f>0.7371/G101</f>
        <v>6.7009090909090903</v>
      </c>
      <c r="H106" s="2881">
        <f>0.7371/H101</f>
        <v>6.7009090909090903</v>
      </c>
      <c r="I106" s="2881">
        <f>0.7371/I101</f>
        <v>6.7009090909090903</v>
      </c>
      <c r="J106" s="2881">
        <f>0.5659/J101</f>
        <v>5.1445454545454545</v>
      </c>
      <c r="K106" s="2881">
        <f>0.5659/K101</f>
        <v>5.1445454545454545</v>
      </c>
      <c r="L106" s="2881">
        <f>0.5659/L101</f>
        <v>5.1445454545454545</v>
      </c>
      <c r="M106" s="2881">
        <f>0.5659/M101</f>
        <v>5.1445454545454545</v>
      </c>
      <c r="N106" s="2881">
        <f>0.5659/N101</f>
        <v>5.1445454545454545</v>
      </c>
    </row>
    <row r="107" spans="1:14">
      <c r="A107" s="3292"/>
      <c r="B107" s="2880">
        <v>6</v>
      </c>
      <c r="C107" s="2881">
        <f>0.7608/C101</f>
        <v>6.9163636363636369</v>
      </c>
      <c r="D107" s="2881">
        <f>0.7608/D101</f>
        <v>6.9163636363636369</v>
      </c>
      <c r="E107" s="2881">
        <f>0.6482/E101</f>
        <v>5.8927272727272726</v>
      </c>
      <c r="F107" s="2881">
        <f>0.6482/F101</f>
        <v>5.8927272727272726</v>
      </c>
      <c r="G107" s="2881">
        <f>0.6482/G101</f>
        <v>5.8927272727272726</v>
      </c>
      <c r="H107" s="2881">
        <f>0.6482/H101</f>
        <v>5.8927272727272726</v>
      </c>
      <c r="I107" s="2881">
        <f>0.6482/I101</f>
        <v>5.8927272727272726</v>
      </c>
      <c r="J107" s="2881">
        <f>0.4525/J101</f>
        <v>4.1136363636363633</v>
      </c>
      <c r="K107" s="2881">
        <f>0.4525/K101</f>
        <v>4.1136363636363633</v>
      </c>
      <c r="L107" s="2881">
        <f>0.4525/L101</f>
        <v>4.1136363636363633</v>
      </c>
      <c r="M107" s="2881">
        <f>0.4525/M101</f>
        <v>4.1136363636363633</v>
      </c>
      <c r="N107" s="2881">
        <f>0.4525/N101</f>
        <v>4.1136363636363633</v>
      </c>
    </row>
    <row r="108" spans="1:14">
      <c r="A108" s="3292"/>
      <c r="B108" s="3145" t="s">
        <v>2968</v>
      </c>
      <c r="C108" s="2882">
        <f>C99</f>
        <v>0</v>
      </c>
      <c r="D108" s="2882">
        <f t="shared" ref="D108:N108" si="31">D99</f>
        <v>0</v>
      </c>
      <c r="E108" s="2882">
        <f t="shared" si="31"/>
        <v>0</v>
      </c>
      <c r="F108" s="2882">
        <f t="shared" si="31"/>
        <v>0</v>
      </c>
      <c r="G108" s="2882">
        <f t="shared" si="31"/>
        <v>0</v>
      </c>
      <c r="H108" s="2882">
        <f t="shared" si="31"/>
        <v>0</v>
      </c>
      <c r="I108" s="2882">
        <f t="shared" si="31"/>
        <v>0</v>
      </c>
      <c r="J108" s="2882">
        <f t="shared" si="31"/>
        <v>0</v>
      </c>
      <c r="K108" s="2882">
        <f t="shared" si="31"/>
        <v>0</v>
      </c>
      <c r="L108" s="2882">
        <f t="shared" si="31"/>
        <v>0</v>
      </c>
      <c r="M108" s="2882">
        <f t="shared" si="31"/>
        <v>0</v>
      </c>
      <c r="N108" s="2882">
        <f t="shared" si="31"/>
        <v>0</v>
      </c>
    </row>
    <row r="109" spans="1:14">
      <c r="A109" s="3293"/>
      <c r="B109" s="3146"/>
      <c r="C109" s="2883">
        <f>(-0.163*(C108^2)-0.59*C108+7617)*(10^(-4))/C101</f>
        <v>6.9245454545454548</v>
      </c>
      <c r="D109" s="2883">
        <f>(-0.163*(D108^2)-0.59*D108+7617)*(10^(-4))/D101</f>
        <v>6.9245454545454548</v>
      </c>
      <c r="E109" s="2883">
        <f>(-0.161*(E108^2)-7.509*E108+6533)*(10^(-4))/E101</f>
        <v>5.9390909090909094</v>
      </c>
      <c r="F109" s="2883">
        <f>(-0.161*(F108^2)-7.509*F108+6533)*(10^(-4))/F101</f>
        <v>5.9390909090909094</v>
      </c>
      <c r="G109" s="2883">
        <f>(-0.161*(G108^2)-7.509*G108+6533)*(10^(-4))/G101</f>
        <v>5.9390909090909094</v>
      </c>
      <c r="H109" s="2883">
        <f>(-0.161*(H108^2)-7.509*H108+6533)*(10^(-4))/H101</f>
        <v>5.9390909090909094</v>
      </c>
      <c r="I109" s="2883">
        <f>(-0.161*(I108^2)-7.509*I108+6533)*(10^(-4))/I101</f>
        <v>5.9390909090909094</v>
      </c>
      <c r="J109" s="2883">
        <f>(-0.214*(J108^2)-21.991*J108+4665)*(10^(-4))/J101</f>
        <v>4.2409090909090912</v>
      </c>
      <c r="K109" s="2883">
        <f>(-0.214*(K108^2)-21.991*K108+4665)*(10^(-4))/K101</f>
        <v>4.2409090909090912</v>
      </c>
      <c r="L109" s="2883">
        <f>(-0.214*(L108^2)-21.991*L108+4665)*(10^(-4))/L101</f>
        <v>4.2409090909090912</v>
      </c>
      <c r="M109" s="2883">
        <f>(-0.214*(M108^2)-21.991*M108+4665)*(10^(-4))/M101</f>
        <v>4.2409090909090912</v>
      </c>
      <c r="N109" s="2883">
        <f>(-0.214*(N108^2)-21.991*N108+4665)*(10^(-4))/N101</f>
        <v>4.2409090909090912</v>
      </c>
    </row>
    <row r="110" spans="1:14">
      <c r="A110" s="3289" t="s">
        <v>2969</v>
      </c>
      <c r="B110" s="3289"/>
      <c r="C110" s="3289"/>
      <c r="D110" s="3289"/>
      <c r="E110" s="3289"/>
      <c r="F110" s="3289"/>
      <c r="G110" s="3289"/>
      <c r="H110" s="3289"/>
      <c r="I110" s="3289"/>
      <c r="J110" s="3289"/>
      <c r="K110" s="2886"/>
      <c r="L110" s="2886"/>
      <c r="M110" s="2886"/>
      <c r="N110" s="2886"/>
    </row>
    <row r="112" spans="1:14" ht="13.8" thickBot="1"/>
    <row r="113" spans="1:13" ht="25.8" thickBot="1">
      <c r="A113" s="903" t="s">
        <v>2970</v>
      </c>
      <c r="B113" s="1286">
        <f>G3</f>
        <v>0.11</v>
      </c>
      <c r="C113" s="904" t="s">
        <v>2971</v>
      </c>
      <c r="D113" s="905">
        <f>SUMPRODUCT((A115:A118=F113)*(B114:M114=H113)*B115:M118)</f>
        <v>0</v>
      </c>
      <c r="E113" s="2717" t="s">
        <v>2803</v>
      </c>
      <c r="F113" s="2888">
        <f>E2</f>
        <v>0</v>
      </c>
      <c r="G113" s="2717" t="s">
        <v>2804</v>
      </c>
      <c r="H113" s="2888">
        <f>G2</f>
        <v>0</v>
      </c>
      <c r="I113" s="2717"/>
      <c r="J113" s="2889"/>
      <c r="K113" s="2889"/>
      <c r="L113" s="2889"/>
      <c r="M113" s="2889"/>
    </row>
    <row r="114" spans="1:13">
      <c r="A114" s="908"/>
      <c r="B114" s="2890" t="s">
        <v>2972</v>
      </c>
      <c r="C114" s="2890" t="s">
        <v>2973</v>
      </c>
      <c r="D114" s="2890" t="s">
        <v>2974</v>
      </c>
      <c r="E114" s="2891" t="s">
        <v>2975</v>
      </c>
      <c r="F114" s="2891" t="s">
        <v>2976</v>
      </c>
      <c r="G114" s="2891" t="s">
        <v>2977</v>
      </c>
      <c r="H114" s="2892" t="s">
        <v>2978</v>
      </c>
      <c r="I114" s="2892" t="s">
        <v>2979</v>
      </c>
      <c r="J114" s="2893" t="s">
        <v>2980</v>
      </c>
      <c r="K114" s="2893" t="s">
        <v>2981</v>
      </c>
      <c r="L114" s="2893" t="s">
        <v>2982</v>
      </c>
      <c r="M114" s="2894" t="s">
        <v>2983</v>
      </c>
    </row>
    <row r="115" spans="1:13">
      <c r="A115" s="909" t="s">
        <v>2868</v>
      </c>
      <c r="B115" s="910">
        <f>ROUND(0.9335-0.0094*B113,4)</f>
        <v>0.9325</v>
      </c>
      <c r="C115" s="910">
        <f>B115</f>
        <v>0.9325</v>
      </c>
      <c r="D115" s="910">
        <f>ROUND(0.8331-0.0109*B113,4)</f>
        <v>0.83189999999999997</v>
      </c>
      <c r="E115" s="910">
        <f>D115</f>
        <v>0.83189999999999997</v>
      </c>
      <c r="F115" s="910">
        <f>E115</f>
        <v>0.83189999999999997</v>
      </c>
      <c r="G115" s="910">
        <f>F115</f>
        <v>0.83189999999999997</v>
      </c>
      <c r="H115" s="910">
        <f>G115</f>
        <v>0.83189999999999997</v>
      </c>
      <c r="I115" s="910">
        <f>ROUND(0.689-0.0155*B113,4)</f>
        <v>0.68730000000000002</v>
      </c>
      <c r="J115" s="910">
        <f t="shared" ref="J115:M118" si="32">I115</f>
        <v>0.68730000000000002</v>
      </c>
      <c r="K115" s="910">
        <f t="shared" si="32"/>
        <v>0.68730000000000002</v>
      </c>
      <c r="L115" s="910">
        <f t="shared" si="32"/>
        <v>0.68730000000000002</v>
      </c>
      <c r="M115" s="911">
        <f t="shared" si="32"/>
        <v>0.68730000000000002</v>
      </c>
    </row>
    <row r="116" spans="1:13">
      <c r="A116" s="909" t="s">
        <v>2869</v>
      </c>
      <c r="B116" s="910">
        <f>ROUND(0.949-0.012*B113,4)</f>
        <v>0.94769999999999999</v>
      </c>
      <c r="C116" s="910">
        <f>B116</f>
        <v>0.94769999999999999</v>
      </c>
      <c r="D116" s="910">
        <f>ROUND(0.8567-0.013*B113,4)</f>
        <v>0.85529999999999995</v>
      </c>
      <c r="E116" s="910">
        <f t="shared" ref="E116:H117" si="33">D116</f>
        <v>0.85529999999999995</v>
      </c>
      <c r="F116" s="910">
        <f t="shared" si="33"/>
        <v>0.85529999999999995</v>
      </c>
      <c r="G116" s="910">
        <f t="shared" si="33"/>
        <v>0.85529999999999995</v>
      </c>
      <c r="H116" s="910">
        <f t="shared" si="33"/>
        <v>0.85529999999999995</v>
      </c>
      <c r="I116" s="910">
        <f>ROUND(0.7694-0.014*B113,4)</f>
        <v>0.76790000000000003</v>
      </c>
      <c r="J116" s="910">
        <f t="shared" si="32"/>
        <v>0.76790000000000003</v>
      </c>
      <c r="K116" s="910">
        <f t="shared" si="32"/>
        <v>0.76790000000000003</v>
      </c>
      <c r="L116" s="910">
        <f t="shared" si="32"/>
        <v>0.76790000000000003</v>
      </c>
      <c r="M116" s="911">
        <f t="shared" si="32"/>
        <v>0.76790000000000003</v>
      </c>
    </row>
    <row r="117" spans="1:13">
      <c r="A117" s="909" t="s">
        <v>2870</v>
      </c>
      <c r="B117" s="910">
        <f>ROUND(0.8808-0.006*B113,4)</f>
        <v>0.88009999999999999</v>
      </c>
      <c r="C117" s="910">
        <f>B117</f>
        <v>0.88009999999999999</v>
      </c>
      <c r="D117" s="910">
        <f>ROUND(0.8748-0.008*B113,4)</f>
        <v>0.87390000000000001</v>
      </c>
      <c r="E117" s="910">
        <f t="shared" si="33"/>
        <v>0.87390000000000001</v>
      </c>
      <c r="F117" s="910">
        <f t="shared" si="33"/>
        <v>0.87390000000000001</v>
      </c>
      <c r="G117" s="910">
        <f t="shared" si="33"/>
        <v>0.87390000000000001</v>
      </c>
      <c r="H117" s="910">
        <f t="shared" si="33"/>
        <v>0.87390000000000001</v>
      </c>
      <c r="I117" s="910">
        <f>ROUND(0.7412-0.0095*B113,4)</f>
        <v>0.74019999999999997</v>
      </c>
      <c r="J117" s="910">
        <f t="shared" si="32"/>
        <v>0.74019999999999997</v>
      </c>
      <c r="K117" s="910">
        <f t="shared" si="32"/>
        <v>0.74019999999999997</v>
      </c>
      <c r="L117" s="910">
        <f t="shared" si="32"/>
        <v>0.74019999999999997</v>
      </c>
      <c r="M117" s="911">
        <f t="shared" si="32"/>
        <v>0.74019999999999997</v>
      </c>
    </row>
    <row r="118" spans="1:13" ht="13.8" thickBot="1">
      <c r="A118" s="714" t="s">
        <v>2871</v>
      </c>
      <c r="B118" s="912">
        <f>ROUND(0.7275-0.01*B113,4)</f>
        <v>0.72640000000000005</v>
      </c>
      <c r="C118" s="912">
        <f>B118</f>
        <v>0.72640000000000005</v>
      </c>
      <c r="D118" s="912">
        <f>ROUND(0.7043-0.012*B113,4)</f>
        <v>0.70299999999999996</v>
      </c>
      <c r="E118" s="912">
        <f>D118</f>
        <v>0.70299999999999996</v>
      </c>
      <c r="F118" s="912">
        <f>E118</f>
        <v>0.70299999999999996</v>
      </c>
      <c r="G118" s="912">
        <f>ROUND(0.6299-0.0122*B113,4)</f>
        <v>0.62860000000000005</v>
      </c>
      <c r="H118" s="912">
        <f>G118</f>
        <v>0.62860000000000005</v>
      </c>
      <c r="I118" s="912">
        <f>ROUND(0.5667-0.0136*B113,4)</f>
        <v>0.56520000000000004</v>
      </c>
      <c r="J118" s="912">
        <f t="shared" si="32"/>
        <v>0.56520000000000004</v>
      </c>
      <c r="K118" s="912">
        <f t="shared" si="32"/>
        <v>0.56520000000000004</v>
      </c>
      <c r="L118" s="912">
        <f t="shared" si="32"/>
        <v>0.56520000000000004</v>
      </c>
      <c r="M118" s="913">
        <f t="shared" si="32"/>
        <v>0.56520000000000004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99" t="s">
        <v>614</v>
      </c>
      <c r="C61" s="818" t="s">
        <v>615</v>
      </c>
      <c r="D61" s="818" t="s">
        <v>616</v>
      </c>
      <c r="E61" s="895">
        <v>0.5</v>
      </c>
      <c r="F61" s="882">
        <v>80</v>
      </c>
    </row>
    <row r="62" spans="1:8" s="878" customFormat="1" ht="36">
      <c r="A62" s="882">
        <v>2</v>
      </c>
      <c r="B62" s="3299"/>
      <c r="C62" s="818" t="s">
        <v>617</v>
      </c>
      <c r="D62" s="818" t="s">
        <v>618</v>
      </c>
      <c r="E62" s="895">
        <v>0.5</v>
      </c>
      <c r="F62" s="882">
        <v>80</v>
      </c>
    </row>
    <row r="63" spans="1:8" s="878" customFormat="1" ht="48">
      <c r="A63" s="882">
        <v>3</v>
      </c>
      <c r="B63" s="3299"/>
      <c r="C63" s="818" t="s">
        <v>619</v>
      </c>
      <c r="D63" s="818" t="s">
        <v>620</v>
      </c>
      <c r="E63" s="895">
        <v>0.5</v>
      </c>
      <c r="F63" s="882">
        <v>80</v>
      </c>
    </row>
    <row r="64" spans="1:8" s="878" customFormat="1" ht="48">
      <c r="A64" s="882">
        <v>4</v>
      </c>
      <c r="B64" s="3299"/>
      <c r="C64" s="818" t="s">
        <v>621</v>
      </c>
      <c r="D64" s="818" t="s">
        <v>622</v>
      </c>
      <c r="E64" s="895">
        <v>0.4</v>
      </c>
      <c r="F64" s="882">
        <v>60</v>
      </c>
    </row>
    <row r="65" spans="1:6" s="878" customFormat="1" ht="48">
      <c r="A65" s="882">
        <v>5</v>
      </c>
      <c r="B65" s="3299"/>
      <c r="C65" s="818" t="s">
        <v>623</v>
      </c>
      <c r="D65" s="818" t="s">
        <v>624</v>
      </c>
      <c r="E65" s="895">
        <v>0.2</v>
      </c>
      <c r="F65" s="882">
        <v>30</v>
      </c>
    </row>
    <row r="66" spans="1:6" s="878" customFormat="1" ht="48">
      <c r="A66" s="882">
        <v>6</v>
      </c>
      <c r="B66" s="3299"/>
      <c r="C66" s="818" t="s">
        <v>625</v>
      </c>
      <c r="D66" s="818" t="s">
        <v>626</v>
      </c>
      <c r="E66" s="895">
        <v>0.3</v>
      </c>
      <c r="F66" s="882">
        <v>50</v>
      </c>
    </row>
    <row r="67" spans="1:6" s="878" customFormat="1" ht="48">
      <c r="A67" s="882">
        <v>7</v>
      </c>
      <c r="B67" s="3299"/>
      <c r="C67" s="818" t="s">
        <v>627</v>
      </c>
      <c r="D67" s="818" t="s">
        <v>628</v>
      </c>
      <c r="E67" s="895">
        <v>0.2</v>
      </c>
      <c r="F67" s="882">
        <v>30</v>
      </c>
    </row>
    <row r="68" spans="1:6" s="878" customFormat="1" ht="48">
      <c r="A68" s="882">
        <v>8</v>
      </c>
      <c r="B68" s="3299"/>
      <c r="C68" s="818" t="s">
        <v>629</v>
      </c>
      <c r="D68" s="818" t="s">
        <v>630</v>
      </c>
      <c r="E68" s="895">
        <v>0.2</v>
      </c>
      <c r="F68" s="882">
        <v>30</v>
      </c>
    </row>
    <row r="69" spans="1:6" s="878" customFormat="1" ht="48">
      <c r="A69" s="882">
        <v>9</v>
      </c>
      <c r="B69" s="3299"/>
      <c r="C69" s="818" t="s">
        <v>631</v>
      </c>
      <c r="D69" s="818" t="s">
        <v>632</v>
      </c>
      <c r="E69" s="895">
        <v>0.2</v>
      </c>
      <c r="F69" s="882">
        <v>30</v>
      </c>
    </row>
    <row r="70" spans="1:6" s="878" customFormat="1" ht="60">
      <c r="A70" s="882">
        <v>10</v>
      </c>
      <c r="B70" s="3299"/>
      <c r="C70" s="818" t="s">
        <v>633</v>
      </c>
      <c r="D70" s="818" t="s">
        <v>634</v>
      </c>
      <c r="E70" s="895">
        <v>0.2</v>
      </c>
      <c r="F70" s="882">
        <v>30</v>
      </c>
    </row>
    <row r="71" spans="1:6" s="878" customFormat="1" ht="60">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36">
      <c r="A73" s="882">
        <v>13</v>
      </c>
      <c r="B73" s="3299"/>
      <c r="C73" s="818" t="s">
        <v>639</v>
      </c>
      <c r="D73" s="818" t="s">
        <v>640</v>
      </c>
      <c r="E73" s="895">
        <v>0.4</v>
      </c>
      <c r="F73" s="882">
        <v>60</v>
      </c>
    </row>
    <row r="74" spans="1:6" s="878" customFormat="1" ht="36">
      <c r="A74" s="882">
        <v>14</v>
      </c>
      <c r="B74" s="3299"/>
      <c r="C74" s="818" t="s">
        <v>641</v>
      </c>
      <c r="D74" s="818" t="s">
        <v>642</v>
      </c>
      <c r="E74" s="895">
        <v>0.2</v>
      </c>
      <c r="F74" s="882">
        <v>30</v>
      </c>
    </row>
    <row r="75" spans="1:6" s="878" customFormat="1" ht="36">
      <c r="A75" s="882">
        <v>15</v>
      </c>
      <c r="B75" s="3299"/>
      <c r="C75" s="818" t="s">
        <v>643</v>
      </c>
      <c r="D75" s="818" t="s">
        <v>644</v>
      </c>
      <c r="E75" s="895">
        <v>0.2</v>
      </c>
      <c r="F75" s="882">
        <v>30</v>
      </c>
    </row>
    <row r="76" spans="1:6" s="878" customFormat="1" ht="36">
      <c r="A76" s="882">
        <v>16</v>
      </c>
      <c r="B76" s="3299" t="s">
        <v>645</v>
      </c>
      <c r="C76" s="818" t="s">
        <v>646</v>
      </c>
      <c r="D76" s="818" t="s">
        <v>647</v>
      </c>
      <c r="E76" s="895">
        <v>0.5</v>
      </c>
      <c r="F76" s="882">
        <v>80</v>
      </c>
    </row>
    <row r="77" spans="1:6" s="878" customFormat="1" ht="36">
      <c r="A77" s="882">
        <v>17</v>
      </c>
      <c r="B77" s="3299"/>
      <c r="C77" s="818" t="s">
        <v>648</v>
      </c>
      <c r="D77" s="818" t="s">
        <v>649</v>
      </c>
      <c r="E77" s="895">
        <v>0.5</v>
      </c>
      <c r="F77" s="882">
        <v>80</v>
      </c>
    </row>
    <row r="78" spans="1:6" s="878" customFormat="1" ht="36">
      <c r="A78" s="882">
        <v>18</v>
      </c>
      <c r="B78" s="3299"/>
      <c r="C78" s="818" t="s">
        <v>650</v>
      </c>
      <c r="D78" s="818" t="s">
        <v>651</v>
      </c>
      <c r="E78" s="895">
        <v>0.2</v>
      </c>
      <c r="F78" s="882">
        <v>30</v>
      </c>
    </row>
    <row r="79" spans="1:6" s="878" customFormat="1" ht="36">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60">
      <c r="A82" s="882">
        <v>22</v>
      </c>
      <c r="B82" s="3299"/>
      <c r="C82" s="818" t="s">
        <v>658</v>
      </c>
      <c r="D82" s="818" t="s">
        <v>659</v>
      </c>
      <c r="E82" s="895">
        <v>0.2</v>
      </c>
      <c r="F82" s="882">
        <v>30</v>
      </c>
    </row>
    <row r="83" spans="1:6" s="878" customFormat="1" ht="60">
      <c r="A83" s="882">
        <v>23</v>
      </c>
      <c r="B83" s="3299"/>
      <c r="C83" s="818" t="s">
        <v>660</v>
      </c>
      <c r="D83" s="818" t="s">
        <v>661</v>
      </c>
      <c r="E83" s="895">
        <v>0.2</v>
      </c>
      <c r="F83" s="882">
        <v>30</v>
      </c>
    </row>
    <row r="84" spans="1:6" s="878" customFormat="1" ht="48">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36">
      <c r="A89" s="882">
        <v>29</v>
      </c>
      <c r="B89" s="3299"/>
      <c r="C89" s="818" t="s">
        <v>672</v>
      </c>
      <c r="D89" s="818" t="s">
        <v>673</v>
      </c>
      <c r="E89" s="895">
        <v>0.2</v>
      </c>
      <c r="F89" s="882">
        <v>30</v>
      </c>
    </row>
    <row r="90" spans="1:6" s="878" customFormat="1" ht="36">
      <c r="A90" s="882">
        <v>30</v>
      </c>
      <c r="B90" s="3299"/>
      <c r="C90" s="818" t="s">
        <v>674</v>
      </c>
      <c r="D90" s="818" t="s">
        <v>675</v>
      </c>
      <c r="E90" s="895">
        <v>0.2</v>
      </c>
      <c r="F90" s="882">
        <v>30</v>
      </c>
    </row>
    <row r="91" spans="1:6" s="878" customFormat="1" ht="48">
      <c r="A91" s="882">
        <v>31</v>
      </c>
      <c r="B91" s="3299"/>
      <c r="C91" s="818" t="s">
        <v>676</v>
      </c>
      <c r="D91" s="818" t="s">
        <v>677</v>
      </c>
      <c r="E91" s="895">
        <v>0.2</v>
      </c>
      <c r="F91" s="882">
        <v>30</v>
      </c>
    </row>
    <row r="92" spans="1:6" s="878" customFormat="1" ht="36">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60">
      <c r="A94" s="882">
        <v>34</v>
      </c>
      <c r="B94" s="3299"/>
      <c r="C94" s="882" t="s">
        <v>683</v>
      </c>
      <c r="D94" s="818" t="s">
        <v>684</v>
      </c>
      <c r="E94" s="895">
        <v>0.2</v>
      </c>
      <c r="F94" s="882">
        <v>30</v>
      </c>
    </row>
    <row r="95" spans="1:6" s="878" customFormat="1" ht="48">
      <c r="A95" s="882">
        <v>35</v>
      </c>
      <c r="B95" s="3299"/>
      <c r="C95" s="882" t="s">
        <v>685</v>
      </c>
      <c r="D95" s="818" t="s">
        <v>686</v>
      </c>
      <c r="E95" s="895">
        <v>0.2</v>
      </c>
      <c r="F95" s="882">
        <v>30</v>
      </c>
    </row>
    <row r="96" spans="1:6" s="878" customFormat="1" ht="72">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36">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99" t="s">
        <v>708</v>
      </c>
      <c r="C105" s="882" t="s">
        <v>709</v>
      </c>
      <c r="D105" s="818" t="s">
        <v>710</v>
      </c>
      <c r="E105" s="895">
        <v>0.2</v>
      </c>
      <c r="F105" s="882">
        <v>30</v>
      </c>
    </row>
    <row r="106" spans="1:6" s="878" customFormat="1" ht="48">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48">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99" t="s">
        <v>724</v>
      </c>
      <c r="C111" s="882" t="s">
        <v>725</v>
      </c>
      <c r="D111" s="818" t="s">
        <v>726</v>
      </c>
      <c r="E111" s="895">
        <v>0.2</v>
      </c>
      <c r="F111" s="882">
        <v>30</v>
      </c>
    </row>
    <row r="112" spans="1:6" s="878" customFormat="1" ht="36">
      <c r="A112" s="882">
        <v>52</v>
      </c>
      <c r="B112" s="3299"/>
      <c r="C112" s="882" t="s">
        <v>727</v>
      </c>
      <c r="D112" s="818" t="s">
        <v>728</v>
      </c>
      <c r="E112" s="895">
        <v>0.2</v>
      </c>
      <c r="F112" s="882">
        <v>30</v>
      </c>
    </row>
    <row r="113" spans="1:6" s="878" customFormat="1" ht="36">
      <c r="A113" s="882">
        <v>53</v>
      </c>
      <c r="B113" s="329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1616</v>
      </c>
      <c r="B1" s="1956"/>
      <c r="C1" s="1956"/>
      <c r="D1" s="1956"/>
      <c r="E1" s="1956"/>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7.399999999999999">
      <c r="A3" s="2986" t="str">
        <f>IF(项目基本情况!B9="房地产市场价值","估价结果一览表（市场价值不需“结果表-1”）","估价结果一览表")</f>
        <v>估价结果一览表</v>
      </c>
      <c r="B3" s="2986"/>
      <c r="C3" s="2986"/>
      <c r="D3" s="2986"/>
      <c r="E3" s="2986"/>
    </row>
    <row r="4" spans="1:5" ht="18" thickBot="1">
      <c r="A4" s="1958"/>
      <c r="B4" s="2984" t="s">
        <v>1625</v>
      </c>
      <c r="C4" s="2984"/>
      <c r="D4" s="2984"/>
      <c r="E4" s="1958"/>
    </row>
    <row r="5" spans="1:5" ht="16.2" thickTop="1">
      <c r="A5" s="1956"/>
      <c r="B5" s="2982" t="s">
        <v>1617</v>
      </c>
      <c r="C5" s="1959" t="s">
        <v>1618</v>
      </c>
      <c r="D5" s="1039">
        <f ca="1">结果表!H101</f>
        <v>13247</v>
      </c>
      <c r="E5" s="1956"/>
    </row>
    <row r="6" spans="1:5" ht="15.6">
      <c r="A6" s="1956"/>
      <c r="B6" s="2982"/>
      <c r="C6" s="1959" t="s">
        <v>1619</v>
      </c>
      <c r="D6" s="1039" t="str">
        <f ca="1">NUMBERSTRING(INT(D5*10000),2)&amp;"元整"</f>
        <v>壹亿叁仟贰佰肆拾柒万元整</v>
      </c>
      <c r="E6" s="1956"/>
    </row>
    <row r="7" spans="1:5" ht="15.6">
      <c r="A7" s="1956"/>
      <c r="B7" s="2987"/>
      <c r="C7" s="1960" t="s">
        <v>1620</v>
      </c>
      <c r="D7" s="1040">
        <f ca="1">结果表!H102</f>
        <v>8851</v>
      </c>
      <c r="E7" s="1956"/>
    </row>
    <row r="8" spans="1:5" ht="15.6">
      <c r="A8" s="1956"/>
      <c r="B8" s="2988" t="str">
        <f>结果表!E103</f>
        <v>2.估价师知悉的法定优先受偿款</v>
      </c>
      <c r="C8" s="1961" t="s">
        <v>1621</v>
      </c>
      <c r="D8" s="1040">
        <f>结果表!H103</f>
        <v>0</v>
      </c>
      <c r="E8" s="1956"/>
    </row>
    <row r="9" spans="1:5" ht="15.6">
      <c r="A9" s="1956"/>
      <c r="B9" s="2990"/>
      <c r="C9" s="1959" t="s">
        <v>1619</v>
      </c>
      <c r="D9" s="1039" t="str">
        <f>NUMBERSTRING(INT(D8*10000),2)&amp;"元整"</f>
        <v>零元整</v>
      </c>
      <c r="E9" s="1956"/>
    </row>
    <row r="10" spans="1:5" ht="15.6">
      <c r="A10" s="1956"/>
      <c r="B10" s="1962" t="s">
        <v>1624</v>
      </c>
      <c r="C10" s="1963" t="s">
        <v>1622</v>
      </c>
      <c r="D10" s="1041">
        <f>结果表!H104</f>
        <v>0</v>
      </c>
      <c r="E10" s="1956"/>
    </row>
    <row r="11" spans="1:5" ht="15.6">
      <c r="A11" s="1956"/>
      <c r="B11" s="1962" t="s">
        <v>1626</v>
      </c>
      <c r="C11" s="1963" t="s">
        <v>1627</v>
      </c>
      <c r="D11" s="1041">
        <f>结果表!H105</f>
        <v>0</v>
      </c>
      <c r="E11" s="1956"/>
    </row>
    <row r="12" spans="1:5" ht="15.6">
      <c r="A12" s="1956"/>
      <c r="B12" s="1962" t="s">
        <v>1628</v>
      </c>
      <c r="C12" s="1963" t="s">
        <v>1627</v>
      </c>
      <c r="D12" s="1041">
        <f>结果表!H106</f>
        <v>0</v>
      </c>
      <c r="E12" s="1956"/>
    </row>
    <row r="13" spans="1:5" ht="15.6">
      <c r="A13" s="1956"/>
      <c r="B13" s="2981" t="str">
        <f>结果表!E107</f>
        <v>3.房地产抵押价值</v>
      </c>
      <c r="C13" s="1964" t="s">
        <v>1618</v>
      </c>
      <c r="D13" s="1042">
        <f ca="1">结果表!H107</f>
        <v>13247</v>
      </c>
      <c r="E13" s="1956"/>
    </row>
    <row r="14" spans="1:5" ht="15.6">
      <c r="A14" s="1956"/>
      <c r="B14" s="2982"/>
      <c r="C14" s="1959" t="s">
        <v>1619</v>
      </c>
      <c r="D14" s="1039" t="str">
        <f ca="1">NUMBERSTRING(INT(D13*10000),2)&amp;"元整"</f>
        <v>壹亿叁仟贰佰肆拾柒万元整</v>
      </c>
      <c r="E14" s="1956"/>
    </row>
    <row r="15" spans="1:5" ht="15.6">
      <c r="A15" s="1956"/>
      <c r="B15" s="2987"/>
      <c r="C15" s="1960" t="s">
        <v>1629</v>
      </c>
      <c r="D15" s="1051">
        <f ca="1">结果表!H108</f>
        <v>8851</v>
      </c>
      <c r="E15" s="1956"/>
    </row>
    <row r="16" spans="1:5" ht="15.6">
      <c r="A16" s="1956"/>
      <c r="B16" s="2988" t="str">
        <f>结果表!E109</f>
        <v>——</v>
      </c>
      <c r="C16" s="1964" t="s">
        <v>1630</v>
      </c>
      <c r="D16" s="1965" t="str">
        <f>结果表!H109</f>
        <v>——</v>
      </c>
      <c r="E16" s="1956"/>
    </row>
    <row r="17" spans="1:5" ht="15.6">
      <c r="A17" s="1956"/>
      <c r="B17" s="2989"/>
      <c r="C17" s="1959" t="s">
        <v>1631</v>
      </c>
      <c r="D17" s="1039" t="e">
        <f>NUMBERSTRING(INT(D16*10000),2)&amp;"元整"</f>
        <v>#VALUE!</v>
      </c>
      <c r="E17" s="1956"/>
    </row>
    <row r="18" spans="1:5" ht="15.6">
      <c r="A18" s="1956"/>
      <c r="B18" s="2990"/>
      <c r="C18" s="1960" t="s">
        <v>1620</v>
      </c>
      <c r="D18" s="1051" t="str">
        <f>结果表!H110</f>
        <v>——</v>
      </c>
      <c r="E18" s="1956"/>
    </row>
    <row r="19" spans="1:5" ht="15.6">
      <c r="A19" s="1956"/>
      <c r="B19" s="2981" t="str">
        <f>结果表!E111</f>
        <v>——</v>
      </c>
      <c r="C19" s="1964" t="s">
        <v>1618</v>
      </c>
      <c r="D19" s="1040" t="str">
        <f>结果表!H111</f>
        <v>——</v>
      </c>
      <c r="E19" s="1956"/>
    </row>
    <row r="20" spans="1:5" ht="15.6">
      <c r="A20" s="1956"/>
      <c r="B20" s="2982"/>
      <c r="C20" s="1959" t="s">
        <v>1631</v>
      </c>
      <c r="D20" s="1039" t="e">
        <f>NUMBERSTRING(INT(D19*10000),2)&amp;"元整"</f>
        <v>#VALUE!</v>
      </c>
      <c r="E20" s="1956"/>
    </row>
    <row r="21" spans="1:5" ht="16.2" thickBot="1">
      <c r="A21" s="1956"/>
      <c r="B21" s="2983"/>
      <c r="C21" s="1966" t="s">
        <v>1629</v>
      </c>
      <c r="D21" s="1052" t="str">
        <f>结果表!H112</f>
        <v>——</v>
      </c>
      <c r="E21" s="1956"/>
    </row>
    <row r="22" spans="1:5" ht="14.4" thickTop="1">
      <c r="A22" s="1956"/>
      <c r="B22" s="1967" t="s">
        <v>1632</v>
      </c>
      <c r="C22" s="1956"/>
      <c r="D22" s="1956"/>
      <c r="E22" s="1956"/>
    </row>
    <row r="23" spans="1:5">
      <c r="A23" s="1956"/>
      <c r="B23" s="1956"/>
      <c r="C23" s="1956"/>
      <c r="D23" s="1956"/>
      <c r="E23" s="1956"/>
    </row>
    <row r="24" spans="1:5" ht="17.399999999999999">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6" t="s">
        <v>2992</v>
      </c>
    </row>
    <row r="2" spans="1:5" ht="15.6">
      <c r="A2" s="2895" t="s">
        <v>2984</v>
      </c>
      <c r="B2" s="2896" t="e">
        <f ca="1">SUMIF(B6:B13,"&lt;&gt;#ref!",B6:B13)</f>
        <v>#DIV/0!</v>
      </c>
      <c r="C2" s="2895" t="s">
        <v>2985</v>
      </c>
      <c r="D2" s="2895" t="s">
        <v>2986</v>
      </c>
      <c r="E2" s="2896">
        <f ca="1">SUMIF(E6:E13,"&lt;&gt;#ref!",E6:E13)</f>
        <v>0</v>
      </c>
    </row>
    <row r="3" spans="1:5" ht="15.6">
      <c r="A3" s="2895" t="s">
        <v>2987</v>
      </c>
      <c r="B3" s="2896" t="e">
        <f ca="1">ROUND(B2*10000/E2,0)</f>
        <v>#DIV/0!</v>
      </c>
      <c r="C3" s="2895" t="s">
        <v>2993</v>
      </c>
      <c r="D3" s="2897"/>
      <c r="E3" s="2897"/>
    </row>
    <row r="4" spans="1:5" ht="15.6">
      <c r="A4" s="2898"/>
      <c r="B4" s="2897"/>
      <c r="C4" s="2897"/>
      <c r="D4" s="2897"/>
      <c r="E4" s="2897"/>
    </row>
    <row r="5" spans="1:5" ht="31.2">
      <c r="A5" s="2899" t="s">
        <v>2988</v>
      </c>
      <c r="B5" s="2895" t="s">
        <v>2989</v>
      </c>
      <c r="C5" s="2896"/>
      <c r="D5" s="2897"/>
      <c r="E5" s="2895" t="s">
        <v>2990</v>
      </c>
    </row>
    <row r="6" spans="1:5" ht="15.6">
      <c r="A6" s="2900" t="s">
        <v>2991</v>
      </c>
      <c r="B6" s="2896" t="e">
        <f ca="1">SUMIF(INDIRECT("'"&amp;A6&amp;"'"&amp;"!A:A"),"总价",INDIRECT("'"&amp;A6&amp;"'"&amp;"!B:B"))</f>
        <v>#DIV/0!</v>
      </c>
      <c r="C6" s="2895" t="s">
        <v>2985</v>
      </c>
      <c r="D6" s="2897"/>
      <c r="E6" s="2570">
        <f ca="1">SUMIF(INDIRECT("'"&amp;A6&amp;"'"&amp;"!C:C"),"建筑面积",INDIRECT("'"&amp;A6&amp;"'"&amp;"!D:D"))</f>
        <v>0</v>
      </c>
    </row>
    <row r="7" spans="1:5" ht="15.6">
      <c r="A7" s="2900"/>
      <c r="B7" s="2896" t="e">
        <f ca="1">SUMIF(INDIRECT("'"&amp;A7&amp;"'"&amp;"!A:A"),"总价",INDIRECT("'"&amp;A7&amp;"'"&amp;"!B:B"))</f>
        <v>#REF!</v>
      </c>
      <c r="C7" s="2895" t="s">
        <v>2985</v>
      </c>
      <c r="D7" s="2897"/>
      <c r="E7" s="2570" t="e">
        <f t="shared" ref="E7:E13" ca="1" si="0">SUMIF(INDIRECT("'"&amp;A7&amp;"'"&amp;"!C:C"),"建筑面积",INDIRECT("'"&amp;A7&amp;"'"&amp;"!D:D"))</f>
        <v>#REF!</v>
      </c>
    </row>
    <row r="8" spans="1:5" ht="15.6">
      <c r="A8" s="2900"/>
      <c r="B8" s="2896" t="e">
        <f t="shared" ref="B8:B13" ca="1" si="1">SUMIF(INDIRECT("'"&amp;A8&amp;"'"&amp;"!A:A"),"总价",INDIRECT("'"&amp;A8&amp;"'"&amp;"!B:B"))</f>
        <v>#REF!</v>
      </c>
      <c r="C8" s="2895" t="s">
        <v>2985</v>
      </c>
      <c r="D8" s="2897"/>
      <c r="E8" s="2570" t="e">
        <f t="shared" ca="1" si="0"/>
        <v>#REF!</v>
      </c>
    </row>
    <row r="9" spans="1:5" ht="15.6">
      <c r="A9" s="2900"/>
      <c r="B9" s="2896" t="e">
        <f t="shared" ca="1" si="1"/>
        <v>#REF!</v>
      </c>
      <c r="C9" s="2895" t="s">
        <v>2985</v>
      </c>
      <c r="D9" s="2897"/>
      <c r="E9" s="2570" t="e">
        <f t="shared" ca="1" si="0"/>
        <v>#REF!</v>
      </c>
    </row>
    <row r="10" spans="1:5" ht="15.6">
      <c r="A10" s="2900"/>
      <c r="B10" s="2896" t="e">
        <f t="shared" ca="1" si="1"/>
        <v>#REF!</v>
      </c>
      <c r="C10" s="2895" t="s">
        <v>2985</v>
      </c>
      <c r="D10" s="2897"/>
      <c r="E10" s="2570" t="e">
        <f t="shared" ca="1" si="0"/>
        <v>#REF!</v>
      </c>
    </row>
    <row r="11" spans="1:5" ht="15.6">
      <c r="A11" s="2900"/>
      <c r="B11" s="2896" t="e">
        <f t="shared" ca="1" si="1"/>
        <v>#REF!</v>
      </c>
      <c r="C11" s="2895" t="s">
        <v>2985</v>
      </c>
      <c r="D11" s="2897"/>
      <c r="E11" s="2570" t="e">
        <f t="shared" ca="1" si="0"/>
        <v>#REF!</v>
      </c>
    </row>
    <row r="12" spans="1:5" ht="15.6">
      <c r="A12" s="2900"/>
      <c r="B12" s="2896" t="e">
        <f t="shared" ca="1" si="1"/>
        <v>#REF!</v>
      </c>
      <c r="C12" s="2895" t="s">
        <v>2985</v>
      </c>
      <c r="D12" s="2897"/>
      <c r="E12" s="2570" t="e">
        <f t="shared" ca="1" si="0"/>
        <v>#REF!</v>
      </c>
    </row>
    <row r="13" spans="1:5" ht="15.6">
      <c r="A13" s="2900"/>
      <c r="B13" s="2896" t="e">
        <f t="shared" ca="1" si="1"/>
        <v>#REF!</v>
      </c>
      <c r="C13" s="2895" t="s">
        <v>2985</v>
      </c>
      <c r="D13" s="289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05" t="s">
        <v>1146</v>
      </c>
      <c r="C1" s="3305"/>
      <c r="D1" s="3305"/>
      <c r="E1" s="3305"/>
      <c r="F1" s="3305"/>
      <c r="G1" s="3304" t="s">
        <v>1147</v>
      </c>
      <c r="H1" s="3304"/>
      <c r="I1" s="3304"/>
      <c r="J1" s="3304"/>
      <c r="K1" s="3304"/>
      <c r="L1" s="3304"/>
      <c r="N1" s="3304" t="s">
        <v>1148</v>
      </c>
      <c r="O1" s="3304"/>
      <c r="P1" s="3304"/>
      <c r="Q1" s="3304"/>
      <c r="R1" s="1445"/>
      <c r="S1" s="3304" t="s">
        <v>1149</v>
      </c>
      <c r="T1" s="3304"/>
      <c r="U1" s="3304"/>
      <c r="V1" s="3304"/>
      <c r="X1" s="3303" t="s">
        <v>1150</v>
      </c>
      <c r="Y1" s="3304"/>
      <c r="Z1" s="3304"/>
      <c r="AA1" s="3304"/>
      <c r="AB1" s="3304"/>
      <c r="AD1" s="3303" t="s">
        <v>1151</v>
      </c>
      <c r="AE1" s="3304"/>
      <c r="AF1" s="3304"/>
      <c r="AG1" s="3304"/>
      <c r="AH1" s="3304"/>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1" customFormat="1" ht="14.4">
      <c r="A3" s="2920" t="s">
        <v>3027</v>
      </c>
      <c r="B3" s="2912"/>
      <c r="C3" s="2912"/>
      <c r="D3" s="2913"/>
      <c r="E3" s="2913"/>
      <c r="F3" s="2912"/>
      <c r="G3" s="2914"/>
      <c r="H3" s="2915"/>
      <c r="I3" s="2916">
        <f>ROUND(AVERAGE($I4:$I27),2)</f>
        <v>2.04</v>
      </c>
      <c r="J3" s="2916">
        <f>ROUND(AVERAGE($J4:$J27),2)</f>
        <v>1.44</v>
      </c>
      <c r="K3" s="2916">
        <f>ROUND(AVERAGE($K4:$K27),2)</f>
        <v>2.23</v>
      </c>
      <c r="L3" s="2916">
        <f>ROUND(AVERAGE($L4:$L27),2)</f>
        <v>1.4</v>
      </c>
      <c r="N3" s="2914"/>
      <c r="O3" s="2917"/>
      <c r="P3" s="2917"/>
      <c r="Q3" s="2917"/>
      <c r="R3" s="2917"/>
      <c r="S3" s="2914"/>
      <c r="T3" s="2917"/>
      <c r="U3" s="2917"/>
      <c r="V3" s="2917"/>
      <c r="W3" s="2909"/>
      <c r="X3" s="2918">
        <f>ROUND(SUMPRODUCT(PRODUCT(1+N3:N$26)),4)</f>
        <v>1.5422</v>
      </c>
      <c r="Y3" s="2918">
        <f>ROUND(SUMPRODUCT(PRODUCT(1+O3:O$26)),4)</f>
        <v>1.3557999999999999</v>
      </c>
      <c r="Z3" s="2918">
        <f t="shared" ref="Z3:Z24" si="0">Y3</f>
        <v>1.3557999999999999</v>
      </c>
      <c r="AA3" s="2918">
        <f>ROUND(SUMPRODUCT(PRODUCT(1+P3:P$26)),4)</f>
        <v>1.6036999999999999</v>
      </c>
      <c r="AB3" s="2918">
        <f>ROUND(SUMPRODUCT(PRODUCT(1+Q3:Q$26)),4)</f>
        <v>1.3573</v>
      </c>
      <c r="AD3" s="2919">
        <f>ROUND(AVERAGE(I3:I$27)/100,4)</f>
        <v>2.0400000000000001E-2</v>
      </c>
      <c r="AE3" s="2919">
        <f>ROUND(AVERAGE(J3:J$27)/100,4)</f>
        <v>1.44E-2</v>
      </c>
      <c r="AF3" s="2919">
        <f t="shared" ref="AF3:AF25" si="1">AE3</f>
        <v>1.44E-2</v>
      </c>
      <c r="AG3" s="2919">
        <f>ROUND(AVERAGE(K3:K$27)/100,4)</f>
        <v>2.23E-2</v>
      </c>
      <c r="AH3" s="2919">
        <f>ROUND(AVERAGE(L3:L$27)/100,4)</f>
        <v>1.4E-2</v>
      </c>
    </row>
    <row r="4" spans="1:34" s="1452" customFormat="1" ht="14.4">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8" thickBot="1">
      <c r="A5" s="1727" t="s">
        <v>3044</v>
      </c>
      <c r="B5" s="1789">
        <f t="shared" ref="B5:C11" si="2">B6*(1+N5)</f>
        <v>474.30670301923408</v>
      </c>
      <c r="C5" s="1789">
        <f t="shared" si="2"/>
        <v>349.50705005996491</v>
      </c>
      <c r="D5" s="1789">
        <f t="shared" ref="D5:D16" si="3">C5</f>
        <v>349.50705005996491</v>
      </c>
      <c r="E5" s="1789">
        <f t="shared" ref="E5:F11" si="4">E6*(1+P5)</f>
        <v>678.22831959706957</v>
      </c>
      <c r="F5" s="1789">
        <f t="shared" si="4"/>
        <v>312.0556832169558</v>
      </c>
      <c r="G5" s="2940">
        <v>2019</v>
      </c>
      <c r="H5" s="1728">
        <v>3</v>
      </c>
      <c r="I5" s="2907">
        <v>0</v>
      </c>
      <c r="J5" s="2907">
        <v>0</v>
      </c>
      <c r="K5" s="2907">
        <v>0</v>
      </c>
      <c r="L5" s="2907">
        <v>0</v>
      </c>
      <c r="N5" s="1466">
        <f t="shared" ref="N5:Q10" si="5">I5/100</f>
        <v>0</v>
      </c>
      <c r="O5" s="1466">
        <f t="shared" si="5"/>
        <v>0</v>
      </c>
      <c r="P5" s="1466">
        <f t="shared" si="5"/>
        <v>0</v>
      </c>
      <c r="Q5" s="1466">
        <f t="shared" si="5"/>
        <v>0</v>
      </c>
      <c r="R5" s="1730"/>
      <c r="S5" s="1731"/>
      <c r="T5" s="1730"/>
      <c r="U5" s="1730"/>
      <c r="V5" s="1730"/>
      <c r="W5" s="2910" t="s">
        <v>3028</v>
      </c>
      <c r="X5" s="1724">
        <f>ROUND(IF(项目基本情况!B8="出让",SUMPRODUCT(PRODUCT(1+N5:N$27)),SUMPRODUCT(PRODUCT(1+N5:N$26))),4)</f>
        <v>1.5422</v>
      </c>
      <c r="Y5" s="1724">
        <f>ROUND(IF(项目基本情况!B8="出让",SUMPRODUCT(PRODUCT(1+O5:O$27)),SUMPRODUCT(PRODUCT(1+O5:O$26))),4)</f>
        <v>1.3557999999999999</v>
      </c>
      <c r="Z5" s="1724">
        <f t="shared" ref="Z5:Z11" si="6">Y5</f>
        <v>1.3557999999999999</v>
      </c>
      <c r="AA5" s="1724">
        <f>ROUND(IF(项目基本情况!B8="出让",SUMPRODUCT(PRODUCT(1+P5:P$27)),SUMPRODUCT(PRODUCT(1+P5:P$26))),4)</f>
        <v>1.6036999999999999</v>
      </c>
      <c r="AB5" s="1724">
        <f>ROUND(IF(项目基本情况!B8="出让",SUMPRODUCT(PRODUCT(1+Q5:Q$27)),SUMPRODUCT(PRODUCT(1+Q5:Q$26))),4)</f>
        <v>1.3573</v>
      </c>
      <c r="AD5" s="1467">
        <f>ROUND(AVERAGE(I5:I$27)/100,4)</f>
        <v>2.0400000000000001E-2</v>
      </c>
      <c r="AE5" s="1467">
        <f>ROUND(AVERAGE(J5:J$27)/100,4)</f>
        <v>1.44E-2</v>
      </c>
      <c r="AF5" s="1467">
        <f t="shared" ref="AF5:AF11" si="7">AE5</f>
        <v>1.44E-2</v>
      </c>
      <c r="AG5" s="1467">
        <f>ROUND(AVERAGE(K5:K$27)/100,4)</f>
        <v>2.23E-2</v>
      </c>
      <c r="AH5" s="1467">
        <f>ROUND(AVERAGE(L5:L$27)/100,4)</f>
        <v>1.4E-2</v>
      </c>
    </row>
    <row r="6" spans="1:34" s="1465" customFormat="1">
      <c r="A6" s="1460" t="s">
        <v>3043</v>
      </c>
      <c r="B6" s="1476">
        <f t="shared" si="2"/>
        <v>474.30670301923408</v>
      </c>
      <c r="C6" s="1476">
        <f t="shared" si="2"/>
        <v>349.50705005996491</v>
      </c>
      <c r="D6" s="1476">
        <f t="shared" si="3"/>
        <v>349.50705005996491</v>
      </c>
      <c r="E6" s="1476">
        <f t="shared" si="4"/>
        <v>678.22831959706957</v>
      </c>
      <c r="F6" s="1476">
        <f t="shared" si="4"/>
        <v>312.0556832169558</v>
      </c>
      <c r="G6" s="2940">
        <v>2019</v>
      </c>
      <c r="H6" s="1461">
        <v>2</v>
      </c>
      <c r="I6" s="2945">
        <v>1.53</v>
      </c>
      <c r="J6" s="2945">
        <v>1.01</v>
      </c>
      <c r="K6" s="2945">
        <v>1.62</v>
      </c>
      <c r="L6" s="2946">
        <v>1.25</v>
      </c>
      <c r="M6" s="1470"/>
      <c r="N6" s="1471">
        <f t="shared" si="5"/>
        <v>1.5300000000000001E-2</v>
      </c>
      <c r="O6" s="1472">
        <f t="shared" si="5"/>
        <v>1.01E-2</v>
      </c>
      <c r="P6" s="1472">
        <f t="shared" si="5"/>
        <v>1.6200000000000003E-2</v>
      </c>
      <c r="Q6" s="1472">
        <f t="shared" si="5"/>
        <v>1.2500000000000001E-2</v>
      </c>
      <c r="R6" s="1473"/>
      <c r="S6" s="1471"/>
      <c r="T6" s="1472"/>
      <c r="U6" s="1472"/>
      <c r="V6" s="1472"/>
      <c r="W6" s="1788"/>
      <c r="X6" s="1786">
        <f>ROUND(IF(项目基本情况!B8="出让",SUMPRODUCT(PRODUCT(1+N6:N$27)),SUMPRODUCT(PRODUCT(1+N6:N$26))),4)</f>
        <v>1.5422</v>
      </c>
      <c r="Y6" s="1786">
        <f>ROUND(IF(项目基本情况!B8="出让",SUMPRODUCT(PRODUCT(1+O6:O$27)),SUMPRODUCT(PRODUCT(1+O6:O$26))),4)</f>
        <v>1.3557999999999999</v>
      </c>
      <c r="Z6" s="1786">
        <f t="shared" si="6"/>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si="7"/>
        <v>1.4999999999999999E-2</v>
      </c>
      <c r="AG6" s="1787">
        <f>ROUND(AVERAGE(K6:K$27)/100,4)</f>
        <v>2.3300000000000001E-2</v>
      </c>
      <c r="AH6" s="1787">
        <f>ROUND(AVERAGE(L6:L$27)/100,4)</f>
        <v>1.46E-2</v>
      </c>
    </row>
    <row r="7" spans="1:34" s="1465" customFormat="1" ht="13.8" thickBot="1">
      <c r="A7" s="1460" t="s">
        <v>3040</v>
      </c>
      <c r="B7" s="1476">
        <f t="shared" si="2"/>
        <v>467.15916775261894</v>
      </c>
      <c r="C7" s="1476">
        <f t="shared" si="2"/>
        <v>346.01232557169084</v>
      </c>
      <c r="D7" s="1476">
        <f t="shared" si="3"/>
        <v>346.01232557169084</v>
      </c>
      <c r="E7" s="1476">
        <f t="shared" si="4"/>
        <v>667.41617752122568</v>
      </c>
      <c r="F7" s="1476">
        <f t="shared" si="4"/>
        <v>308.20314391798104</v>
      </c>
      <c r="G7" s="2924">
        <v>2019</v>
      </c>
      <c r="H7" s="1463">
        <v>1</v>
      </c>
      <c r="I7" s="1463">
        <v>0.6</v>
      </c>
      <c r="J7" s="1463">
        <v>0.37</v>
      </c>
      <c r="K7" s="1463">
        <v>0.63</v>
      </c>
      <c r="L7" s="1477">
        <v>1.1299999999999999</v>
      </c>
      <c r="M7" s="1470"/>
      <c r="N7" s="1471">
        <f t="shared" si="5"/>
        <v>6.0000000000000001E-3</v>
      </c>
      <c r="O7" s="1472">
        <f t="shared" si="5"/>
        <v>3.7000000000000002E-3</v>
      </c>
      <c r="P7" s="1472">
        <f t="shared" si="5"/>
        <v>6.3E-3</v>
      </c>
      <c r="Q7" s="1472">
        <f t="shared" si="5"/>
        <v>1.1299999999999999E-2</v>
      </c>
      <c r="R7" s="1473"/>
      <c r="S7" s="1471">
        <f>B7/B8-1</f>
        <v>6.0000000000000053E-3</v>
      </c>
      <c r="T7" s="1472">
        <f>C7/C8-1</f>
        <v>3.7000000000000366E-3</v>
      </c>
      <c r="U7" s="1472">
        <f>D7/D8-1</f>
        <v>3.7000000000000366E-3</v>
      </c>
      <c r="V7" s="1472">
        <f>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si="6"/>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si="7"/>
        <v>1.5299999999999999E-2</v>
      </c>
      <c r="AG7" s="1787">
        <f>ROUND(AVERAGE(K7:K$27)/100,4)</f>
        <v>2.3699999999999999E-2</v>
      </c>
      <c r="AH7" s="1787">
        <f>ROUND(AVERAGE(L7:L$27)/100,4)</f>
        <v>1.47E-2</v>
      </c>
    </row>
    <row r="8" spans="1:34" s="1465" customFormat="1">
      <c r="A8" s="1460" t="s">
        <v>3045</v>
      </c>
      <c r="B8" s="2941">
        <f t="shared" si="2"/>
        <v>464.37293017158942</v>
      </c>
      <c r="C8" s="2941">
        <f t="shared" si="2"/>
        <v>344.73679941385956</v>
      </c>
      <c r="D8" s="2941">
        <f t="shared" si="3"/>
        <v>344.73679941385956</v>
      </c>
      <c r="E8" s="2941">
        <f t="shared" si="4"/>
        <v>663.2377795103107</v>
      </c>
      <c r="F8" s="2942">
        <f t="shared" si="4"/>
        <v>304.75936311478398</v>
      </c>
      <c r="G8" s="3301">
        <v>2018</v>
      </c>
      <c r="H8" s="1461">
        <v>4</v>
      </c>
      <c r="I8" s="1461">
        <v>0.96</v>
      </c>
      <c r="J8" s="1461">
        <v>1.03</v>
      </c>
      <c r="K8" s="1461">
        <v>0.92</v>
      </c>
      <c r="L8" s="1462">
        <v>1.29</v>
      </c>
      <c r="M8" s="1470"/>
      <c r="N8" s="1471">
        <f t="shared" si="5"/>
        <v>9.5999999999999992E-3</v>
      </c>
      <c r="O8" s="1472">
        <f t="shared" si="5"/>
        <v>1.03E-2</v>
      </c>
      <c r="P8" s="1472">
        <f t="shared" si="5"/>
        <v>9.1999999999999998E-3</v>
      </c>
      <c r="Q8" s="1472">
        <f t="shared" si="5"/>
        <v>1.29E-2</v>
      </c>
      <c r="R8" s="1473"/>
      <c r="S8" s="1471"/>
      <c r="T8" s="1472"/>
      <c r="U8" s="1472"/>
      <c r="V8" s="1472"/>
      <c r="W8" s="1788"/>
      <c r="X8" s="1786">
        <f>ROUND(SUMPRODUCT(PRODUCT(1+N8:N$26)),4)</f>
        <v>1.5099</v>
      </c>
      <c r="Y8" s="1786">
        <f>ROUND(SUMPRODUCT(PRODUCT(1+O8:O$26)),4)</f>
        <v>1.3372999999999999</v>
      </c>
      <c r="Z8" s="1786">
        <f t="shared" si="6"/>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si="7"/>
        <v>1.5800000000000002E-2</v>
      </c>
      <c r="AG8" s="1787">
        <f>ROUND(AVERAGE(K8:K$27)/100,4)</f>
        <v>2.4500000000000001E-2</v>
      </c>
      <c r="AH8" s="1787">
        <f>ROUND(AVERAGE(L8:L$27)/100,4)</f>
        <v>1.49E-2</v>
      </c>
    </row>
    <row r="9" spans="1:34" s="1465" customFormat="1" ht="14.4" customHeight="1">
      <c r="A9" s="1460" t="s">
        <v>3034</v>
      </c>
      <c r="B9" s="1476">
        <f t="shared" si="2"/>
        <v>459.95733971036987</v>
      </c>
      <c r="C9" s="1476">
        <f t="shared" si="2"/>
        <v>341.22221064422405</v>
      </c>
      <c r="D9" s="1476">
        <f t="shared" si="3"/>
        <v>341.22221064422405</v>
      </c>
      <c r="E9" s="1476">
        <f t="shared" si="4"/>
        <v>657.19161663724799</v>
      </c>
      <c r="F9" s="1476">
        <f t="shared" si="4"/>
        <v>300.87803644464805</v>
      </c>
      <c r="G9" s="3301"/>
      <c r="H9" s="1463">
        <v>3</v>
      </c>
      <c r="I9" s="1463">
        <v>1.51</v>
      </c>
      <c r="J9" s="1463">
        <v>1.41</v>
      </c>
      <c r="K9" s="1463">
        <v>1.52</v>
      </c>
      <c r="L9" s="1477">
        <v>1.74</v>
      </c>
      <c r="M9" s="1470"/>
      <c r="N9" s="1471">
        <f t="shared" si="5"/>
        <v>1.5100000000000001E-2</v>
      </c>
      <c r="O9" s="1472">
        <f t="shared" si="5"/>
        <v>1.41E-2</v>
      </c>
      <c r="P9" s="1472">
        <f t="shared" si="5"/>
        <v>1.52E-2</v>
      </c>
      <c r="Q9" s="1472">
        <f t="shared" si="5"/>
        <v>1.7399999999999999E-2</v>
      </c>
      <c r="R9" s="1473"/>
      <c r="S9" s="1471"/>
      <c r="T9" s="1472"/>
      <c r="U9" s="1472"/>
      <c r="V9" s="1472"/>
      <c r="W9" s="1788"/>
      <c r="X9" s="1786">
        <f>ROUND(SUMPRODUCT(PRODUCT(1+N9:N$26)),4)</f>
        <v>1.4956</v>
      </c>
      <c r="Y9" s="1786">
        <f>ROUND(SUMPRODUCT(PRODUCT(1+O9:O$26)),4)</f>
        <v>1.3237000000000001</v>
      </c>
      <c r="Z9" s="1786">
        <f t="shared" si="6"/>
        <v>1.3237000000000001</v>
      </c>
      <c r="AA9" s="1786">
        <f>ROUND(SUMPRODUCT(PRODUCT(1+P9:P$26)),4)</f>
        <v>1.554</v>
      </c>
      <c r="AB9" s="1786">
        <f>ROUND(SUMPRODUCT(PRODUCT(1+Q9:Q$26)),4)</f>
        <v>1.3087</v>
      </c>
      <c r="AC9" s="1788"/>
      <c r="AD9" s="1787">
        <f>ROUND(AVERAGE(I9:I$27)/100,4)</f>
        <v>2.3099999999999999E-2</v>
      </c>
      <c r="AE9" s="1787">
        <f>ROUND(AVERAGE(J9:J$27)/100,4)</f>
        <v>1.61E-2</v>
      </c>
      <c r="AF9" s="1787">
        <f t="shared" si="7"/>
        <v>1.61E-2</v>
      </c>
      <c r="AG9" s="1787">
        <f>ROUND(AVERAGE(K9:K$27)/100,4)</f>
        <v>2.53E-2</v>
      </c>
      <c r="AH9" s="1787">
        <f>ROUND(AVERAGE(L9:L$27)/100,4)</f>
        <v>1.4999999999999999E-2</v>
      </c>
    </row>
    <row r="10" spans="1:34" s="1465" customFormat="1" ht="14.4" customHeight="1">
      <c r="A10" s="1460" t="s">
        <v>3033</v>
      </c>
      <c r="B10" s="1476">
        <f t="shared" si="2"/>
        <v>453.11529869999993</v>
      </c>
      <c r="C10" s="1476">
        <f t="shared" si="2"/>
        <v>336.47787264000004</v>
      </c>
      <c r="D10" s="1476">
        <f t="shared" si="3"/>
        <v>336.47787264000004</v>
      </c>
      <c r="E10" s="1476">
        <f t="shared" si="4"/>
        <v>647.35186823999993</v>
      </c>
      <c r="F10" s="1476">
        <f t="shared" si="4"/>
        <v>295.73229452000004</v>
      </c>
      <c r="G10" s="3301"/>
      <c r="H10" s="1464">
        <v>2</v>
      </c>
      <c r="I10" s="1464">
        <v>1.49</v>
      </c>
      <c r="J10" s="1464">
        <v>0.96</v>
      </c>
      <c r="K10" s="1464">
        <v>1.58</v>
      </c>
      <c r="L10" s="1478">
        <v>2.44</v>
      </c>
      <c r="M10" s="1470"/>
      <c r="N10" s="1471">
        <f t="shared" si="5"/>
        <v>1.49E-2</v>
      </c>
      <c r="O10" s="1472">
        <f t="shared" si="5"/>
        <v>9.5999999999999992E-3</v>
      </c>
      <c r="P10" s="1472">
        <f t="shared" si="5"/>
        <v>1.5800000000000002E-2</v>
      </c>
      <c r="Q10" s="1472">
        <f t="shared" si="5"/>
        <v>2.4399999999999998E-2</v>
      </c>
      <c r="R10" s="1473"/>
      <c r="S10" s="1471"/>
      <c r="T10" s="1472"/>
      <c r="U10" s="1472"/>
      <c r="V10" s="1472"/>
      <c r="W10" s="1788"/>
      <c r="X10" s="1786">
        <f>ROUND(SUMPRODUCT(PRODUCT(1+N10:N$26)),4)</f>
        <v>1.4733000000000001</v>
      </c>
      <c r="Y10" s="1786">
        <f>ROUND(SUMPRODUCT(PRODUCT(1+O10:O$26)),4)</f>
        <v>1.3052999999999999</v>
      </c>
      <c r="Z10" s="1786">
        <f t="shared" si="6"/>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si="7"/>
        <v>1.6199999999999999E-2</v>
      </c>
      <c r="AG10" s="1787">
        <f>ROUND(AVERAGE(K10:K$27)/100,4)</f>
        <v>2.5899999999999999E-2</v>
      </c>
      <c r="AH10" s="1787">
        <f>ROUND(AVERAGE(L10:L$27)/100,4)</f>
        <v>1.49E-2</v>
      </c>
    </row>
    <row r="11" spans="1:34" s="1465" customFormat="1" ht="15" customHeight="1" thickBot="1">
      <c r="A11" s="1460" t="s">
        <v>3026</v>
      </c>
      <c r="B11" s="1476">
        <f t="shared" si="2"/>
        <v>446.46299999999997</v>
      </c>
      <c r="C11" s="1476">
        <f t="shared" si="2"/>
        <v>333.27840000000003</v>
      </c>
      <c r="D11" s="1476">
        <f t="shared" si="3"/>
        <v>333.27840000000003</v>
      </c>
      <c r="E11" s="1476">
        <f t="shared" si="4"/>
        <v>637.28279999999995</v>
      </c>
      <c r="F11" s="1476">
        <f t="shared" si="4"/>
        <v>288.68830000000003</v>
      </c>
      <c r="G11" s="3310"/>
      <c r="H11" s="1463">
        <v>1</v>
      </c>
      <c r="I11" s="1463">
        <v>1.7</v>
      </c>
      <c r="J11" s="1463">
        <v>1.92</v>
      </c>
      <c r="K11" s="1463">
        <v>1.64</v>
      </c>
      <c r="L11" s="1477">
        <v>2.0099999999999998</v>
      </c>
      <c r="M11" s="1470"/>
      <c r="N11" s="1471">
        <f t="shared" ref="N11:N16" si="8">I11/100</f>
        <v>1.7000000000000001E-2</v>
      </c>
      <c r="O11" s="1472">
        <f t="shared" ref="O11:Q14" si="9">J11/100</f>
        <v>1.9199999999999998E-2</v>
      </c>
      <c r="P11" s="1472">
        <f t="shared" si="9"/>
        <v>1.6399999999999998E-2</v>
      </c>
      <c r="Q11" s="1472">
        <f t="shared" si="9"/>
        <v>2.0099999999999996E-2</v>
      </c>
      <c r="R11" s="1473"/>
      <c r="S11" s="1471">
        <f>B11/B12-1</f>
        <v>1.6999999999999904E-2</v>
      </c>
      <c r="T11" s="1472">
        <f>C11/C12-1</f>
        <v>1.9200000000000106E-2</v>
      </c>
      <c r="U11" s="1472">
        <f>D11/D12-1</f>
        <v>1.9200000000000106E-2</v>
      </c>
      <c r="V11" s="1472">
        <f>E11/E12-1</f>
        <v>1.639999999999997E-2</v>
      </c>
      <c r="W11" s="1788"/>
      <c r="X11" s="1786">
        <f>ROUND(SUMPRODUCT(PRODUCT(1+N11:N$26)),4)</f>
        <v>1.4517</v>
      </c>
      <c r="Y11" s="1786">
        <f>ROUND(SUMPRODUCT(PRODUCT(1+O11:O$26)),4)</f>
        <v>1.2928999999999999</v>
      </c>
      <c r="Z11" s="1786">
        <f t="shared" si="6"/>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si="7"/>
        <v>1.66E-2</v>
      </c>
      <c r="AG11" s="1787">
        <f>ROUND(AVERAGE(K11:K$27)/100,4)</f>
        <v>2.6499999999999999E-2</v>
      </c>
      <c r="AH11" s="1787">
        <f>ROUND(AVERAGE(L11:L$27)/100,4)</f>
        <v>1.43E-2</v>
      </c>
    </row>
    <row r="12" spans="1:34">
      <c r="A12" s="1460" t="s">
        <v>3023</v>
      </c>
      <c r="B12" s="1468">
        <v>439</v>
      </c>
      <c r="C12" s="1468">
        <v>327</v>
      </c>
      <c r="D12" s="1468">
        <f t="shared" si="3"/>
        <v>327</v>
      </c>
      <c r="E12" s="1468">
        <v>627</v>
      </c>
      <c r="F12" s="1469">
        <v>283</v>
      </c>
      <c r="G12" s="3306">
        <v>2017</v>
      </c>
      <c r="H12" s="1461">
        <v>4</v>
      </c>
      <c r="I12" s="1461">
        <v>1.71</v>
      </c>
      <c r="J12" s="1461">
        <v>1.78</v>
      </c>
      <c r="K12" s="1461">
        <v>1.71</v>
      </c>
      <c r="L12" s="1462">
        <v>1.43</v>
      </c>
      <c r="N12" s="1471">
        <f t="shared" si="8"/>
        <v>1.7100000000000001E-2</v>
      </c>
      <c r="O12" s="1472">
        <f t="shared" si="9"/>
        <v>1.78E-2</v>
      </c>
      <c r="P12" s="1472">
        <f t="shared" si="9"/>
        <v>1.7100000000000001E-2</v>
      </c>
      <c r="Q12" s="1472">
        <f t="shared" si="9"/>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3024</v>
      </c>
      <c r="B13" s="1476">
        <f t="shared" ref="B13:C15" si="10">B14*(1+N13)</f>
        <v>431.80730811680002</v>
      </c>
      <c r="C13" s="1476">
        <f t="shared" si="10"/>
        <v>320.57880516480003</v>
      </c>
      <c r="D13" s="1476">
        <f t="shared" si="3"/>
        <v>320.57880516480003</v>
      </c>
      <c r="E13" s="1476">
        <f t="shared" ref="E13:F15" si="11">E14*(1+P13)</f>
        <v>615.96110553196797</v>
      </c>
      <c r="F13" s="1476">
        <f t="shared" si="11"/>
        <v>279.46777300108801</v>
      </c>
      <c r="G13" s="3301"/>
      <c r="H13" s="1463">
        <v>3</v>
      </c>
      <c r="I13" s="1463">
        <v>2.98</v>
      </c>
      <c r="J13" s="1463">
        <v>2.11</v>
      </c>
      <c r="K13" s="1463">
        <v>3.24</v>
      </c>
      <c r="L13" s="1477">
        <v>1.72</v>
      </c>
      <c r="M13" s="1470"/>
      <c r="N13" s="1471">
        <f t="shared" si="8"/>
        <v>2.98E-2</v>
      </c>
      <c r="O13" s="1472">
        <f t="shared" si="9"/>
        <v>2.1099999999999997E-2</v>
      </c>
      <c r="P13" s="1472">
        <f t="shared" si="9"/>
        <v>3.2400000000000005E-2</v>
      </c>
      <c r="Q13" s="1472">
        <f t="shared" si="9"/>
        <v>1.72E-2</v>
      </c>
      <c r="R13" s="1473"/>
      <c r="S13" s="1471"/>
      <c r="T13" s="1472"/>
      <c r="U13" s="1472"/>
      <c r="V13" s="1472"/>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 customHeight="1">
      <c r="A14" s="1460" t="s">
        <v>1381</v>
      </c>
      <c r="B14" s="1476">
        <f t="shared" si="10"/>
        <v>419.31181600000002</v>
      </c>
      <c r="C14" s="1476">
        <f t="shared" si="10"/>
        <v>313.95436800000004</v>
      </c>
      <c r="D14" s="1476">
        <f t="shared" si="3"/>
        <v>313.95436800000004</v>
      </c>
      <c r="E14" s="1476">
        <f t="shared" si="11"/>
        <v>596.63028431999999</v>
      </c>
      <c r="F14" s="1476">
        <f t="shared" si="11"/>
        <v>274.74220703999998</v>
      </c>
      <c r="G14" s="3301"/>
      <c r="H14" s="1464">
        <v>2</v>
      </c>
      <c r="I14" s="1464">
        <v>3.4</v>
      </c>
      <c r="J14" s="1464">
        <v>2</v>
      </c>
      <c r="K14" s="1464">
        <v>3.82</v>
      </c>
      <c r="L14" s="1478">
        <v>1.68</v>
      </c>
      <c r="M14" s="1470"/>
      <c r="N14" s="1471">
        <f t="shared" si="8"/>
        <v>3.4000000000000002E-2</v>
      </c>
      <c r="O14" s="1472">
        <f t="shared" si="9"/>
        <v>0.02</v>
      </c>
      <c r="P14" s="1472">
        <f t="shared" si="9"/>
        <v>3.8199999999999998E-2</v>
      </c>
      <c r="Q14" s="1472">
        <f t="shared" si="9"/>
        <v>1.6799999999999999E-2</v>
      </c>
      <c r="R14" s="1473"/>
      <c r="S14" s="1474"/>
      <c r="T14" s="1475"/>
      <c r="U14" s="1475"/>
      <c r="V14" s="1475"/>
      <c r="W14" s="1452"/>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2"/>
      <c r="AD14" s="1787">
        <f>ROUND(AVERAGE(I14:I$27)/100,4)</f>
        <v>2.46E-2</v>
      </c>
      <c r="AE14" s="1787">
        <f>ROUND(AVERAGE(J14:J$27)/100,4)</f>
        <v>1.6E-2</v>
      </c>
      <c r="AF14" s="1787">
        <f t="shared" si="1"/>
        <v>1.6E-2</v>
      </c>
      <c r="AG14" s="1787">
        <f>ROUND(AVERAGE(K14:K$27)/100,4)</f>
        <v>2.75E-2</v>
      </c>
      <c r="AH14" s="1787">
        <f>ROUND(AVERAGE(L14:L$27)/100,4)</f>
        <v>1.37E-2</v>
      </c>
    </row>
    <row r="15" spans="1:34" s="1465" customFormat="1" ht="15" customHeight="1" thickBot="1">
      <c r="A15" s="1460" t="s">
        <v>1157</v>
      </c>
      <c r="B15" s="1476">
        <f t="shared" si="10"/>
        <v>405.524</v>
      </c>
      <c r="C15" s="1476">
        <f t="shared" si="10"/>
        <v>307.79840000000002</v>
      </c>
      <c r="D15" s="1476">
        <f t="shared" si="3"/>
        <v>307.79840000000002</v>
      </c>
      <c r="E15" s="1476">
        <f t="shared" si="11"/>
        <v>574.67759999999998</v>
      </c>
      <c r="F15" s="1476">
        <f t="shared" si="11"/>
        <v>270.20280000000002</v>
      </c>
      <c r="G15" s="3310"/>
      <c r="H15" s="1463">
        <v>1</v>
      </c>
      <c r="I15" s="1463">
        <v>3.45</v>
      </c>
      <c r="J15" s="1463">
        <v>1.92</v>
      </c>
      <c r="K15" s="1463">
        <v>3.92</v>
      </c>
      <c r="L15" s="1477">
        <v>1.58</v>
      </c>
      <c r="M15" s="1470"/>
      <c r="N15" s="1471">
        <f t="shared" si="8"/>
        <v>3.4500000000000003E-2</v>
      </c>
      <c r="O15" s="1472">
        <f t="shared" ref="O15:Q30" si="12">J15/100</f>
        <v>1.9199999999999998E-2</v>
      </c>
      <c r="P15" s="1472">
        <f t="shared" si="12"/>
        <v>3.9199999999999999E-2</v>
      </c>
      <c r="Q15" s="1472">
        <f t="shared" si="12"/>
        <v>1.5800000000000002E-2</v>
      </c>
      <c r="R15" s="1473"/>
      <c r="S15" s="1471">
        <f>B15/B16-1</f>
        <v>3.4499999999999975E-2</v>
      </c>
      <c r="T15" s="1472">
        <f>C15/C16-1</f>
        <v>1.9200000000000106E-2</v>
      </c>
      <c r="U15" s="1472">
        <f>D15/D16-1</f>
        <v>1.9200000000000106E-2</v>
      </c>
      <c r="V15" s="1472">
        <f>E15/E16-1</f>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60" t="s">
        <v>154</v>
      </c>
      <c r="B16" s="1468">
        <v>392</v>
      </c>
      <c r="C16" s="1468">
        <v>302</v>
      </c>
      <c r="D16" s="1468">
        <f t="shared" si="3"/>
        <v>302</v>
      </c>
      <c r="E16" s="1468">
        <v>553</v>
      </c>
      <c r="F16" s="1469">
        <v>266</v>
      </c>
      <c r="G16" s="3306">
        <v>2016</v>
      </c>
      <c r="H16" s="1461">
        <v>4</v>
      </c>
      <c r="I16" s="1461">
        <v>4.5599999999999996</v>
      </c>
      <c r="J16" s="1461">
        <v>2.15</v>
      </c>
      <c r="K16" s="1461">
        <v>5.32</v>
      </c>
      <c r="L16" s="1462">
        <v>1.57</v>
      </c>
      <c r="N16" s="1471">
        <f t="shared" si="8"/>
        <v>4.5599999999999995E-2</v>
      </c>
      <c r="O16" s="1472">
        <f t="shared" si="12"/>
        <v>2.1499999999999998E-2</v>
      </c>
      <c r="P16" s="1472">
        <f t="shared" si="12"/>
        <v>5.3200000000000004E-2</v>
      </c>
      <c r="Q16" s="1472">
        <f t="shared" si="12"/>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13">B16/(1+N16)</f>
        <v>374.90436113236416</v>
      </c>
      <c r="C17" s="1476">
        <f t="shared" si="13"/>
        <v>295.64366128242779</v>
      </c>
      <c r="D17" s="1476">
        <f t="shared" ref="D17:D76" si="14">C17</f>
        <v>295.64366128242779</v>
      </c>
      <c r="E17" s="1476">
        <f t="shared" ref="E17:F19" si="15">E16/(1+P16)</f>
        <v>525.06646410938095</v>
      </c>
      <c r="F17" s="1476">
        <f t="shared" si="15"/>
        <v>261.88835286009646</v>
      </c>
      <c r="G17" s="3301"/>
      <c r="H17" s="1463">
        <v>3</v>
      </c>
      <c r="I17" s="1463">
        <v>4.12</v>
      </c>
      <c r="J17" s="1463">
        <v>2</v>
      </c>
      <c r="K17" s="1463">
        <v>4.79</v>
      </c>
      <c r="L17" s="1477">
        <v>1.97</v>
      </c>
      <c r="N17" s="1471">
        <f t="shared" ref="N17:Q51" si="16">I17/100</f>
        <v>4.1200000000000001E-2</v>
      </c>
      <c r="O17" s="1472">
        <f t="shared" si="12"/>
        <v>0.02</v>
      </c>
      <c r="P17" s="1472">
        <f t="shared" si="12"/>
        <v>4.7899999999999998E-2</v>
      </c>
      <c r="Q17" s="1472">
        <f t="shared" si="12"/>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13"/>
        <v>360.06949782209392</v>
      </c>
      <c r="C18" s="1476">
        <f t="shared" si="13"/>
        <v>289.84672674747821</v>
      </c>
      <c r="D18" s="1476">
        <f t="shared" si="14"/>
        <v>289.84672674747821</v>
      </c>
      <c r="E18" s="1476">
        <f t="shared" si="15"/>
        <v>501.06543001181495</v>
      </c>
      <c r="F18" s="1476">
        <f t="shared" si="15"/>
        <v>256.82882500744967</v>
      </c>
      <c r="G18" s="3301"/>
      <c r="H18" s="1464">
        <v>2</v>
      </c>
      <c r="I18" s="1464">
        <v>3.85</v>
      </c>
      <c r="J18" s="1464">
        <v>1.95</v>
      </c>
      <c r="K18" s="1464">
        <v>4.4800000000000004</v>
      </c>
      <c r="L18" s="1478">
        <v>1.41</v>
      </c>
      <c r="N18" s="1471">
        <f t="shared" si="16"/>
        <v>3.85E-2</v>
      </c>
      <c r="O18" s="1472">
        <f t="shared" si="12"/>
        <v>1.95E-2</v>
      </c>
      <c r="P18" s="1472">
        <f t="shared" si="12"/>
        <v>4.4800000000000006E-2</v>
      </c>
      <c r="Q18" s="1472">
        <f t="shared" si="12"/>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13"/>
        <v>346.720748986128</v>
      </c>
      <c r="C19" s="1476">
        <f t="shared" si="13"/>
        <v>284.30282172386285</v>
      </c>
      <c r="D19" s="1476">
        <f t="shared" si="14"/>
        <v>284.30282172386285</v>
      </c>
      <c r="E19" s="1476">
        <f t="shared" si="15"/>
        <v>479.58023546306947</v>
      </c>
      <c r="F19" s="1476">
        <f t="shared" si="15"/>
        <v>253.25788877571213</v>
      </c>
      <c r="G19" s="3302"/>
      <c r="H19" s="1463">
        <v>1</v>
      </c>
      <c r="I19" s="1463">
        <v>4.09</v>
      </c>
      <c r="J19" s="1463">
        <v>2.93</v>
      </c>
      <c r="K19" s="1463">
        <v>4.54</v>
      </c>
      <c r="L19" s="1477">
        <v>1.48</v>
      </c>
      <c r="N19" s="1471">
        <f t="shared" si="16"/>
        <v>4.0899999999999999E-2</v>
      </c>
      <c r="O19" s="1472">
        <f t="shared" si="12"/>
        <v>2.9300000000000003E-2</v>
      </c>
      <c r="P19" s="1472">
        <f t="shared" si="12"/>
        <v>4.5400000000000003E-2</v>
      </c>
      <c r="Q19" s="1472">
        <f t="shared" si="12"/>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14"/>
        <v>277</v>
      </c>
      <c r="E20" s="1468">
        <v>459</v>
      </c>
      <c r="F20" s="1469">
        <v>249</v>
      </c>
      <c r="G20" s="3300">
        <v>2015</v>
      </c>
      <c r="H20" s="1481">
        <v>4</v>
      </c>
      <c r="I20" s="1481">
        <v>1.63</v>
      </c>
      <c r="J20" s="1481">
        <v>1.1100000000000001</v>
      </c>
      <c r="K20" s="1481">
        <v>1.77</v>
      </c>
      <c r="L20" s="1482">
        <v>1.89</v>
      </c>
      <c r="N20" s="1483">
        <f t="shared" si="16"/>
        <v>1.6299999999999999E-2</v>
      </c>
      <c r="O20" s="1484">
        <f t="shared" si="12"/>
        <v>1.11E-2</v>
      </c>
      <c r="P20" s="1484">
        <f t="shared" si="12"/>
        <v>1.77E-2</v>
      </c>
      <c r="Q20" s="1484">
        <f t="shared" si="12"/>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7">B20/(1+N20)</f>
        <v>327.65915576109415</v>
      </c>
      <c r="C21" s="1476">
        <f t="shared" si="17"/>
        <v>273.95905449510434</v>
      </c>
      <c r="D21" s="1476">
        <f t="shared" si="14"/>
        <v>273.95905449510434</v>
      </c>
      <c r="E21" s="1476">
        <f t="shared" ref="E21:F23" si="18">E20/(1+P20)</f>
        <v>451.01699911565294</v>
      </c>
      <c r="F21" s="1476">
        <f t="shared" si="18"/>
        <v>244.38119540681129</v>
      </c>
      <c r="G21" s="3301"/>
      <c r="H21" s="1486">
        <v>3</v>
      </c>
      <c r="I21" s="1486">
        <v>1.65</v>
      </c>
      <c r="J21" s="1486">
        <v>0.92</v>
      </c>
      <c r="K21" s="1486">
        <v>1.88</v>
      </c>
      <c r="L21" s="1487">
        <v>1.26</v>
      </c>
      <c r="N21" s="1471">
        <f t="shared" si="16"/>
        <v>1.6500000000000001E-2</v>
      </c>
      <c r="O21" s="1488">
        <f t="shared" si="12"/>
        <v>9.1999999999999998E-3</v>
      </c>
      <c r="P21" s="1488">
        <f t="shared" si="12"/>
        <v>1.8799999999999997E-2</v>
      </c>
      <c r="Q21" s="1488">
        <f t="shared" si="12"/>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7"/>
        <v>322.34053690220776</v>
      </c>
      <c r="C22" s="1476">
        <f t="shared" si="17"/>
        <v>271.46160770422546</v>
      </c>
      <c r="D22" s="1476">
        <f t="shared" si="14"/>
        <v>271.46160770422546</v>
      </c>
      <c r="E22" s="1476">
        <f t="shared" si="18"/>
        <v>442.69434542172456</v>
      </c>
      <c r="F22" s="1476">
        <f t="shared" si="18"/>
        <v>241.34030753190925</v>
      </c>
      <c r="G22" s="3301"/>
      <c r="H22" s="1464">
        <v>2</v>
      </c>
      <c r="I22" s="1464">
        <v>0.77</v>
      </c>
      <c r="J22" s="1464">
        <v>0.69</v>
      </c>
      <c r="K22" s="1464">
        <v>0.8</v>
      </c>
      <c r="L22" s="1478">
        <v>0.88</v>
      </c>
      <c r="N22" s="1471">
        <f t="shared" si="16"/>
        <v>7.7000000000000002E-3</v>
      </c>
      <c r="O22" s="1488">
        <f t="shared" si="12"/>
        <v>6.8999999999999999E-3</v>
      </c>
      <c r="P22" s="1488">
        <f t="shared" si="12"/>
        <v>8.0000000000000002E-3</v>
      </c>
      <c r="Q22" s="1488">
        <f t="shared" si="12"/>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7"/>
        <v>319.87748030386797</v>
      </c>
      <c r="C23" s="1476">
        <f t="shared" si="17"/>
        <v>269.60135833173649</v>
      </c>
      <c r="D23" s="1476">
        <f t="shared" si="14"/>
        <v>269.60135833173649</v>
      </c>
      <c r="E23" s="1476">
        <f t="shared" si="18"/>
        <v>439.18089823583784</v>
      </c>
      <c r="F23" s="1476">
        <f t="shared" si="18"/>
        <v>239.23503918706311</v>
      </c>
      <c r="G23" s="3302"/>
      <c r="H23" s="1463">
        <v>1</v>
      </c>
      <c r="I23" s="1463">
        <v>0.51</v>
      </c>
      <c r="J23" s="1463">
        <v>0.54</v>
      </c>
      <c r="K23" s="1463">
        <v>0.48</v>
      </c>
      <c r="L23" s="1477">
        <v>0.93</v>
      </c>
      <c r="N23" s="1479">
        <f t="shared" si="16"/>
        <v>5.1000000000000004E-3</v>
      </c>
      <c r="O23" s="1480">
        <f t="shared" si="12"/>
        <v>5.4000000000000003E-3</v>
      </c>
      <c r="P23" s="1480">
        <f t="shared" si="12"/>
        <v>4.7999999999999996E-3</v>
      </c>
      <c r="Q23" s="1480">
        <f t="shared" si="12"/>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14"/>
        <v>268</v>
      </c>
      <c r="E24" s="1489">
        <v>437</v>
      </c>
      <c r="F24" s="1490">
        <v>237</v>
      </c>
      <c r="G24" s="3300">
        <v>2014</v>
      </c>
      <c r="H24" s="1481">
        <v>4</v>
      </c>
      <c r="I24" s="1481">
        <v>0.21</v>
      </c>
      <c r="J24" s="1481">
        <v>0.41</v>
      </c>
      <c r="K24" s="1481">
        <v>0.12</v>
      </c>
      <c r="L24" s="1482">
        <v>0.89</v>
      </c>
      <c r="N24" s="1471">
        <f t="shared" si="16"/>
        <v>2.0999999999999999E-3</v>
      </c>
      <c r="O24" s="1472">
        <f t="shared" si="12"/>
        <v>4.0999999999999995E-3</v>
      </c>
      <c r="P24" s="1472">
        <f t="shared" si="12"/>
        <v>1.1999999999999999E-3</v>
      </c>
      <c r="Q24" s="1472">
        <f t="shared" si="12"/>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9">B24/(1+N24)</f>
        <v>317.33359944117353</v>
      </c>
      <c r="C25" s="1476">
        <f t="shared" si="19"/>
        <v>266.90568668459315</v>
      </c>
      <c r="D25" s="1476">
        <f t="shared" si="14"/>
        <v>266.90568668459315</v>
      </c>
      <c r="E25" s="1476">
        <f t="shared" ref="E25:F27" si="20">E24/(1+P24)</f>
        <v>436.47622852576905</v>
      </c>
      <c r="F25" s="1476">
        <f t="shared" si="20"/>
        <v>234.90930716622066</v>
      </c>
      <c r="G25" s="3301"/>
      <c r="H25" s="1491">
        <v>3</v>
      </c>
      <c r="I25" s="1491">
        <v>0.83</v>
      </c>
      <c r="J25" s="1491">
        <v>1.47</v>
      </c>
      <c r="K25" s="1491">
        <v>0.65</v>
      </c>
      <c r="L25" s="1492">
        <v>0.72</v>
      </c>
      <c r="N25" s="1471">
        <f t="shared" si="16"/>
        <v>8.3000000000000001E-3</v>
      </c>
      <c r="O25" s="1472">
        <f t="shared" si="12"/>
        <v>1.47E-2</v>
      </c>
      <c r="P25" s="1472">
        <f t="shared" si="12"/>
        <v>6.5000000000000006E-3</v>
      </c>
      <c r="Q25" s="1472">
        <f t="shared" si="12"/>
        <v>7.1999999999999998E-3</v>
      </c>
      <c r="R25" s="1473"/>
      <c r="S25" s="1471"/>
      <c r="T25" s="1472"/>
      <c r="U25" s="1472"/>
      <c r="V25" s="1472"/>
      <c r="X25" s="1458">
        <f>ROUND(SUMPRODUCT(PRODUCT(1+N25:N$26)),4)</f>
        <v>1.0325</v>
      </c>
      <c r="Y25" s="1458">
        <f>ROUND(SUMPRODUCT(PRODUCT(1+O25:O$26)),4)</f>
        <v>1.0353000000000001</v>
      </c>
      <c r="Z25" s="1458">
        <f>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9"/>
        <v>314.72141172386546</v>
      </c>
      <c r="C26" s="1476">
        <f t="shared" si="19"/>
        <v>263.03901319069001</v>
      </c>
      <c r="D26" s="1476">
        <f t="shared" si="14"/>
        <v>263.03901319069001</v>
      </c>
      <c r="E26" s="1476">
        <f t="shared" si="20"/>
        <v>433.65745506782821</v>
      </c>
      <c r="F26" s="1476">
        <f t="shared" si="20"/>
        <v>233.23005080045735</v>
      </c>
      <c r="G26" s="3301"/>
      <c r="H26" s="1481">
        <v>2</v>
      </c>
      <c r="I26" s="1481">
        <v>2.4</v>
      </c>
      <c r="J26" s="1481">
        <v>2.0299999999999998</v>
      </c>
      <c r="K26" s="1481">
        <v>2.59</v>
      </c>
      <c r="L26" s="1482">
        <v>1.52</v>
      </c>
      <c r="N26" s="1471">
        <f t="shared" si="16"/>
        <v>2.4E-2</v>
      </c>
      <c r="O26" s="1472">
        <f t="shared" si="12"/>
        <v>2.0299999999999999E-2</v>
      </c>
      <c r="P26" s="1472">
        <f t="shared" si="12"/>
        <v>2.5899999999999999E-2</v>
      </c>
      <c r="Q26" s="1472">
        <f t="shared" si="12"/>
        <v>1.52E-2</v>
      </c>
      <c r="R26" s="1473"/>
      <c r="S26" s="1471"/>
      <c r="T26" s="1472"/>
      <c r="U26" s="1472"/>
      <c r="V26" s="1472"/>
      <c r="X26" s="1458">
        <f>1+N26</f>
        <v>1.024</v>
      </c>
      <c r="Y26" s="1458">
        <f>1+O26</f>
        <v>1.0203</v>
      </c>
      <c r="Z26" s="1458">
        <f>Y26</f>
        <v>1.0203</v>
      </c>
      <c r="AA26" s="1458">
        <f>1+P26</f>
        <v>1.0259</v>
      </c>
      <c r="AB26" s="1458">
        <f>1+Q26</f>
        <v>1.0152000000000001</v>
      </c>
      <c r="AD26" s="1459">
        <f>ROUND(AVERAGE(I26:I$27)/100,4)</f>
        <v>2.69E-2</v>
      </c>
      <c r="AE26" s="1459">
        <f>ROUND(AVERAGE(J26:J$27)/100,4)</f>
        <v>2.1899999999999999E-2</v>
      </c>
      <c r="AF26" s="1459">
        <f>AE26</f>
        <v>2.1899999999999999E-2</v>
      </c>
      <c r="AG26" s="1459">
        <f>ROUND(AVERAGE(K26:K$27)/100,4)</f>
        <v>2.9399999999999999E-2</v>
      </c>
      <c r="AH26" s="1459">
        <f>ROUND(AVERAGE(L26:L$27)/100,4)</f>
        <v>1.44E-2</v>
      </c>
    </row>
    <row r="27" spans="1:34" s="1497" customFormat="1" ht="13.8" thickBot="1">
      <c r="A27" s="1493" t="s">
        <v>144</v>
      </c>
      <c r="B27" s="1494">
        <f t="shared" si="19"/>
        <v>307.34512863658733</v>
      </c>
      <c r="C27" s="1494">
        <f t="shared" si="19"/>
        <v>257.80556031626975</v>
      </c>
      <c r="D27" s="1494">
        <f t="shared" si="14"/>
        <v>257.80556031626975</v>
      </c>
      <c r="E27" s="1494">
        <f t="shared" si="20"/>
        <v>422.70928459677179</v>
      </c>
      <c r="F27" s="1494">
        <f t="shared" si="20"/>
        <v>229.73803270336617</v>
      </c>
      <c r="G27" s="3302"/>
      <c r="H27" s="1495">
        <v>1</v>
      </c>
      <c r="I27" s="1495">
        <v>2.97</v>
      </c>
      <c r="J27" s="1495">
        <v>2.34</v>
      </c>
      <c r="K27" s="1495">
        <v>3.28</v>
      </c>
      <c r="L27" s="1496">
        <v>1.36</v>
      </c>
      <c r="N27" s="1498">
        <f t="shared" si="16"/>
        <v>2.9700000000000001E-2</v>
      </c>
      <c r="O27" s="1499">
        <f t="shared" si="12"/>
        <v>2.3399999999999997E-2</v>
      </c>
      <c r="P27" s="1499">
        <f t="shared" si="12"/>
        <v>3.2799999999999996E-2</v>
      </c>
      <c r="Q27" s="1499">
        <f t="shared" si="12"/>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5">
        <f>I27/100</f>
        <v>2.9700000000000001E-2</v>
      </c>
      <c r="AE27" s="1725">
        <f>J27/100</f>
        <v>2.3399999999999997E-2</v>
      </c>
      <c r="AF27" s="1725">
        <f>AE27</f>
        <v>2.3399999999999997E-2</v>
      </c>
      <c r="AG27" s="1725">
        <f>K27/100</f>
        <v>3.2799999999999996E-2</v>
      </c>
      <c r="AH27" s="1725">
        <f>L27/100</f>
        <v>1.3600000000000001E-2</v>
      </c>
    </row>
    <row r="28" spans="1:34" ht="13.8" thickBot="1">
      <c r="A28" s="1460" t="s">
        <v>1159</v>
      </c>
      <c r="B28" s="1468">
        <v>299</v>
      </c>
      <c r="C28" s="1468">
        <v>252</v>
      </c>
      <c r="D28" s="1468">
        <f t="shared" si="14"/>
        <v>252</v>
      </c>
      <c r="E28" s="1468">
        <v>409</v>
      </c>
      <c r="F28" s="1469">
        <v>227</v>
      </c>
      <c r="G28" s="3307">
        <v>2013</v>
      </c>
      <c r="H28" s="1505">
        <v>4</v>
      </c>
      <c r="I28" s="1505">
        <v>1.83</v>
      </c>
      <c r="J28" s="1505">
        <v>1.68</v>
      </c>
      <c r="K28" s="1505">
        <v>1.97</v>
      </c>
      <c r="L28" s="1506">
        <v>0.87</v>
      </c>
      <c r="N28" s="1483">
        <f t="shared" si="16"/>
        <v>1.83E-2</v>
      </c>
      <c r="O28" s="1484">
        <f t="shared" si="12"/>
        <v>1.6799999999999999E-2</v>
      </c>
      <c r="P28" s="1484">
        <f t="shared" si="12"/>
        <v>1.9699999999999999E-2</v>
      </c>
      <c r="Q28" s="1484">
        <f t="shared" si="12"/>
        <v>8.6999999999999994E-3</v>
      </c>
      <c r="R28" s="1473"/>
      <c r="S28" s="1474"/>
      <c r="T28" s="1475"/>
      <c r="U28" s="1475"/>
      <c r="V28" s="1475"/>
      <c r="X28" s="1475"/>
      <c r="Y28" s="1475"/>
      <c r="Z28" s="1475"/>
    </row>
    <row r="29" spans="1:34">
      <c r="A29" s="1460" t="s">
        <v>1160</v>
      </c>
      <c r="B29" s="1476">
        <f t="shared" ref="B29:C31" si="21">B28/(1+N28)</f>
        <v>293.62663262299913</v>
      </c>
      <c r="C29" s="1476">
        <f t="shared" si="21"/>
        <v>247.83634933123525</v>
      </c>
      <c r="D29" s="1476">
        <f t="shared" si="14"/>
        <v>247.83634933123525</v>
      </c>
      <c r="E29" s="1476">
        <f t="shared" ref="E29:F31" si="22">E28/(1+P28)</f>
        <v>401.09836226341076</v>
      </c>
      <c r="F29" s="1476">
        <f t="shared" si="22"/>
        <v>225.04213343908003</v>
      </c>
      <c r="G29" s="3308"/>
      <c r="H29" s="1486">
        <v>3</v>
      </c>
      <c r="I29" s="1486">
        <v>1.86</v>
      </c>
      <c r="J29" s="1486">
        <v>1.72</v>
      </c>
      <c r="K29" s="1486">
        <v>1.98</v>
      </c>
      <c r="L29" s="1487">
        <v>0.88</v>
      </c>
      <c r="N29" s="1471">
        <f t="shared" si="16"/>
        <v>1.8600000000000002E-2</v>
      </c>
      <c r="O29" s="1488">
        <f t="shared" si="12"/>
        <v>1.72E-2</v>
      </c>
      <c r="P29" s="1488">
        <f t="shared" si="12"/>
        <v>1.9799999999999998E-2</v>
      </c>
      <c r="Q29" s="1488">
        <f t="shared" si="12"/>
        <v>8.8000000000000005E-3</v>
      </c>
      <c r="R29" s="1473"/>
      <c r="S29" s="1471"/>
      <c r="T29" s="1472"/>
      <c r="U29" s="1472"/>
      <c r="V29" s="1472"/>
    </row>
    <row r="30" spans="1:34">
      <c r="A30" s="1460" t="s">
        <v>1161</v>
      </c>
      <c r="B30" s="1476">
        <f t="shared" si="21"/>
        <v>288.2649053828776</v>
      </c>
      <c r="C30" s="1476">
        <f t="shared" si="21"/>
        <v>243.64564425013293</v>
      </c>
      <c r="D30" s="1476">
        <f t="shared" si="14"/>
        <v>243.64564425013293</v>
      </c>
      <c r="E30" s="1476">
        <f t="shared" si="22"/>
        <v>393.31080825986544</v>
      </c>
      <c r="F30" s="1476">
        <f t="shared" si="22"/>
        <v>223.07903790551154</v>
      </c>
      <c r="G30" s="3308"/>
      <c r="H30" s="1464">
        <v>2</v>
      </c>
      <c r="I30" s="1464">
        <v>2.04</v>
      </c>
      <c r="J30" s="1464">
        <v>2.33</v>
      </c>
      <c r="K30" s="1464">
        <v>2.0699999999999998</v>
      </c>
      <c r="L30" s="1478">
        <v>0.69</v>
      </c>
      <c r="N30" s="1471">
        <f t="shared" si="16"/>
        <v>2.0400000000000001E-2</v>
      </c>
      <c r="O30" s="1488">
        <f t="shared" si="12"/>
        <v>2.3300000000000001E-2</v>
      </c>
      <c r="P30" s="1488">
        <f t="shared" si="12"/>
        <v>2.07E-2</v>
      </c>
      <c r="Q30" s="1488">
        <f t="shared" si="12"/>
        <v>6.8999999999999999E-3</v>
      </c>
      <c r="R30" s="1473"/>
      <c r="S30" s="1471"/>
      <c r="T30" s="1472"/>
      <c r="U30" s="1472"/>
      <c r="V30" s="1472"/>
      <c r="X30" s="1507"/>
      <c r="Y30" s="1508"/>
    </row>
    <row r="31" spans="1:34">
      <c r="A31" s="1460" t="s">
        <v>1162</v>
      </c>
      <c r="B31" s="1476">
        <f t="shared" si="21"/>
        <v>282.50186729015837</v>
      </c>
      <c r="C31" s="1476">
        <f t="shared" si="21"/>
        <v>238.09796174155468</v>
      </c>
      <c r="D31" s="1476">
        <f t="shared" si="14"/>
        <v>238.09796174155468</v>
      </c>
      <c r="E31" s="1476">
        <f t="shared" si="22"/>
        <v>385.33438646014054</v>
      </c>
      <c r="F31" s="1476">
        <f t="shared" si="22"/>
        <v>221.55034055567739</v>
      </c>
      <c r="G31" s="3309"/>
      <c r="H31" s="1463">
        <v>1</v>
      </c>
      <c r="I31" s="1463">
        <v>1.67</v>
      </c>
      <c r="J31" s="1463">
        <v>1.31</v>
      </c>
      <c r="K31" s="1463">
        <v>1.85</v>
      </c>
      <c r="L31" s="1477">
        <v>0.96</v>
      </c>
      <c r="N31" s="1479">
        <f t="shared" si="16"/>
        <v>1.67E-2</v>
      </c>
      <c r="O31" s="1480">
        <f t="shared" si="16"/>
        <v>1.3100000000000001E-2</v>
      </c>
      <c r="P31" s="1480">
        <f t="shared" si="16"/>
        <v>1.8500000000000003E-2</v>
      </c>
      <c r="Q31" s="1480">
        <f t="shared" si="16"/>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14"/>
        <v>234</v>
      </c>
      <c r="E32" s="1510">
        <v>379</v>
      </c>
      <c r="F32" s="1511">
        <v>220</v>
      </c>
      <c r="G32" s="3300">
        <v>2012</v>
      </c>
      <c r="H32" s="1481">
        <v>4</v>
      </c>
      <c r="I32" s="1481">
        <v>0.91</v>
      </c>
      <c r="J32" s="1481">
        <v>0.68</v>
      </c>
      <c r="K32" s="1481">
        <v>0.98</v>
      </c>
      <c r="L32" s="1482">
        <v>0.9</v>
      </c>
      <c r="N32" s="1471">
        <f t="shared" si="16"/>
        <v>9.1000000000000004E-3</v>
      </c>
      <c r="O32" s="1472">
        <f t="shared" si="16"/>
        <v>6.8000000000000005E-3</v>
      </c>
      <c r="P32" s="1472">
        <f t="shared" si="16"/>
        <v>9.7999999999999997E-3</v>
      </c>
      <c r="Q32" s="1472">
        <f t="shared" si="16"/>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14"/>
        <v>232.41954707985698</v>
      </c>
      <c r="E33" s="1476">
        <f t="shared" ref="E33:F35" si="23">E32/(1+P32)</f>
        <v>375.32184591008121</v>
      </c>
      <c r="F33" s="1476">
        <f t="shared" si="23"/>
        <v>218.03766105054513</v>
      </c>
      <c r="G33" s="3301"/>
      <c r="H33" s="1486">
        <v>3</v>
      </c>
      <c r="I33" s="1486">
        <v>0.09</v>
      </c>
      <c r="J33" s="1486">
        <v>0.28999999999999998</v>
      </c>
      <c r="K33" s="1486">
        <v>-0.01</v>
      </c>
      <c r="L33" s="1487">
        <v>0.57999999999999996</v>
      </c>
      <c r="N33" s="1471">
        <f t="shared" si="16"/>
        <v>8.9999999999999998E-4</v>
      </c>
      <c r="O33" s="1472">
        <f t="shared" si="16"/>
        <v>2.8999999999999998E-3</v>
      </c>
      <c r="P33" s="1472">
        <f t="shared" si="16"/>
        <v>-1E-4</v>
      </c>
      <c r="Q33" s="1472">
        <f t="shared" si="16"/>
        <v>5.7999999999999996E-3</v>
      </c>
      <c r="R33" s="1473"/>
      <c r="S33" s="1471"/>
      <c r="T33" s="1472"/>
      <c r="U33" s="1472"/>
      <c r="V33" s="1472"/>
    </row>
    <row r="34" spans="1:26">
      <c r="A34" s="1460" t="s">
        <v>1165</v>
      </c>
      <c r="B34" s="1476">
        <f>B33/(1+N33)</f>
        <v>275.24529281292263</v>
      </c>
      <c r="C34" s="1476">
        <f>C33/(1+O33)</f>
        <v>231.74747938962707</v>
      </c>
      <c r="D34" s="1476">
        <f t="shared" si="14"/>
        <v>231.74747938962707</v>
      </c>
      <c r="E34" s="1476">
        <f t="shared" si="23"/>
        <v>375.35938184826603</v>
      </c>
      <c r="F34" s="1476">
        <f t="shared" si="23"/>
        <v>216.78033510692495</v>
      </c>
      <c r="G34" s="3301"/>
      <c r="H34" s="1464">
        <v>2</v>
      </c>
      <c r="I34" s="1464">
        <v>0.02</v>
      </c>
      <c r="J34" s="1464">
        <v>0.12</v>
      </c>
      <c r="K34" s="1464">
        <v>-0.08</v>
      </c>
      <c r="L34" s="1478">
        <v>1.24</v>
      </c>
      <c r="N34" s="1471">
        <f t="shared" si="16"/>
        <v>2.0000000000000001E-4</v>
      </c>
      <c r="O34" s="1472">
        <f t="shared" si="16"/>
        <v>1.1999999999999999E-3</v>
      </c>
      <c r="P34" s="1472">
        <f t="shared" si="16"/>
        <v>-8.0000000000000004E-4</v>
      </c>
      <c r="Q34" s="1472">
        <f t="shared" si="16"/>
        <v>1.24E-2</v>
      </c>
      <c r="R34" s="1473"/>
      <c r="S34" s="1471"/>
      <c r="T34" s="1472"/>
      <c r="U34" s="1472"/>
      <c r="V34" s="1472"/>
    </row>
    <row r="35" spans="1:26" ht="13.8" thickBot="1">
      <c r="A35" s="1460" t="s">
        <v>1166</v>
      </c>
      <c r="B35" s="1476">
        <f>B34/(1+N34)</f>
        <v>275.19025476197027</v>
      </c>
      <c r="C35" s="1512">
        <v>232</v>
      </c>
      <c r="D35" s="1512">
        <f t="shared" si="14"/>
        <v>232</v>
      </c>
      <c r="E35" s="1476">
        <f t="shared" si="23"/>
        <v>375.65990977608692</v>
      </c>
      <c r="F35" s="1476">
        <f t="shared" si="23"/>
        <v>214.12518283971252</v>
      </c>
      <c r="G35" s="3302"/>
      <c r="H35" s="1463">
        <v>1</v>
      </c>
      <c r="I35" s="1463">
        <v>0.02</v>
      </c>
      <c r="J35" s="1463">
        <v>0.13</v>
      </c>
      <c r="K35" s="1463">
        <v>-0.04</v>
      </c>
      <c r="L35" s="1477">
        <v>0.46</v>
      </c>
      <c r="N35" s="1471">
        <f t="shared" si="16"/>
        <v>2.0000000000000001E-4</v>
      </c>
      <c r="O35" s="1472">
        <f t="shared" si="16"/>
        <v>1.2999999999999999E-3</v>
      </c>
      <c r="P35" s="1472">
        <f t="shared" si="16"/>
        <v>-4.0000000000000002E-4</v>
      </c>
      <c r="Q35" s="1472">
        <f t="shared" si="16"/>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14"/>
        <v>232</v>
      </c>
      <c r="E36" s="1468">
        <v>376</v>
      </c>
      <c r="F36" s="1469">
        <v>213</v>
      </c>
      <c r="G36" s="3300">
        <v>2011</v>
      </c>
      <c r="H36" s="1481">
        <v>4</v>
      </c>
      <c r="I36" s="1481">
        <v>-0.2</v>
      </c>
      <c r="J36" s="1481">
        <v>0.04</v>
      </c>
      <c r="K36" s="1481">
        <v>-0.34</v>
      </c>
      <c r="L36" s="1482">
        <v>0.46</v>
      </c>
      <c r="N36" s="1483">
        <f t="shared" si="16"/>
        <v>-2E-3</v>
      </c>
      <c r="O36" s="1484">
        <f t="shared" si="16"/>
        <v>4.0000000000000002E-4</v>
      </c>
      <c r="P36" s="1484">
        <f t="shared" si="16"/>
        <v>-3.4000000000000002E-3</v>
      </c>
      <c r="Q36" s="1484">
        <f t="shared" si="16"/>
        <v>4.5999999999999999E-3</v>
      </c>
      <c r="R36" s="1473"/>
      <c r="S36" s="1474"/>
      <c r="T36" s="1475"/>
      <c r="U36" s="1475"/>
      <c r="V36" s="1475"/>
      <c r="X36" s="1475"/>
      <c r="Y36" s="1475"/>
      <c r="Z36" s="1475"/>
    </row>
    <row r="37" spans="1:26">
      <c r="A37" s="1460" t="s">
        <v>1168</v>
      </c>
      <c r="B37" s="1476">
        <f t="shared" ref="B37:C39" si="24">B36/(1+N36)</f>
        <v>275.55110220440883</v>
      </c>
      <c r="C37" s="1476">
        <f t="shared" si="24"/>
        <v>231.90723710515795</v>
      </c>
      <c r="D37" s="1476">
        <f t="shared" si="14"/>
        <v>231.90723710515795</v>
      </c>
      <c r="E37" s="1476">
        <f t="shared" ref="E37:F39" si="25">E36/(1+P36)</f>
        <v>377.28276138872161</v>
      </c>
      <c r="F37" s="1476">
        <f t="shared" si="25"/>
        <v>212.02468644236512</v>
      </c>
      <c r="G37" s="3301">
        <v>2011</v>
      </c>
      <c r="H37" s="1486">
        <v>3</v>
      </c>
      <c r="I37" s="1486">
        <v>0.13</v>
      </c>
      <c r="J37" s="1486">
        <v>0.75</v>
      </c>
      <c r="K37" s="1486">
        <v>-0.08</v>
      </c>
      <c r="L37" s="1487">
        <v>0.53</v>
      </c>
      <c r="N37" s="1471">
        <f t="shared" si="16"/>
        <v>1.2999999999999999E-3</v>
      </c>
      <c r="O37" s="1488">
        <f t="shared" si="16"/>
        <v>7.4999999999999997E-3</v>
      </c>
      <c r="P37" s="1488">
        <f t="shared" si="16"/>
        <v>-8.0000000000000004E-4</v>
      </c>
      <c r="Q37" s="1488">
        <f t="shared" si="16"/>
        <v>5.3E-3</v>
      </c>
      <c r="R37" s="1473"/>
      <c r="S37" s="1471"/>
      <c r="T37" s="1472"/>
      <c r="U37" s="1472"/>
      <c r="V37" s="1472"/>
    </row>
    <row r="38" spans="1:26">
      <c r="A38" s="1460" t="s">
        <v>1169</v>
      </c>
      <c r="B38" s="1476">
        <f t="shared" si="24"/>
        <v>275.19335084830601</v>
      </c>
      <c r="C38" s="1476">
        <f t="shared" si="24"/>
        <v>230.18088050139744</v>
      </c>
      <c r="D38" s="1476">
        <f t="shared" si="14"/>
        <v>230.18088050139744</v>
      </c>
      <c r="E38" s="1476">
        <f t="shared" si="25"/>
        <v>377.58482925212331</v>
      </c>
      <c r="F38" s="1476">
        <f t="shared" si="25"/>
        <v>210.90687997847917</v>
      </c>
      <c r="G38" s="3301">
        <v>2011</v>
      </c>
      <c r="H38" s="1464">
        <v>2</v>
      </c>
      <c r="I38" s="1464">
        <v>-0.4</v>
      </c>
      <c r="J38" s="1464">
        <v>0.17</v>
      </c>
      <c r="K38" s="1464">
        <v>-0.57999999999999996</v>
      </c>
      <c r="L38" s="1478">
        <v>-0.2</v>
      </c>
      <c r="N38" s="1471">
        <f t="shared" si="16"/>
        <v>-4.0000000000000001E-3</v>
      </c>
      <c r="O38" s="1488">
        <f t="shared" si="16"/>
        <v>1.7000000000000001E-3</v>
      </c>
      <c r="P38" s="1488">
        <f t="shared" si="16"/>
        <v>-5.7999999999999996E-3</v>
      </c>
      <c r="Q38" s="1488">
        <f t="shared" si="16"/>
        <v>-2E-3</v>
      </c>
      <c r="R38" s="1473"/>
      <c r="S38" s="1471"/>
      <c r="T38" s="1472"/>
      <c r="U38" s="1472"/>
      <c r="V38" s="1472"/>
    </row>
    <row r="39" spans="1:26" ht="13.8" thickBot="1">
      <c r="A39" s="1460" t="s">
        <v>1170</v>
      </c>
      <c r="B39" s="1476">
        <f t="shared" si="24"/>
        <v>276.29854502841971</v>
      </c>
      <c r="C39" s="1476">
        <f t="shared" si="24"/>
        <v>229.79023709833027</v>
      </c>
      <c r="D39" s="1476">
        <f t="shared" si="14"/>
        <v>229.79023709833027</v>
      </c>
      <c r="E39" s="1476">
        <f t="shared" si="25"/>
        <v>379.78759731655936</v>
      </c>
      <c r="F39" s="1476">
        <f t="shared" si="25"/>
        <v>211.32953905659235</v>
      </c>
      <c r="G39" s="3302">
        <v>2011</v>
      </c>
      <c r="H39" s="1463">
        <v>1</v>
      </c>
      <c r="I39" s="1463">
        <v>2.65</v>
      </c>
      <c r="J39" s="1463">
        <v>3.76</v>
      </c>
      <c r="K39" s="1463">
        <v>1.89</v>
      </c>
      <c r="L39" s="1477">
        <v>7.95</v>
      </c>
      <c r="N39" s="1479">
        <f t="shared" si="16"/>
        <v>2.6499999999999999E-2</v>
      </c>
      <c r="O39" s="1480">
        <f t="shared" si="16"/>
        <v>3.7599999999999995E-2</v>
      </c>
      <c r="P39" s="1480">
        <f t="shared" si="16"/>
        <v>1.89E-2</v>
      </c>
      <c r="Q39" s="1480">
        <f t="shared" si="16"/>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14"/>
        <v>221</v>
      </c>
      <c r="E40" s="1468">
        <v>373</v>
      </c>
      <c r="F40" s="1469">
        <v>196</v>
      </c>
      <c r="G40" s="3300">
        <v>2010</v>
      </c>
      <c r="H40" s="1481">
        <v>4</v>
      </c>
      <c r="I40" s="1481">
        <v>5.72</v>
      </c>
      <c r="J40" s="1481">
        <v>6.57</v>
      </c>
      <c r="K40" s="1481">
        <v>5.72</v>
      </c>
      <c r="L40" s="1482">
        <v>2.72</v>
      </c>
      <c r="N40" s="1471">
        <f t="shared" si="16"/>
        <v>5.7200000000000001E-2</v>
      </c>
      <c r="O40" s="1472">
        <f t="shared" si="16"/>
        <v>6.5700000000000008E-2</v>
      </c>
      <c r="P40" s="1472">
        <f t="shared" si="16"/>
        <v>5.7200000000000001E-2</v>
      </c>
      <c r="Q40" s="1472">
        <f t="shared" si="16"/>
        <v>2.7200000000000002E-2</v>
      </c>
      <c r="R40" s="1473"/>
      <c r="S40" s="1474"/>
      <c r="T40" s="1475"/>
      <c r="U40" s="1475"/>
      <c r="V40" s="1475"/>
      <c r="X40" s="1475"/>
      <c r="Y40" s="1475"/>
      <c r="Z40" s="1475"/>
    </row>
    <row r="41" spans="1:26">
      <c r="A41" s="1460" t="s">
        <v>1172</v>
      </c>
      <c r="B41" s="1476">
        <f t="shared" ref="B41:C43" si="26">B40/(1+N40)</f>
        <v>254.44570563753314</v>
      </c>
      <c r="C41" s="1476">
        <f t="shared" si="26"/>
        <v>207.37543398705074</v>
      </c>
      <c r="D41" s="1476">
        <f t="shared" si="14"/>
        <v>207.37543398705074</v>
      </c>
      <c r="E41" s="1476">
        <f t="shared" ref="E41:F43" si="27">E40/(1+P40)</f>
        <v>352.81876655315932</v>
      </c>
      <c r="F41" s="1476">
        <f t="shared" si="27"/>
        <v>190.809968847352</v>
      </c>
      <c r="G41" s="3301">
        <v>2010</v>
      </c>
      <c r="H41" s="1486">
        <v>3</v>
      </c>
      <c r="I41" s="1486">
        <v>4.7300000000000004</v>
      </c>
      <c r="J41" s="1486">
        <v>3.9</v>
      </c>
      <c r="K41" s="1486">
        <v>5.03</v>
      </c>
      <c r="L41" s="1487">
        <v>4.21</v>
      </c>
      <c r="N41" s="1471">
        <f t="shared" si="16"/>
        <v>4.7300000000000002E-2</v>
      </c>
      <c r="O41" s="1472">
        <f t="shared" si="16"/>
        <v>3.9E-2</v>
      </c>
      <c r="P41" s="1472">
        <f t="shared" si="16"/>
        <v>5.0300000000000004E-2</v>
      </c>
      <c r="Q41" s="1472">
        <f t="shared" si="16"/>
        <v>4.2099999999999999E-2</v>
      </c>
      <c r="R41" s="1473"/>
      <c r="S41" s="1471"/>
      <c r="T41" s="1472"/>
      <c r="U41" s="1472"/>
      <c r="V41" s="1472"/>
    </row>
    <row r="42" spans="1:26">
      <c r="A42" s="1460" t="s">
        <v>1173</v>
      </c>
      <c r="B42" s="1476">
        <f t="shared" si="26"/>
        <v>242.95398227588385</v>
      </c>
      <c r="C42" s="1476">
        <f t="shared" si="26"/>
        <v>199.59137053614126</v>
      </c>
      <c r="D42" s="1476">
        <f t="shared" si="14"/>
        <v>199.59137053614126</v>
      </c>
      <c r="E42" s="1476">
        <f t="shared" si="27"/>
        <v>335.92189522342125</v>
      </c>
      <c r="F42" s="1476">
        <f t="shared" si="27"/>
        <v>183.10139991109489</v>
      </c>
      <c r="G42" s="3301">
        <v>2010</v>
      </c>
      <c r="H42" s="1464">
        <v>2</v>
      </c>
      <c r="I42" s="1464">
        <v>4.6900000000000004</v>
      </c>
      <c r="J42" s="1464">
        <v>3.55</v>
      </c>
      <c r="K42" s="1464">
        <v>5.07</v>
      </c>
      <c r="L42" s="1478">
        <v>4.2300000000000004</v>
      </c>
      <c r="N42" s="1471">
        <f t="shared" si="16"/>
        <v>4.6900000000000004E-2</v>
      </c>
      <c r="O42" s="1472">
        <f t="shared" si="16"/>
        <v>3.5499999999999997E-2</v>
      </c>
      <c r="P42" s="1472">
        <f t="shared" si="16"/>
        <v>5.0700000000000002E-2</v>
      </c>
      <c r="Q42" s="1472">
        <f t="shared" si="16"/>
        <v>4.2300000000000004E-2</v>
      </c>
      <c r="R42" s="1473"/>
      <c r="S42" s="1471"/>
      <c r="T42" s="1472"/>
      <c r="U42" s="1472"/>
      <c r="V42" s="1472"/>
    </row>
    <row r="43" spans="1:26" ht="13.8" thickBot="1">
      <c r="A43" s="1460" t="s">
        <v>1174</v>
      </c>
      <c r="B43" s="1476">
        <f t="shared" si="26"/>
        <v>232.06990378821649</v>
      </c>
      <c r="C43" s="1476">
        <f t="shared" si="26"/>
        <v>192.74878854286936</v>
      </c>
      <c r="D43" s="1476">
        <f t="shared" si="14"/>
        <v>192.74878854286936</v>
      </c>
      <c r="E43" s="1476">
        <f t="shared" si="27"/>
        <v>319.71247284992984</v>
      </c>
      <c r="F43" s="1476">
        <f t="shared" si="27"/>
        <v>175.67053622862409</v>
      </c>
      <c r="G43" s="3302">
        <v>2010</v>
      </c>
      <c r="H43" s="1463">
        <v>1</v>
      </c>
      <c r="I43" s="1463">
        <v>5.4</v>
      </c>
      <c r="J43" s="1463">
        <v>3.2</v>
      </c>
      <c r="K43" s="1463">
        <v>6.16</v>
      </c>
      <c r="L43" s="1477">
        <v>4.51</v>
      </c>
      <c r="N43" s="1471">
        <f t="shared" si="16"/>
        <v>5.4000000000000006E-2</v>
      </c>
      <c r="O43" s="1472">
        <f t="shared" si="16"/>
        <v>3.2000000000000001E-2</v>
      </c>
      <c r="P43" s="1472">
        <f t="shared" si="16"/>
        <v>6.1600000000000002E-2</v>
      </c>
      <c r="Q43" s="1472">
        <f t="shared" si="16"/>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14"/>
        <v>187</v>
      </c>
      <c r="E44" s="1468">
        <v>301</v>
      </c>
      <c r="F44" s="1469">
        <v>168</v>
      </c>
      <c r="G44" s="3300">
        <v>2009</v>
      </c>
      <c r="H44" s="1481">
        <v>4</v>
      </c>
      <c r="I44" s="1481">
        <v>2.2999999999999998</v>
      </c>
      <c r="J44" s="1481">
        <v>1.04</v>
      </c>
      <c r="K44" s="1481">
        <v>2.84</v>
      </c>
      <c r="L44" s="1482">
        <v>0.67</v>
      </c>
      <c r="N44" s="1483">
        <f t="shared" si="16"/>
        <v>2.3E-2</v>
      </c>
      <c r="O44" s="1484">
        <f t="shared" si="16"/>
        <v>1.04E-2</v>
      </c>
      <c r="P44" s="1484">
        <f t="shared" si="16"/>
        <v>2.8399999999999998E-2</v>
      </c>
      <c r="Q44" s="1484">
        <f t="shared" si="16"/>
        <v>6.7000000000000002E-3</v>
      </c>
      <c r="R44" s="1473"/>
      <c r="S44" s="1474"/>
      <c r="T44" s="1475"/>
      <c r="U44" s="1475"/>
      <c r="V44" s="1475"/>
      <c r="X44" s="1475"/>
      <c r="Y44" s="1475"/>
      <c r="Z44" s="1475"/>
    </row>
    <row r="45" spans="1:26">
      <c r="A45" s="1460" t="s">
        <v>1176</v>
      </c>
      <c r="B45" s="1476">
        <f t="shared" ref="B45:C47" si="28">B44/(1+N44)</f>
        <v>215.05376344086022</v>
      </c>
      <c r="C45" s="1476">
        <f t="shared" si="28"/>
        <v>185.0752177355503</v>
      </c>
      <c r="D45" s="1476">
        <f t="shared" si="14"/>
        <v>185.0752177355503</v>
      </c>
      <c r="E45" s="1476">
        <f t="shared" ref="E45:F47" si="29">E44/(1+P44)</f>
        <v>292.68767016725008</v>
      </c>
      <c r="F45" s="1476">
        <f t="shared" si="29"/>
        <v>166.88189132810174</v>
      </c>
      <c r="G45" s="3301">
        <v>2009</v>
      </c>
      <c r="H45" s="1486">
        <v>3</v>
      </c>
      <c r="I45" s="1486">
        <v>2.1</v>
      </c>
      <c r="J45" s="1486">
        <v>1.86</v>
      </c>
      <c r="K45" s="1486">
        <v>2.29</v>
      </c>
      <c r="L45" s="1487">
        <v>0.85</v>
      </c>
      <c r="N45" s="1471">
        <f t="shared" si="16"/>
        <v>2.1000000000000001E-2</v>
      </c>
      <c r="O45" s="1488">
        <f t="shared" si="16"/>
        <v>1.8600000000000002E-2</v>
      </c>
      <c r="P45" s="1488">
        <f t="shared" si="16"/>
        <v>2.29E-2</v>
      </c>
      <c r="Q45" s="1488">
        <f t="shared" si="16"/>
        <v>8.5000000000000006E-3</v>
      </c>
      <c r="R45" s="1473"/>
      <c r="S45" s="1471"/>
      <c r="T45" s="1472"/>
      <c r="U45" s="1472"/>
      <c r="V45" s="1472"/>
    </row>
    <row r="46" spans="1:26">
      <c r="A46" s="1460" t="s">
        <v>1177</v>
      </c>
      <c r="B46" s="1476">
        <f t="shared" si="28"/>
        <v>210.630522469011</v>
      </c>
      <c r="C46" s="1476">
        <f t="shared" si="28"/>
        <v>181.69567812247232</v>
      </c>
      <c r="D46" s="1476">
        <f t="shared" si="14"/>
        <v>181.69567812247232</v>
      </c>
      <c r="E46" s="1476">
        <f t="shared" si="29"/>
        <v>286.13517466736738</v>
      </c>
      <c r="F46" s="1476">
        <f t="shared" si="29"/>
        <v>165.47535084591149</v>
      </c>
      <c r="G46" s="3301">
        <v>2009</v>
      </c>
      <c r="H46" s="1464">
        <v>2</v>
      </c>
      <c r="I46" s="1464">
        <v>0.86</v>
      </c>
      <c r="J46" s="1464">
        <v>-1.1299999999999999</v>
      </c>
      <c r="K46" s="1464">
        <v>1.79</v>
      </c>
      <c r="L46" s="1478">
        <v>-2.0699999999999998</v>
      </c>
      <c r="N46" s="1471">
        <f t="shared" si="16"/>
        <v>8.6E-3</v>
      </c>
      <c r="O46" s="1488">
        <f t="shared" si="16"/>
        <v>-1.1299999999999999E-2</v>
      </c>
      <c r="P46" s="1488">
        <f t="shared" si="16"/>
        <v>1.7899999999999999E-2</v>
      </c>
      <c r="Q46" s="1488">
        <f t="shared" si="16"/>
        <v>-2.07E-2</v>
      </c>
      <c r="R46" s="1473"/>
      <c r="S46" s="1471"/>
      <c r="T46" s="1472"/>
      <c r="U46" s="1472"/>
      <c r="V46" s="1472"/>
    </row>
    <row r="47" spans="1:26">
      <c r="A47" s="1460" t="s">
        <v>1178</v>
      </c>
      <c r="B47" s="1476">
        <f t="shared" si="28"/>
        <v>208.83454537875372</v>
      </c>
      <c r="C47" s="1476">
        <f t="shared" si="28"/>
        <v>183.77230517090351</v>
      </c>
      <c r="D47" s="1476">
        <f t="shared" si="14"/>
        <v>183.77230517090351</v>
      </c>
      <c r="E47" s="1476">
        <f t="shared" si="29"/>
        <v>281.10342338870947</v>
      </c>
      <c r="F47" s="1476">
        <f t="shared" si="29"/>
        <v>168.97309388942256</v>
      </c>
      <c r="G47" s="3302">
        <v>2009</v>
      </c>
      <c r="H47" s="1463">
        <v>1</v>
      </c>
      <c r="I47" s="1463">
        <v>-2.64</v>
      </c>
      <c r="J47" s="1463">
        <v>-2.5299999999999998</v>
      </c>
      <c r="K47" s="1463">
        <v>-3.02</v>
      </c>
      <c r="L47" s="1477">
        <v>1.52</v>
      </c>
      <c r="N47" s="1479">
        <f t="shared" si="16"/>
        <v>-2.64E-2</v>
      </c>
      <c r="O47" s="1480">
        <f t="shared" si="16"/>
        <v>-2.53E-2</v>
      </c>
      <c r="P47" s="1480">
        <f t="shared" si="16"/>
        <v>-3.0200000000000001E-2</v>
      </c>
      <c r="Q47" s="1480">
        <f t="shared" si="16"/>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14"/>
        <v>188</v>
      </c>
      <c r="E48" s="1510">
        <v>289</v>
      </c>
      <c r="F48" s="1511">
        <v>166</v>
      </c>
      <c r="G48" s="3300">
        <v>2008</v>
      </c>
      <c r="H48" s="1481">
        <v>4</v>
      </c>
      <c r="I48" s="1481">
        <v>1.73</v>
      </c>
      <c r="J48" s="1481">
        <v>0.03</v>
      </c>
      <c r="K48" s="1481">
        <v>2.59</v>
      </c>
      <c r="L48" s="1482">
        <v>-1.66</v>
      </c>
      <c r="N48" s="1471">
        <f t="shared" si="16"/>
        <v>1.7299999999999999E-2</v>
      </c>
      <c r="O48" s="1472">
        <f t="shared" si="16"/>
        <v>2.9999999999999997E-4</v>
      </c>
      <c r="P48" s="1472">
        <f t="shared" si="16"/>
        <v>2.5899999999999999E-2</v>
      </c>
      <c r="Q48" s="1472">
        <f t="shared" si="16"/>
        <v>-1.66E-2</v>
      </c>
      <c r="R48" s="1473"/>
      <c r="S48" s="1474"/>
      <c r="T48" s="1475"/>
      <c r="U48" s="1475"/>
      <c r="V48" s="1475"/>
      <c r="X48" s="1475"/>
      <c r="Y48" s="1475"/>
      <c r="Z48" s="1475"/>
    </row>
    <row r="49" spans="1:26">
      <c r="A49" s="1460" t="s">
        <v>1180</v>
      </c>
      <c r="B49" s="1476">
        <f t="shared" ref="B49:C51" si="30">B48/(1+N48)</f>
        <v>210.36075887152265</v>
      </c>
      <c r="C49" s="1476">
        <f t="shared" si="30"/>
        <v>187.94361691492554</v>
      </c>
      <c r="D49" s="1476">
        <f t="shared" si="14"/>
        <v>187.94361691492554</v>
      </c>
      <c r="E49" s="1476">
        <f t="shared" ref="E49:F51" si="31">E48/(1+P48)</f>
        <v>281.70386977288234</v>
      </c>
      <c r="F49" s="1476">
        <f t="shared" si="31"/>
        <v>168.80211511083994</v>
      </c>
      <c r="G49" s="3301">
        <v>2008</v>
      </c>
      <c r="H49" s="1486">
        <v>3</v>
      </c>
      <c r="I49" s="1486">
        <v>1.96</v>
      </c>
      <c r="J49" s="1486">
        <v>2.36</v>
      </c>
      <c r="K49" s="1486">
        <v>1.82</v>
      </c>
      <c r="L49" s="1487">
        <v>2.2200000000000002</v>
      </c>
      <c r="N49" s="1471">
        <f t="shared" si="16"/>
        <v>1.9599999999999999E-2</v>
      </c>
      <c r="O49" s="1472">
        <f t="shared" si="16"/>
        <v>2.3599999999999999E-2</v>
      </c>
      <c r="P49" s="1472">
        <f t="shared" si="16"/>
        <v>1.8200000000000001E-2</v>
      </c>
      <c r="Q49" s="1472">
        <f t="shared" si="16"/>
        <v>2.2200000000000001E-2</v>
      </c>
      <c r="R49" s="1473"/>
      <c r="S49" s="1471"/>
      <c r="T49" s="1472"/>
      <c r="U49" s="1472"/>
      <c r="V49" s="1472"/>
    </row>
    <row r="50" spans="1:26">
      <c r="A50" s="1460" t="s">
        <v>1181</v>
      </c>
      <c r="B50" s="1476">
        <f t="shared" si="30"/>
        <v>206.31694671589116</v>
      </c>
      <c r="C50" s="1476">
        <f t="shared" si="30"/>
        <v>183.61041121036101</v>
      </c>
      <c r="D50" s="1476">
        <f t="shared" si="14"/>
        <v>183.61041121036101</v>
      </c>
      <c r="E50" s="1476">
        <f t="shared" si="31"/>
        <v>276.66850301795557</v>
      </c>
      <c r="F50" s="1476">
        <f t="shared" si="31"/>
        <v>165.1360938278614</v>
      </c>
      <c r="G50" s="3301">
        <v>2008</v>
      </c>
      <c r="H50" s="1464">
        <v>2</v>
      </c>
      <c r="I50" s="1464">
        <v>4.93</v>
      </c>
      <c r="J50" s="1464">
        <v>7.38</v>
      </c>
      <c r="K50" s="1464">
        <v>3.98</v>
      </c>
      <c r="L50" s="1478">
        <v>6.86</v>
      </c>
      <c r="N50" s="1471">
        <f t="shared" si="16"/>
        <v>4.9299999999999997E-2</v>
      </c>
      <c r="O50" s="1472">
        <f t="shared" si="16"/>
        <v>7.3800000000000004E-2</v>
      </c>
      <c r="P50" s="1472">
        <f t="shared" si="16"/>
        <v>3.9800000000000002E-2</v>
      </c>
      <c r="Q50" s="1472">
        <f t="shared" si="16"/>
        <v>6.8600000000000008E-2</v>
      </c>
      <c r="R50" s="1473"/>
      <c r="S50" s="1471"/>
      <c r="T50" s="1472"/>
      <c r="U50" s="1472"/>
      <c r="V50" s="1472"/>
    </row>
    <row r="51" spans="1:26" s="1516" customFormat="1" ht="13.8" thickBot="1">
      <c r="A51" s="1460" t="s">
        <v>1182</v>
      </c>
      <c r="B51" s="1513">
        <f t="shared" si="30"/>
        <v>196.62341248059772</v>
      </c>
      <c r="C51" s="1513">
        <f t="shared" si="30"/>
        <v>170.99125648199012</v>
      </c>
      <c r="D51" s="1513">
        <f t="shared" si="14"/>
        <v>170.99125648199012</v>
      </c>
      <c r="E51" s="1513">
        <f t="shared" si="31"/>
        <v>266.07857570490052</v>
      </c>
      <c r="F51" s="1513">
        <f t="shared" si="31"/>
        <v>154.53499328828505</v>
      </c>
      <c r="G51" s="3302">
        <v>2008</v>
      </c>
      <c r="H51" s="1514">
        <v>1</v>
      </c>
      <c r="I51" s="1514">
        <v>4.1399999999999997</v>
      </c>
      <c r="J51" s="1514">
        <v>3.45</v>
      </c>
      <c r="K51" s="1514">
        <v>4.95</v>
      </c>
      <c r="L51" s="1515">
        <v>4.82</v>
      </c>
      <c r="N51" s="1517">
        <f t="shared" si="16"/>
        <v>4.1399999999999999E-2</v>
      </c>
      <c r="O51" s="1518">
        <f t="shared" si="16"/>
        <v>3.4500000000000003E-2</v>
      </c>
      <c r="P51" s="1518">
        <f t="shared" si="16"/>
        <v>4.9500000000000002E-2</v>
      </c>
      <c r="Q51" s="1518">
        <f t="shared" si="16"/>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14"/>
        <v>165</v>
      </c>
      <c r="E52" s="1468">
        <v>254</v>
      </c>
      <c r="F52" s="1469">
        <v>148</v>
      </c>
      <c r="G52" s="3300">
        <v>2007</v>
      </c>
      <c r="H52" s="1521">
        <v>4</v>
      </c>
      <c r="I52" s="1521">
        <v>5.51</v>
      </c>
      <c r="J52" s="1521">
        <v>4.8899999999999997</v>
      </c>
      <c r="K52" s="1521">
        <v>6.43</v>
      </c>
      <c r="L52" s="1522">
        <v>5.36</v>
      </c>
      <c r="N52" s="1523">
        <f t="shared" ref="N52:O55" si="32">B52/B53-1</f>
        <v>4.1339718365245526E-2</v>
      </c>
      <c r="O52" s="1524">
        <f t="shared" si="32"/>
        <v>4.0324492593776018E-2</v>
      </c>
      <c r="P52" s="1524">
        <f t="shared" ref="P52:Q55" si="33">E52/E53-1</f>
        <v>6.1625555347990968E-2</v>
      </c>
      <c r="Q52" s="1524">
        <f t="shared" si="33"/>
        <v>4.6757569250590603E-2</v>
      </c>
      <c r="R52" s="1473"/>
      <c r="S52" s="1474"/>
      <c r="T52" s="1475"/>
      <c r="U52" s="1475"/>
      <c r="V52" s="1475"/>
      <c r="X52" s="1475"/>
      <c r="Y52" s="1475"/>
      <c r="Z52" s="1475"/>
    </row>
    <row r="53" spans="1:26">
      <c r="A53" s="1460" t="s">
        <v>1184</v>
      </c>
      <c r="B53" s="1476">
        <f t="shared" ref="B53:C55" si="34">B54+(B$52-B$56)*I53/SUM(I$52:I$55)</f>
        <v>180.5366651097618</v>
      </c>
      <c r="C53" s="1476">
        <f t="shared" si="34"/>
        <v>158.60435967302453</v>
      </c>
      <c r="D53" s="1476">
        <f t="shared" si="14"/>
        <v>158.60435967302453</v>
      </c>
      <c r="E53" s="1476">
        <f t="shared" ref="E53:F55" si="35">E54+(E$52-E$56)*K53/SUM(K$52:K$55)</f>
        <v>239.25573260785075</v>
      </c>
      <c r="F53" s="1476">
        <f t="shared" si="35"/>
        <v>141.38899430740037</v>
      </c>
      <c r="G53" s="3301">
        <v>2007</v>
      </c>
      <c r="H53" s="1486">
        <v>3</v>
      </c>
      <c r="I53" s="1486">
        <v>8.65</v>
      </c>
      <c r="J53" s="1486">
        <v>8.06</v>
      </c>
      <c r="K53" s="1486">
        <v>9.94</v>
      </c>
      <c r="L53" s="1487">
        <v>5.8</v>
      </c>
      <c r="N53" s="1523">
        <f t="shared" si="32"/>
        <v>6.940217571740015E-2</v>
      </c>
      <c r="O53" s="1524">
        <f t="shared" si="32"/>
        <v>7.1197482471153428E-2</v>
      </c>
      <c r="P53" s="1524">
        <f t="shared" si="33"/>
        <v>0.10529679922579582</v>
      </c>
      <c r="Q53" s="1524">
        <f t="shared" si="33"/>
        <v>5.3292245059512133E-2</v>
      </c>
      <c r="R53" s="1473"/>
      <c r="S53" s="1471"/>
      <c r="T53" s="1472"/>
      <c r="U53" s="1472"/>
      <c r="V53" s="1472"/>
      <c r="X53" s="1525"/>
      <c r="Y53" s="1525"/>
      <c r="Z53" s="1525"/>
    </row>
    <row r="54" spans="1:26">
      <c r="A54" s="1460" t="s">
        <v>1185</v>
      </c>
      <c r="B54" s="1476">
        <f t="shared" si="34"/>
        <v>168.82017748715555</v>
      </c>
      <c r="C54" s="1476">
        <f t="shared" si="34"/>
        <v>148.06267029972753</v>
      </c>
      <c r="D54" s="1476">
        <f t="shared" si="14"/>
        <v>148.06267029972753</v>
      </c>
      <c r="E54" s="1476">
        <f t="shared" si="35"/>
        <v>216.46288379323747</v>
      </c>
      <c r="F54" s="1476">
        <f t="shared" si="35"/>
        <v>134.23529411764704</v>
      </c>
      <c r="G54" s="3301">
        <v>2007</v>
      </c>
      <c r="H54" s="1464">
        <v>2</v>
      </c>
      <c r="I54" s="1464">
        <v>3.67</v>
      </c>
      <c r="J54" s="1464">
        <v>2.3199999999999998</v>
      </c>
      <c r="K54" s="1464">
        <v>5.0199999999999996</v>
      </c>
      <c r="L54" s="1478">
        <v>6.71</v>
      </c>
      <c r="N54" s="1523">
        <f t="shared" si="32"/>
        <v>3.0339138143848032E-2</v>
      </c>
      <c r="O54" s="1524">
        <f t="shared" si="32"/>
        <v>2.0922341588790472E-2</v>
      </c>
      <c r="P54" s="1524">
        <f t="shared" si="33"/>
        <v>5.6164796592717003E-2</v>
      </c>
      <c r="Q54" s="1524">
        <f t="shared" si="33"/>
        <v>6.5704536723887319E-2</v>
      </c>
      <c r="R54" s="1473"/>
      <c r="S54" s="1471"/>
      <c r="T54" s="1472"/>
      <c r="U54" s="1472"/>
      <c r="V54" s="1472"/>
      <c r="X54" s="1525"/>
      <c r="Y54" s="1525"/>
      <c r="Z54" s="1525"/>
    </row>
    <row r="55" spans="1:26">
      <c r="A55" s="1460" t="s">
        <v>1186</v>
      </c>
      <c r="B55" s="1476">
        <f t="shared" si="34"/>
        <v>163.84913591779542</v>
      </c>
      <c r="C55" s="1476">
        <f t="shared" si="34"/>
        <v>145.0283378746594</v>
      </c>
      <c r="D55" s="1476">
        <f t="shared" si="14"/>
        <v>145.0283378746594</v>
      </c>
      <c r="E55" s="1476">
        <f t="shared" si="35"/>
        <v>204.95180722891567</v>
      </c>
      <c r="F55" s="1476">
        <f t="shared" si="35"/>
        <v>125.95920303605313</v>
      </c>
      <c r="G55" s="3302">
        <v>2007</v>
      </c>
      <c r="H55" s="1463">
        <v>1</v>
      </c>
      <c r="I55" s="1463">
        <v>3.58</v>
      </c>
      <c r="J55" s="1463">
        <v>3.08</v>
      </c>
      <c r="K55" s="1463">
        <v>4.34</v>
      </c>
      <c r="L55" s="1477">
        <v>3.21</v>
      </c>
      <c r="N55" s="1526">
        <f t="shared" si="32"/>
        <v>3.0497710174814063E-2</v>
      </c>
      <c r="O55" s="1527">
        <f t="shared" si="32"/>
        <v>2.8569772160704998E-2</v>
      </c>
      <c r="P55" s="1527">
        <f t="shared" si="33"/>
        <v>5.1034908866234296E-2</v>
      </c>
      <c r="Q55" s="1527">
        <f t="shared" si="33"/>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14"/>
        <v>141</v>
      </c>
      <c r="E56" s="1489">
        <v>195</v>
      </c>
      <c r="F56" s="1490">
        <v>122</v>
      </c>
      <c r="G56" s="3300">
        <v>2006</v>
      </c>
      <c r="H56" s="1481">
        <v>4</v>
      </c>
      <c r="I56" s="1481">
        <v>3.79</v>
      </c>
      <c r="J56" s="1481">
        <v>2.21</v>
      </c>
      <c r="K56" s="1481">
        <v>5.65</v>
      </c>
      <c r="L56" s="1482">
        <v>5.41</v>
      </c>
      <c r="N56" s="1523">
        <f t="shared" ref="N56:O59" si="36">I56/SUM(I$56:I$59)*(B$56/B$60-1)</f>
        <v>7.245466462748526E-2</v>
      </c>
      <c r="O56" s="1524">
        <f t="shared" si="36"/>
        <v>2.3237230038062766E-2</v>
      </c>
      <c r="P56" s="1524">
        <f t="shared" ref="P56:Q59" si="37">K56/SUM(K$56:K$59)*(E$56/E$60-1)</f>
        <v>0.16146893866323722</v>
      </c>
      <c r="Q56" s="1524">
        <f t="shared" si="37"/>
        <v>5.0755230321793784E-2</v>
      </c>
      <c r="R56" s="1473"/>
      <c r="S56" s="1474"/>
      <c r="T56" s="1475"/>
      <c r="U56" s="1475"/>
      <c r="V56" s="1475"/>
      <c r="X56" s="1525"/>
      <c r="Y56" s="1525"/>
      <c r="Z56" s="1525"/>
    </row>
    <row r="57" spans="1:26">
      <c r="A57" s="1460" t="s">
        <v>1188</v>
      </c>
      <c r="B57" s="1476">
        <f t="shared" ref="B57:C59" si="38">B58+(B$56-B$60)*I57/SUM(I$56:I$59)</f>
        <v>149.00125628140702</v>
      </c>
      <c r="C57" s="1476">
        <f t="shared" si="38"/>
        <v>137.95592286501378</v>
      </c>
      <c r="D57" s="1476">
        <f t="shared" si="14"/>
        <v>137.95592286501378</v>
      </c>
      <c r="E57" s="1476">
        <f t="shared" ref="E57:F59" si="39">E58+(E$56-E$60)*K57/SUM(K$56:K$59)</f>
        <v>169.97231450719823</v>
      </c>
      <c r="F57" s="1476">
        <f t="shared" si="39"/>
        <v>116.21390374331551</v>
      </c>
      <c r="G57" s="3301">
        <v>2006</v>
      </c>
      <c r="H57" s="1486">
        <v>3</v>
      </c>
      <c r="I57" s="1486">
        <v>0.92</v>
      </c>
      <c r="J57" s="1486">
        <v>1.08</v>
      </c>
      <c r="K57" s="1486">
        <v>0.73</v>
      </c>
      <c r="L57" s="1487">
        <v>1.08</v>
      </c>
      <c r="N57" s="1523">
        <f t="shared" si="36"/>
        <v>1.7587939698492462E-2</v>
      </c>
      <c r="O57" s="1524">
        <f t="shared" si="36"/>
        <v>1.1355750425840628E-2</v>
      </c>
      <c r="P57" s="1524">
        <f t="shared" si="37"/>
        <v>2.0862358446754544E-2</v>
      </c>
      <c r="Q57" s="1524">
        <f t="shared" si="37"/>
        <v>1.0132282578103011E-2</v>
      </c>
      <c r="R57" s="1473"/>
      <c r="S57" s="1471"/>
      <c r="T57" s="1472"/>
      <c r="U57" s="1472"/>
      <c r="V57" s="1472"/>
      <c r="X57" s="1525"/>
      <c r="Y57" s="1525"/>
      <c r="Z57" s="1525"/>
    </row>
    <row r="58" spans="1:26">
      <c r="A58" s="1460" t="s">
        <v>1189</v>
      </c>
      <c r="B58" s="1476">
        <f t="shared" si="38"/>
        <v>146.57412060301507</v>
      </c>
      <c r="C58" s="1476">
        <f t="shared" si="38"/>
        <v>136.46831955922866</v>
      </c>
      <c r="D58" s="1476">
        <f t="shared" si="14"/>
        <v>136.46831955922866</v>
      </c>
      <c r="E58" s="1476">
        <f t="shared" si="39"/>
        <v>166.73864894795128</v>
      </c>
      <c r="F58" s="1476">
        <f t="shared" si="39"/>
        <v>115.05882352941177</v>
      </c>
      <c r="G58" s="3301">
        <v>2006</v>
      </c>
      <c r="H58" s="1464">
        <v>2</v>
      </c>
      <c r="I58" s="1464">
        <v>0.96</v>
      </c>
      <c r="J58" s="1464">
        <v>0.25</v>
      </c>
      <c r="K58" s="1464">
        <v>1.9</v>
      </c>
      <c r="L58" s="1478">
        <v>0.95</v>
      </c>
      <c r="N58" s="1523">
        <f t="shared" si="36"/>
        <v>1.8352632728861701E-2</v>
      </c>
      <c r="O58" s="1524">
        <f t="shared" si="36"/>
        <v>2.6286459319075526E-3</v>
      </c>
      <c r="P58" s="1524">
        <f t="shared" si="37"/>
        <v>5.4299289107991269E-2</v>
      </c>
      <c r="Q58" s="1524">
        <f t="shared" si="37"/>
        <v>8.9126559714794995E-3</v>
      </c>
      <c r="R58" s="1473"/>
      <c r="S58" s="1471"/>
      <c r="T58" s="1472"/>
      <c r="U58" s="1472"/>
      <c r="V58" s="1472"/>
      <c r="X58" s="1525"/>
      <c r="Y58" s="1525"/>
      <c r="Z58" s="1525"/>
    </row>
    <row r="59" spans="1:26">
      <c r="A59" s="1460" t="s">
        <v>1190</v>
      </c>
      <c r="B59" s="1476">
        <f t="shared" si="38"/>
        <v>144.04145728643215</v>
      </c>
      <c r="C59" s="1476">
        <f t="shared" si="38"/>
        <v>136.12396694214877</v>
      </c>
      <c r="D59" s="1476">
        <f t="shared" si="14"/>
        <v>136.12396694214877</v>
      </c>
      <c r="E59" s="1476">
        <f t="shared" si="39"/>
        <v>158.32225913621264</v>
      </c>
      <c r="F59" s="1476">
        <f t="shared" si="39"/>
        <v>114.04278074866311</v>
      </c>
      <c r="G59" s="3302">
        <v>2006</v>
      </c>
      <c r="H59" s="1463">
        <v>1</v>
      </c>
      <c r="I59" s="1463">
        <v>2.29</v>
      </c>
      <c r="J59" s="1463">
        <v>3.72</v>
      </c>
      <c r="K59" s="1463">
        <v>0.75</v>
      </c>
      <c r="L59" s="1477">
        <v>0.04</v>
      </c>
      <c r="N59" s="1526">
        <f t="shared" si="36"/>
        <v>4.3778675988638847E-2</v>
      </c>
      <c r="O59" s="1527">
        <f t="shared" si="36"/>
        <v>3.9114251466784385E-2</v>
      </c>
      <c r="P59" s="1527">
        <f t="shared" si="37"/>
        <v>2.1433929911049188E-2</v>
      </c>
      <c r="Q59" s="1527">
        <f t="shared" si="37"/>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14"/>
        <v>131</v>
      </c>
      <c r="E60" s="1489">
        <v>155</v>
      </c>
      <c r="F60" s="1490">
        <v>114</v>
      </c>
      <c r="G60" s="3300">
        <v>2005</v>
      </c>
      <c r="H60" s="1481">
        <v>4</v>
      </c>
      <c r="I60" s="1481">
        <v>3.29</v>
      </c>
      <c r="J60" s="1481">
        <v>1.44</v>
      </c>
      <c r="K60" s="1481">
        <v>0.66</v>
      </c>
      <c r="L60" s="1482">
        <v>7.78</v>
      </c>
      <c r="N60" s="1523">
        <f t="shared" ref="N60:O63" si="40">I60/SUM(I$60:I$63)*(B$60/B$64-1)</f>
        <v>9.9404603216919935E-2</v>
      </c>
      <c r="O60" s="1524">
        <f t="shared" si="40"/>
        <v>4.7636550760861554E-2</v>
      </c>
      <c r="P60" s="1524">
        <f t="shared" ref="P60:Q63" si="41">K60/SUM(K$60:K$63)*(E$60/E$64-1)</f>
        <v>8.3756345177664976E-2</v>
      </c>
      <c r="Q60" s="1524">
        <f t="shared" si="41"/>
        <v>5.2148766661559584E-2</v>
      </c>
      <c r="R60" s="1473"/>
      <c r="S60" s="1474"/>
      <c r="T60" s="1475"/>
      <c r="U60" s="1475"/>
      <c r="V60" s="1475"/>
      <c r="X60" s="1525"/>
      <c r="Y60" s="1525"/>
      <c r="Z60" s="1525"/>
    </row>
    <row r="61" spans="1:26">
      <c r="A61" s="1460" t="s">
        <v>1192</v>
      </c>
      <c r="B61" s="1476">
        <f t="shared" ref="B61:C63" si="42">B62+(B$60-B$64)*I61/SUM(I$60:I$63)</f>
        <v>125.9720430107527</v>
      </c>
      <c r="C61" s="1476">
        <f t="shared" si="42"/>
        <v>125.1883408071749</v>
      </c>
      <c r="D61" s="1476">
        <f t="shared" si="14"/>
        <v>125.1883408071749</v>
      </c>
      <c r="E61" s="1476">
        <f t="shared" ref="E61:F63" si="43">E62+(E$60-E$64)*K61/SUM(K$60:K$63)</f>
        <v>144.61421319796952</v>
      </c>
      <c r="F61" s="1476">
        <f t="shared" si="43"/>
        <v>108.42008196721311</v>
      </c>
      <c r="G61" s="3301">
        <v>2005</v>
      </c>
      <c r="H61" s="1486">
        <v>3</v>
      </c>
      <c r="I61" s="1486">
        <v>0.46</v>
      </c>
      <c r="J61" s="1486">
        <v>0.32</v>
      </c>
      <c r="K61" s="1486">
        <v>0.42</v>
      </c>
      <c r="L61" s="1487">
        <v>0.64</v>
      </c>
      <c r="N61" s="1523">
        <f t="shared" si="40"/>
        <v>1.3898515951301874E-2</v>
      </c>
      <c r="O61" s="1524">
        <f t="shared" si="40"/>
        <v>1.0585900169080346E-2</v>
      </c>
      <c r="P61" s="1524">
        <f t="shared" si="41"/>
        <v>5.3299492385786795E-2</v>
      </c>
      <c r="Q61" s="1524">
        <f t="shared" si="41"/>
        <v>4.2898728359123568E-3</v>
      </c>
      <c r="R61" s="1473"/>
      <c r="S61" s="1471"/>
      <c r="T61" s="1472"/>
      <c r="U61" s="1472"/>
      <c r="V61" s="1472"/>
      <c r="X61" s="1525"/>
      <c r="Y61" s="1525"/>
      <c r="Z61" s="1525"/>
    </row>
    <row r="62" spans="1:26">
      <c r="A62" s="1460" t="s">
        <v>1193</v>
      </c>
      <c r="B62" s="1476">
        <f t="shared" si="42"/>
        <v>124.29032258064517</v>
      </c>
      <c r="C62" s="1476">
        <f t="shared" si="42"/>
        <v>123.8968609865471</v>
      </c>
      <c r="D62" s="1476">
        <f t="shared" si="14"/>
        <v>123.8968609865471</v>
      </c>
      <c r="E62" s="1476">
        <f t="shared" si="43"/>
        <v>138.00507614213197</v>
      </c>
      <c r="F62" s="1476">
        <f t="shared" si="43"/>
        <v>107.96106557377048</v>
      </c>
      <c r="G62" s="3301">
        <v>2005</v>
      </c>
      <c r="H62" s="1464">
        <v>2</v>
      </c>
      <c r="I62" s="1464">
        <v>0.47</v>
      </c>
      <c r="J62" s="1464">
        <v>0.1</v>
      </c>
      <c r="K62" s="1464">
        <v>0.52</v>
      </c>
      <c r="L62" s="1478">
        <v>0.79</v>
      </c>
      <c r="N62" s="1523">
        <f t="shared" si="40"/>
        <v>1.420065760241713E-2</v>
      </c>
      <c r="O62" s="1524">
        <f t="shared" si="40"/>
        <v>3.3080938028376083E-3</v>
      </c>
      <c r="P62" s="1524">
        <f t="shared" si="41"/>
        <v>6.598984771573603E-2</v>
      </c>
      <c r="Q62" s="1524">
        <f t="shared" si="41"/>
        <v>5.2953117818293153E-3</v>
      </c>
      <c r="R62" s="1473"/>
      <c r="S62" s="1471"/>
      <c r="T62" s="1472"/>
      <c r="U62" s="1472"/>
      <c r="V62" s="1472"/>
      <c r="X62" s="1525"/>
      <c r="Y62" s="1525"/>
      <c r="Z62" s="1525"/>
    </row>
    <row r="63" spans="1:26">
      <c r="A63" s="1460" t="s">
        <v>1194</v>
      </c>
      <c r="B63" s="1476">
        <f t="shared" si="42"/>
        <v>122.57204301075269</v>
      </c>
      <c r="C63" s="1476">
        <f t="shared" si="42"/>
        <v>123.4932735426009</v>
      </c>
      <c r="D63" s="1476">
        <f t="shared" si="14"/>
        <v>123.4932735426009</v>
      </c>
      <c r="E63" s="1476">
        <f t="shared" si="43"/>
        <v>129.82233502538071</v>
      </c>
      <c r="F63" s="1476">
        <f t="shared" si="43"/>
        <v>107.39446721311475</v>
      </c>
      <c r="G63" s="3302">
        <v>2005</v>
      </c>
      <c r="H63" s="1463">
        <v>1</v>
      </c>
      <c r="I63" s="1463">
        <v>0.43</v>
      </c>
      <c r="J63" s="1463">
        <v>0.37</v>
      </c>
      <c r="K63" s="1463">
        <v>0.37</v>
      </c>
      <c r="L63" s="1477">
        <v>0.55000000000000004</v>
      </c>
      <c r="N63" s="1526">
        <f t="shared" si="40"/>
        <v>1.2992090997956099E-2</v>
      </c>
      <c r="O63" s="1527">
        <f t="shared" si="40"/>
        <v>1.2239947070499151E-2</v>
      </c>
      <c r="P63" s="1527">
        <f t="shared" si="41"/>
        <v>4.6954314720812178E-2</v>
      </c>
      <c r="Q63" s="1527">
        <f t="shared" si="41"/>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14"/>
        <v>122</v>
      </c>
      <c r="E64" s="1510">
        <v>124</v>
      </c>
      <c r="F64" s="1511">
        <v>107</v>
      </c>
      <c r="G64" s="3300">
        <v>2004</v>
      </c>
      <c r="H64" s="1481">
        <v>4</v>
      </c>
      <c r="I64" s="1481">
        <v>0.33</v>
      </c>
      <c r="J64" s="1481">
        <v>0.5</v>
      </c>
      <c r="K64" s="1481">
        <v>0.5</v>
      </c>
      <c r="L64" s="1482">
        <v>0</v>
      </c>
      <c r="N64" s="1523">
        <f t="shared" ref="N64:O67" si="44">I64/SUM(I$64:I$67)*(B$64/B$68-1)</f>
        <v>1.3391770148526898E-2</v>
      </c>
      <c r="O64" s="1524">
        <f t="shared" si="44"/>
        <v>1.063264221158958E-2</v>
      </c>
      <c r="P64" s="1524">
        <f t="shared" ref="P64:Q67" si="45">K64/SUM(K$64:K$67)*(E$64/E$68-1)</f>
        <v>2.2244466688911134E-2</v>
      </c>
      <c r="Q64" s="1524">
        <f t="shared" si="45"/>
        <v>0</v>
      </c>
      <c r="R64" s="1473"/>
      <c r="S64" s="1474"/>
      <c r="T64" s="1475"/>
      <c r="U64" s="1475"/>
      <c r="V64" s="1475"/>
      <c r="X64" s="1525"/>
      <c r="Y64" s="1525"/>
      <c r="Z64" s="1525"/>
    </row>
    <row r="65" spans="1:26">
      <c r="A65" s="1460" t="s">
        <v>1196</v>
      </c>
      <c r="B65" s="1476">
        <f t="shared" ref="B65:C67" si="46">B66+(B$64-B$68)*I65/SUM(I$64:I$67)</f>
        <v>119.51351351351352</v>
      </c>
      <c r="C65" s="1476">
        <f t="shared" si="46"/>
        <v>120.7878787878788</v>
      </c>
      <c r="D65" s="1476">
        <f t="shared" si="14"/>
        <v>120.7878787878788</v>
      </c>
      <c r="E65" s="1476">
        <f t="shared" ref="E65:F67" si="47">E66+(E$64-E$68)*K65/SUM(K$64:K$67)</f>
        <v>121.5975975975976</v>
      </c>
      <c r="F65" s="1476">
        <f t="shared" si="47"/>
        <v>107</v>
      </c>
      <c r="G65" s="3301">
        <v>2004</v>
      </c>
      <c r="H65" s="1486">
        <v>3</v>
      </c>
      <c r="I65" s="1486">
        <v>0.56000000000000005</v>
      </c>
      <c r="J65" s="1486">
        <v>0.8</v>
      </c>
      <c r="K65" s="1486">
        <v>0.83</v>
      </c>
      <c r="L65" s="1487">
        <v>0.06</v>
      </c>
      <c r="N65" s="1523">
        <f t="shared" si="44"/>
        <v>2.2725428130833527E-2</v>
      </c>
      <c r="O65" s="1524">
        <f t="shared" si="44"/>
        <v>1.7012227538543329E-2</v>
      </c>
      <c r="P65" s="1524">
        <f t="shared" si="45"/>
        <v>3.6925814703592477E-2</v>
      </c>
      <c r="Q65" s="1524">
        <f t="shared" si="45"/>
        <v>2.8846153846153744E-2</v>
      </c>
      <c r="R65" s="1473"/>
      <c r="S65" s="1471"/>
      <c r="T65" s="1472"/>
      <c r="U65" s="1472"/>
      <c r="V65" s="1472"/>
      <c r="X65" s="1525"/>
      <c r="Y65" s="1525"/>
      <c r="Z65" s="1525"/>
    </row>
    <row r="66" spans="1:26">
      <c r="A66" s="1460" t="s">
        <v>1197</v>
      </c>
      <c r="B66" s="1476">
        <f t="shared" si="46"/>
        <v>116.99099099099099</v>
      </c>
      <c r="C66" s="1476">
        <f t="shared" si="46"/>
        <v>118.84848484848486</v>
      </c>
      <c r="D66" s="1476">
        <f t="shared" si="14"/>
        <v>118.84848484848486</v>
      </c>
      <c r="E66" s="1476">
        <f t="shared" si="47"/>
        <v>117.60960960960961</v>
      </c>
      <c r="F66" s="1476">
        <f t="shared" si="47"/>
        <v>104</v>
      </c>
      <c r="G66" s="3301">
        <v>2004</v>
      </c>
      <c r="H66" s="1464">
        <v>2</v>
      </c>
      <c r="I66" s="1464">
        <v>1</v>
      </c>
      <c r="J66" s="1464">
        <v>1.5</v>
      </c>
      <c r="K66" s="1464">
        <v>1.5</v>
      </c>
      <c r="L66" s="1478">
        <v>0</v>
      </c>
      <c r="N66" s="1523">
        <f t="shared" si="44"/>
        <v>4.0581121662202721E-2</v>
      </c>
      <c r="O66" s="1524">
        <f t="shared" si="44"/>
        <v>3.1897926634768738E-2</v>
      </c>
      <c r="P66" s="1524">
        <f t="shared" si="45"/>
        <v>6.6733400066733395E-2</v>
      </c>
      <c r="Q66" s="1524">
        <f t="shared" si="45"/>
        <v>0</v>
      </c>
      <c r="R66" s="1473"/>
      <c r="S66" s="1471"/>
      <c r="T66" s="1472"/>
      <c r="U66" s="1472"/>
      <c r="V66" s="1472"/>
      <c r="X66" s="1525"/>
      <c r="Y66" s="1525"/>
      <c r="Z66" s="1525"/>
    </row>
    <row r="67" spans="1:26" s="1516" customFormat="1" ht="13.8" thickBot="1">
      <c r="A67" s="1460" t="s">
        <v>1198</v>
      </c>
      <c r="B67" s="1513">
        <f t="shared" si="46"/>
        <v>112.48648648648648</v>
      </c>
      <c r="C67" s="1513">
        <f t="shared" si="46"/>
        <v>115.21212121212122</v>
      </c>
      <c r="D67" s="1513">
        <f t="shared" si="14"/>
        <v>115.21212121212122</v>
      </c>
      <c r="E67" s="1513">
        <f t="shared" si="47"/>
        <v>110.4024024024024</v>
      </c>
      <c r="F67" s="1513">
        <f t="shared" si="47"/>
        <v>104</v>
      </c>
      <c r="G67" s="3302">
        <v>2004</v>
      </c>
      <c r="H67" s="1514">
        <v>1</v>
      </c>
      <c r="I67" s="1514">
        <v>0.33</v>
      </c>
      <c r="J67" s="1514">
        <v>0.5</v>
      </c>
      <c r="K67" s="1514">
        <v>0.5</v>
      </c>
      <c r="L67" s="1515">
        <v>0</v>
      </c>
      <c r="N67" s="1528">
        <f t="shared" si="44"/>
        <v>1.3391770148526898E-2</v>
      </c>
      <c r="O67" s="1529">
        <f t="shared" si="44"/>
        <v>1.063264221158958E-2</v>
      </c>
      <c r="P67" s="1529">
        <f t="shared" si="45"/>
        <v>2.2244466688911134E-2</v>
      </c>
      <c r="Q67" s="1529">
        <f t="shared" si="45"/>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14"/>
        <v>114</v>
      </c>
      <c r="E68" s="1531">
        <v>108</v>
      </c>
      <c r="F68" s="1532">
        <v>104</v>
      </c>
      <c r="G68" s="3300">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48">B70+(B$68-B$72)/4</f>
        <v>109.75</v>
      </c>
      <c r="C69" s="1535">
        <f t="shared" si="48"/>
        <v>112.25</v>
      </c>
      <c r="D69" s="1535">
        <f t="shared" si="14"/>
        <v>112.25</v>
      </c>
      <c r="E69" s="1535">
        <f t="shared" ref="E69:F71" si="49">E70+(E$68-E$72)/4</f>
        <v>107.25</v>
      </c>
      <c r="F69" s="1535">
        <f t="shared" si="49"/>
        <v>103.5</v>
      </c>
      <c r="G69" s="3301">
        <v>2003</v>
      </c>
      <c r="H69" s="1486">
        <v>3</v>
      </c>
      <c r="I69" s="1533"/>
      <c r="J69" s="1533"/>
      <c r="K69" s="1533"/>
      <c r="L69" s="1533"/>
      <c r="X69" s="1525"/>
      <c r="Y69" s="1525"/>
      <c r="Z69" s="1525"/>
    </row>
    <row r="70" spans="1:26">
      <c r="A70" s="1460" t="s">
        <v>1201</v>
      </c>
      <c r="B70" s="1535">
        <f t="shared" si="48"/>
        <v>108.5</v>
      </c>
      <c r="C70" s="1535">
        <f t="shared" si="48"/>
        <v>110.5</v>
      </c>
      <c r="D70" s="1535">
        <f t="shared" si="14"/>
        <v>110.5</v>
      </c>
      <c r="E70" s="1535">
        <f t="shared" si="49"/>
        <v>106.5</v>
      </c>
      <c r="F70" s="1535">
        <f t="shared" si="49"/>
        <v>103</v>
      </c>
      <c r="G70" s="3301">
        <v>2003</v>
      </c>
      <c r="H70" s="1464">
        <v>2</v>
      </c>
      <c r="I70" s="1533"/>
      <c r="J70" s="1533"/>
      <c r="K70" s="1533"/>
      <c r="L70" s="1533"/>
      <c r="X70" s="1525"/>
      <c r="Y70" s="1525"/>
      <c r="Z70" s="1525"/>
    </row>
    <row r="71" spans="1:26" ht="13.8" thickBot="1">
      <c r="A71" s="1460" t="s">
        <v>1202</v>
      </c>
      <c r="B71" s="1535">
        <f t="shared" si="48"/>
        <v>107.25</v>
      </c>
      <c r="C71" s="1535">
        <f t="shared" si="48"/>
        <v>108.75</v>
      </c>
      <c r="D71" s="1535">
        <f t="shared" si="14"/>
        <v>108.75</v>
      </c>
      <c r="E71" s="1535">
        <f t="shared" si="49"/>
        <v>105.75</v>
      </c>
      <c r="F71" s="1535">
        <f t="shared" si="49"/>
        <v>102.5</v>
      </c>
      <c r="G71" s="3302">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14"/>
        <v>107</v>
      </c>
      <c r="E72" s="1537">
        <v>105</v>
      </c>
      <c r="F72" s="1538">
        <v>102</v>
      </c>
      <c r="G72" s="3300">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50">B74+(B$72-B$76)/4</f>
        <v>105</v>
      </c>
      <c r="C73" s="1535">
        <f t="shared" si="50"/>
        <v>106</v>
      </c>
      <c r="D73" s="1535">
        <f t="shared" si="14"/>
        <v>106</v>
      </c>
      <c r="E73" s="1535">
        <f t="shared" ref="E73:F75" si="51">E74+(E$72-E$76)/4</f>
        <v>104.5</v>
      </c>
      <c r="F73" s="1535">
        <f t="shared" si="51"/>
        <v>101.5</v>
      </c>
      <c r="G73" s="3301">
        <v>2002</v>
      </c>
      <c r="H73" s="1486">
        <v>3</v>
      </c>
      <c r="I73" s="1533"/>
      <c r="J73" s="1533"/>
      <c r="K73" s="1533"/>
      <c r="L73" s="1533"/>
      <c r="X73" s="1525"/>
      <c r="Y73" s="1525"/>
      <c r="Z73" s="1525"/>
    </row>
    <row r="74" spans="1:26">
      <c r="A74" s="1460" t="s">
        <v>1205</v>
      </c>
      <c r="B74" s="1535">
        <f t="shared" si="50"/>
        <v>104</v>
      </c>
      <c r="C74" s="1535">
        <f t="shared" si="50"/>
        <v>105</v>
      </c>
      <c r="D74" s="1535">
        <f t="shared" si="14"/>
        <v>105</v>
      </c>
      <c r="E74" s="1535">
        <f t="shared" si="51"/>
        <v>104</v>
      </c>
      <c r="F74" s="1535">
        <f t="shared" si="51"/>
        <v>101</v>
      </c>
      <c r="G74" s="3301">
        <v>2002</v>
      </c>
      <c r="H74" s="1464">
        <v>2</v>
      </c>
      <c r="I74" s="1533"/>
      <c r="J74" s="1533"/>
      <c r="K74" s="1533"/>
      <c r="L74" s="1533"/>
      <c r="X74" s="1525"/>
      <c r="Y74" s="1525"/>
      <c r="Z74" s="1525"/>
    </row>
    <row r="75" spans="1:26" s="1497" customFormat="1" ht="13.8" thickBot="1">
      <c r="A75" s="1493" t="s">
        <v>1206</v>
      </c>
      <c r="B75" s="1539">
        <f t="shared" si="50"/>
        <v>103</v>
      </c>
      <c r="C75" s="1539">
        <f t="shared" si="50"/>
        <v>104</v>
      </c>
      <c r="D75" s="1539">
        <f t="shared" si="14"/>
        <v>104</v>
      </c>
      <c r="E75" s="1539">
        <f t="shared" si="51"/>
        <v>103.5</v>
      </c>
      <c r="F75" s="1539">
        <f t="shared" si="51"/>
        <v>100.5</v>
      </c>
      <c r="G75" s="3302">
        <v>2002</v>
      </c>
      <c r="H75" s="1540">
        <v>1</v>
      </c>
      <c r="I75" s="1541"/>
      <c r="J75" s="1541"/>
      <c r="K75" s="1541"/>
      <c r="L75" s="1541"/>
      <c r="N75" s="1542"/>
      <c r="S75" s="1542"/>
      <c r="X75" s="1543"/>
      <c r="Y75" s="1543"/>
      <c r="Z75" s="1543"/>
    </row>
    <row r="76" spans="1:26" ht="13.8" thickBot="1">
      <c r="B76" s="1544">
        <v>102</v>
      </c>
      <c r="C76" s="1545">
        <v>103</v>
      </c>
      <c r="D76" s="1545">
        <f t="shared" si="14"/>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6" sqref="I6:L6"/>
      <selection pane="bottomLeft" activeCell="I6" sqref="I6:L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2994</v>
      </c>
      <c r="C1" s="3312" t="s">
        <v>2995</v>
      </c>
      <c r="D1" s="3313"/>
      <c r="E1" s="3313"/>
      <c r="F1" s="3313"/>
      <c r="G1" s="3313"/>
      <c r="H1" s="3313"/>
      <c r="I1" s="3313"/>
      <c r="J1" s="3313"/>
      <c r="K1" s="3313"/>
      <c r="L1" s="3313"/>
      <c r="M1" s="3313"/>
      <c r="N1" s="3313"/>
      <c r="O1" s="3313"/>
      <c r="P1" s="3313"/>
      <c r="Q1" s="3313"/>
      <c r="R1" s="3313"/>
      <c r="S1" s="3314"/>
      <c r="T1" s="1203" t="s">
        <v>2996</v>
      </c>
    </row>
    <row r="2" spans="1:45" s="707" customFormat="1">
      <c r="A2" s="1204"/>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2998</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4"/>
      <c r="B6" s="1115"/>
      <c r="C6" s="1121">
        <v>100</v>
      </c>
      <c r="D6" s="1118">
        <f>C6-$T5</f>
        <v>100</v>
      </c>
      <c r="E6" s="1118">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2999</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4"/>
      <c r="B8" s="1115"/>
      <c r="C8" s="1121">
        <v>100</v>
      </c>
      <c r="D8" s="1118">
        <f>C8-$T7</f>
        <v>100</v>
      </c>
      <c r="E8" s="1118">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3000</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4"/>
      <c r="B10" s="1208"/>
      <c r="C10" s="1219">
        <v>100</v>
      </c>
      <c r="D10" s="1220">
        <f>C10-$T9</f>
        <v>100</v>
      </c>
      <c r="E10" s="1220">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3001</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4"/>
      <c r="B12" s="1115"/>
      <c r="C12" s="1121">
        <v>100</v>
      </c>
      <c r="D12" s="1118">
        <f>C12-$T11</f>
        <v>100</v>
      </c>
      <c r="E12" s="1118">
        <f t="shared" ref="E12:S12" si="5">D12-$T11</f>
        <v>100</v>
      </c>
      <c r="F12" s="1118">
        <f t="shared" si="5"/>
        <v>100</v>
      </c>
      <c r="G12" s="1118">
        <f t="shared" si="5"/>
        <v>100</v>
      </c>
      <c r="H12" s="1118">
        <f t="shared" si="5"/>
        <v>100</v>
      </c>
      <c r="I12" s="1118">
        <f t="shared" si="5"/>
        <v>100</v>
      </c>
      <c r="J12" s="1118">
        <f t="shared" si="5"/>
        <v>100</v>
      </c>
      <c r="K12" s="1118">
        <f t="shared" si="5"/>
        <v>100</v>
      </c>
      <c r="L12" s="1118">
        <f t="shared" si="5"/>
        <v>100</v>
      </c>
      <c r="M12" s="1118">
        <f t="shared" si="5"/>
        <v>100</v>
      </c>
      <c r="N12" s="1118">
        <f t="shared" si="5"/>
        <v>100</v>
      </c>
      <c r="O12" s="1118">
        <f t="shared" si="5"/>
        <v>100</v>
      </c>
      <c r="P12" s="1118">
        <f t="shared" si="5"/>
        <v>100</v>
      </c>
      <c r="Q12" s="1118">
        <f t="shared" si="5"/>
        <v>100</v>
      </c>
      <c r="R12" s="1118">
        <f>Q12-$T11</f>
        <v>100</v>
      </c>
      <c r="S12" s="1118">
        <f t="shared" si="5"/>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3002</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3003</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3004</v>
      </c>
      <c r="B17" s="2902"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3" t="s">
        <v>3006</v>
      </c>
      <c r="E19" s="1790"/>
      <c r="F19" s="1790"/>
      <c r="G19" s="1790"/>
      <c r="H19" s="1279"/>
      <c r="I19" s="168"/>
      <c r="J19" s="168"/>
      <c r="K19" s="168"/>
      <c r="L19" s="168"/>
      <c r="M19" s="168"/>
      <c r="N19" s="168"/>
      <c r="O19" s="168"/>
      <c r="P19" s="168"/>
      <c r="Q19" s="168"/>
      <c r="R19" s="788"/>
      <c r="S19" s="138"/>
    </row>
    <row r="20" spans="1:45" ht="16.2" thickBot="1">
      <c r="A20" s="715" t="s">
        <v>3007</v>
      </c>
      <c r="B20" s="338" t="e">
        <f ca="1">IF(D20="——",S22,S22-F20)</f>
        <v>#REF!</v>
      </c>
      <c r="C20" s="168"/>
      <c r="D20" s="2904" t="s">
        <v>3008</v>
      </c>
      <c r="E20" s="1791"/>
      <c r="F20" s="1203" t="e">
        <f ca="1">SUMIF(INDIRECT("'"&amp;H20&amp;"'"&amp;"!A:A"),"承租人权益价值",INDIRECT("'"&amp;H20&amp;"'"&amp;"!c:c"))</f>
        <v>#REF!</v>
      </c>
      <c r="G20" s="1203" t="s">
        <v>3009</v>
      </c>
      <c r="H20" s="2905"/>
      <c r="I20" s="168"/>
      <c r="J20" s="168"/>
      <c r="K20" s="168"/>
      <c r="L20" s="168"/>
      <c r="M20" s="168"/>
      <c r="N20" s="168"/>
      <c r="O20" s="168"/>
      <c r="P20" s="168"/>
      <c r="Q20" s="168"/>
      <c r="R20" s="788"/>
      <c r="S20" s="138"/>
    </row>
    <row r="21" spans="1:45" ht="15.6">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67" t="s">
        <v>33</v>
      </c>
      <c r="D22" s="3168"/>
      <c r="E22" s="3168"/>
      <c r="F22" s="3168"/>
      <c r="G22" s="3168"/>
      <c r="H22" s="3168"/>
      <c r="I22" s="3168"/>
      <c r="J22" s="3168"/>
      <c r="K22" s="3168"/>
      <c r="L22" s="3168"/>
      <c r="M22" s="3168"/>
      <c r="N22" s="3168"/>
      <c r="O22" s="3168"/>
      <c r="P22" s="3168"/>
      <c r="Q22" s="3311"/>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29714</v>
      </c>
      <c r="C2" s="2" t="s">
        <v>133</v>
      </c>
      <c r="D2" s="243"/>
      <c r="E2" s="243"/>
      <c r="F2" s="243"/>
      <c r="G2" s="243"/>
    </row>
    <row r="3" spans="1:7" s="244" customFormat="1" ht="18" customHeight="1" thickBot="1">
      <c r="A3" s="247" t="s">
        <v>85</v>
      </c>
      <c r="B3" s="248">
        <f ca="1">ROUND(B2*10000/'数据-汇总表'!E3,0)</f>
        <v>19854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1">
        <f>'数据-汇总表'!E5</f>
        <v>14966.349999999999</v>
      </c>
      <c r="E9" s="269">
        <f>'数据-取费表'!B27</f>
        <v>0</v>
      </c>
      <c r="F9" s="265"/>
      <c r="G9" s="270"/>
    </row>
    <row r="10" spans="1:7" s="258" customFormat="1" ht="13.5" customHeight="1">
      <c r="A10" s="950" t="s">
        <v>801</v>
      </c>
      <c r="B10" s="268" t="s">
        <v>94</v>
      </c>
      <c r="C10" s="269">
        <f>ROUND(D10*E10/10000,0)</f>
        <v>0</v>
      </c>
      <c r="D10" s="1031">
        <f>'数据-汇总表'!E6</f>
        <v>0</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8" t="s">
        <v>1052</v>
      </c>
      <c r="B19" s="254" t="s">
        <v>111</v>
      </c>
      <c r="C19" s="255">
        <f>IF(G19="已包含在土地取得成本中","0",ROUND(D19*E19/10000,0))</f>
        <v>120</v>
      </c>
      <c r="D19" s="1035">
        <f>'数据-汇总表'!E3</f>
        <v>14966.349999999999</v>
      </c>
      <c r="E19" s="255">
        <f>'数据-取费表'!B31</f>
        <v>80</v>
      </c>
      <c r="F19" s="275"/>
      <c r="G19" s="1" t="s">
        <v>1071</v>
      </c>
    </row>
    <row r="20" spans="1:7" s="258" customFormat="1" ht="13.5" customHeight="1">
      <c r="A20" s="948" t="s">
        <v>1054</v>
      </c>
      <c r="B20" s="254" t="s">
        <v>104</v>
      </c>
      <c r="C20" s="276">
        <f>ROUND((C5+C19)*F20,0)</f>
        <v>415</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1824</v>
      </c>
      <c r="D22" s="279">
        <f ca="1">C26</f>
        <v>8.9999999999999998E-4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1796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10</v>
      </c>
      <c r="D24" s="282"/>
      <c r="E24" s="282"/>
      <c r="F24" s="283"/>
      <c r="G24" s="284" t="s">
        <v>109</v>
      </c>
    </row>
    <row r="25" spans="1:7" s="258" customFormat="1" ht="24">
      <c r="A25" s="951" t="s">
        <v>793</v>
      </c>
      <c r="B25" s="259" t="s">
        <v>1055</v>
      </c>
      <c r="C25" s="1354">
        <f ca="1">ROUND(IF('数据-取费表'!B22&lt;=1,C20*F22*'数据-取费表'!B23/2,C20*(POWER((1+F22),'数据-取费表'!B23/2)-1)),0)</f>
        <v>18</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6.4">
      <c r="A27" s="948" t="s">
        <v>787</v>
      </c>
      <c r="B27" s="288" t="s">
        <v>112</v>
      </c>
      <c r="C27" s="289">
        <f>C28</f>
        <v>1015</v>
      </c>
      <c r="D27" s="279">
        <f>C29</f>
        <v>1E-3</v>
      </c>
      <c r="E27" s="280" t="s">
        <v>126</v>
      </c>
      <c r="F27" s="290">
        <f>'数据-取费表'!Q16</f>
        <v>0.08</v>
      </c>
      <c r="G27" s="291" t="s">
        <v>1066</v>
      </c>
    </row>
    <row r="28" spans="1:7" s="258" customFormat="1" ht="13.5" customHeight="1">
      <c r="A28" s="951" t="s">
        <v>794</v>
      </c>
      <c r="B28" s="292" t="s">
        <v>1059</v>
      </c>
      <c r="C28" s="293">
        <f>ROUND((C5+C19+C20)*F27*'数据-取费表'!B21/'数据-取费表'!B20,0)</f>
        <v>1015</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25935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3049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2694</v>
      </c>
      <c r="D34" s="261"/>
      <c r="E34" s="264"/>
      <c r="F34" s="301">
        <f>IF('数据-取费表'!B24=0,1,'数据-取费表'!N16)</f>
        <v>0.6</v>
      </c>
      <c r="G34" s="263" t="s">
        <v>116</v>
      </c>
    </row>
    <row r="35" spans="1:7" ht="13.5" customHeight="1">
      <c r="A35" s="951" t="s">
        <v>796</v>
      </c>
      <c r="B35" s="259" t="s">
        <v>60</v>
      </c>
      <c r="C35" s="264">
        <f>ROUND(C34*F35,0)</f>
        <v>81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54</v>
      </c>
      <c r="D36" s="264"/>
      <c r="E36" s="264"/>
      <c r="F36" s="303">
        <f>'数据-取费表'!B34</f>
        <v>0.02</v>
      </c>
      <c r="G36" s="304" t="s">
        <v>62</v>
      </c>
    </row>
    <row r="37" spans="1:7" s="302" customFormat="1" ht="13.5" customHeight="1">
      <c r="A37" s="951" t="s">
        <v>798</v>
      </c>
      <c r="B37" s="259" t="s">
        <v>118</v>
      </c>
      <c r="C37" s="293">
        <f>ROUND(E37*D37*F34/10000,0)</f>
        <v>180</v>
      </c>
      <c r="D37" s="261">
        <f>'数据-汇总表'!E3</f>
        <v>14966.349999999999</v>
      </c>
      <c r="E37" s="293">
        <f>'数据-取费表'!B35</f>
        <v>200</v>
      </c>
      <c r="F37" s="303"/>
      <c r="G37" s="305" t="s">
        <v>119</v>
      </c>
    </row>
    <row r="38" spans="1:7" ht="13.5" customHeight="1">
      <c r="A38" s="951" t="s">
        <v>799</v>
      </c>
      <c r="B38" s="259" t="s">
        <v>63</v>
      </c>
      <c r="C38" s="264">
        <f>ROUND(C34*F38,0)</f>
        <v>40</v>
      </c>
      <c r="D38" s="264"/>
      <c r="E38" s="264"/>
      <c r="F38" s="303">
        <f>'数据-取费表'!B36</f>
        <v>1.4999999999999999E-2</v>
      </c>
      <c r="G38" s="263" t="s">
        <v>117</v>
      </c>
    </row>
    <row r="39" spans="1:7" s="258" customFormat="1" ht="13.5" customHeight="1">
      <c r="A39" s="948" t="s">
        <v>783</v>
      </c>
      <c r="B39" s="254" t="s">
        <v>104</v>
      </c>
      <c r="C39" s="276">
        <f>ROUND(C33*F20,0)</f>
        <v>61</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133</v>
      </c>
      <c r="D41" s="279">
        <f ca="1">C44</f>
        <v>8.9999999999999998E-4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130</v>
      </c>
      <c r="D42" s="282"/>
      <c r="E42" s="282"/>
      <c r="F42" s="283"/>
      <c r="G42" s="3172" t="s">
        <v>121</v>
      </c>
    </row>
    <row r="43" spans="1:7" ht="13.5" customHeight="1">
      <c r="A43" s="951" t="s">
        <v>792</v>
      </c>
      <c r="B43" s="259" t="s">
        <v>1061</v>
      </c>
      <c r="C43" s="282">
        <f ca="1">ROUND(IF('数据-取费表'!B22&lt;=1,C39*F22*'数据-取费表'!B21/2,C39*(POWER((1+F22),'数据-取费表'!B21/2)-1)),0)</f>
        <v>3</v>
      </c>
      <c r="D43" s="282"/>
      <c r="E43" s="282"/>
      <c r="F43" s="283"/>
      <c r="G43" s="3173"/>
    </row>
    <row r="44" spans="1:7" ht="13.5" customHeight="1">
      <c r="A44" s="951" t="s">
        <v>793</v>
      </c>
      <c r="B44" s="259" t="s">
        <v>1063</v>
      </c>
      <c r="C44" s="282">
        <f ca="1">ROUND(IF('数据-取费表'!B22&lt;=1,C40*F22*'数据-取费表'!B21/2,C40*(POWER((1+F22),'数据-取费表'!B21/2)-1)),4)</f>
        <v>8.9999999999999998E-4</v>
      </c>
      <c r="D44" s="282"/>
      <c r="E44" s="282"/>
      <c r="F44" s="283"/>
      <c r="G44" s="3174"/>
    </row>
    <row r="45" spans="1:7" s="258" customFormat="1" ht="13.5" customHeight="1">
      <c r="A45" s="948" t="s">
        <v>786</v>
      </c>
      <c r="B45" s="288" t="s">
        <v>112</v>
      </c>
      <c r="C45" s="289">
        <f>C46</f>
        <v>249</v>
      </c>
      <c r="D45" s="279">
        <f>C47</f>
        <v>1.6000000000000001E-3</v>
      </c>
      <c r="E45" s="280" t="s">
        <v>129</v>
      </c>
      <c r="F45" s="290"/>
      <c r="G45" s="291" t="s">
        <v>1069</v>
      </c>
    </row>
    <row r="46" spans="1:7" s="258" customFormat="1" ht="13.5" customHeight="1">
      <c r="A46" s="951" t="s">
        <v>794</v>
      </c>
      <c r="B46" s="292" t="s">
        <v>1062</v>
      </c>
      <c r="C46" s="293">
        <f>ROUND((C33+C39)*F27,0)</f>
        <v>249</v>
      </c>
      <c r="D46" s="307"/>
      <c r="E46" s="280"/>
      <c r="F46" s="290"/>
      <c r="G46" s="291"/>
    </row>
    <row r="47" spans="1:7" s="258" customFormat="1" ht="13.5" customHeight="1">
      <c r="A47" s="951" t="s">
        <v>792</v>
      </c>
      <c r="B47" s="292" t="s">
        <v>1064</v>
      </c>
      <c r="C47" s="282">
        <f>ROUND(C40*F27,4)</f>
        <v>1.6000000000000001E-3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3779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3779</v>
      </c>
      <c r="D51" s="276"/>
      <c r="E51" s="276"/>
      <c r="F51" s="308"/>
      <c r="G51" s="278" t="s">
        <v>64</v>
      </c>
    </row>
    <row r="52" spans="1:7" s="252" customFormat="1" ht="16.8" thickBot="1">
      <c r="A52" s="309" t="s">
        <v>65</v>
      </c>
      <c r="B52" s="310"/>
      <c r="C52" s="311">
        <f ca="1">C31+C51</f>
        <v>29714</v>
      </c>
      <c r="D52" s="310"/>
      <c r="E52" s="310"/>
      <c r="F52" s="310"/>
      <c r="G52" s="312"/>
    </row>
    <row r="55" spans="1:7" ht="15">
      <c r="B55" s="314" t="s">
        <v>66</v>
      </c>
      <c r="C55" s="315"/>
    </row>
    <row r="56" spans="1:7">
      <c r="B56" s="317" t="s">
        <v>67</v>
      </c>
      <c r="C56" s="318">
        <f ca="1">ROUND(C51/C52,3)</f>
        <v>0.127</v>
      </c>
    </row>
    <row r="57" spans="1:7">
      <c r="B57" s="317" t="s">
        <v>68</v>
      </c>
      <c r="C57" s="319">
        <f ca="1">1-C56</f>
        <v>0.873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15" t="s">
        <v>868</v>
      </c>
      <c r="B1" s="3315"/>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40" t="s">
        <v>875</v>
      </c>
      <c r="B5" s="841" t="s">
        <v>876</v>
      </c>
      <c r="C5" s="1061">
        <v>8.8999999999999996E-2</v>
      </c>
      <c r="D5" s="1061">
        <v>7.3999999999999996E-2</v>
      </c>
      <c r="E5" s="1061">
        <v>7.4999999999999997E-2</v>
      </c>
      <c r="F5" s="1062">
        <v>0.1</v>
      </c>
    </row>
    <row r="6" spans="1:6" ht="15" thickBot="1">
      <c r="A6" s="840" t="s">
        <v>212</v>
      </c>
      <c r="B6" s="834" t="s">
        <v>877</v>
      </c>
      <c r="C6" s="1063">
        <v>0.1</v>
      </c>
      <c r="D6" s="1063">
        <v>9.0999999999999998E-2</v>
      </c>
      <c r="E6" s="1063">
        <v>9.0999999999999998E-2</v>
      </c>
      <c r="F6" s="1064">
        <v>0.1</v>
      </c>
    </row>
    <row r="7" spans="1:6" ht="15" thickBot="1">
      <c r="A7" s="840" t="s">
        <v>212</v>
      </c>
      <c r="B7" s="844" t="s">
        <v>201</v>
      </c>
      <c r="C7" s="1063">
        <v>8.5999999999999993E-2</v>
      </c>
      <c r="D7" s="1063">
        <v>9.6000000000000002E-2</v>
      </c>
      <c r="E7" s="1063">
        <v>7.5999999999999998E-2</v>
      </c>
      <c r="F7" s="1064">
        <v>0.1</v>
      </c>
    </row>
    <row r="8" spans="1:6" ht="15" thickBot="1">
      <c r="A8" s="840" t="s">
        <v>212</v>
      </c>
      <c r="B8" s="834" t="s">
        <v>213</v>
      </c>
      <c r="C8" s="1063">
        <v>9.9000000000000005E-2</v>
      </c>
      <c r="D8" s="1063">
        <v>9.8000000000000004E-2</v>
      </c>
      <c r="E8" s="1063">
        <v>9.8000000000000004E-2</v>
      </c>
      <c r="F8" s="1064">
        <v>0.1</v>
      </c>
    </row>
    <row r="9" spans="1:6" ht="15" thickBot="1">
      <c r="A9" s="850" t="s">
        <v>212</v>
      </c>
      <c r="B9" s="845" t="s">
        <v>225</v>
      </c>
      <c r="C9" s="1065">
        <v>0.05</v>
      </c>
      <c r="D9" s="1073"/>
      <c r="E9" s="1073"/>
      <c r="F9" s="1074"/>
    </row>
    <row r="10" spans="1:6" ht="15" thickBot="1">
      <c r="A10" s="840" t="s">
        <v>269</v>
      </c>
      <c r="B10" s="841" t="s">
        <v>878</v>
      </c>
      <c r="C10" s="1061">
        <v>8.8999999999999996E-2</v>
      </c>
      <c r="D10" s="1061">
        <v>7.2999999999999995E-2</v>
      </c>
      <c r="E10" s="1061">
        <v>8.2000000000000003E-2</v>
      </c>
      <c r="F10" s="1062">
        <v>0.1</v>
      </c>
    </row>
    <row r="11" spans="1:6" ht="15" thickBot="1">
      <c r="A11" s="840" t="s">
        <v>269</v>
      </c>
      <c r="B11" s="844" t="s">
        <v>188</v>
      </c>
      <c r="C11" s="1063">
        <v>8.8999999999999996E-2</v>
      </c>
      <c r="D11" s="1063">
        <v>7.2999999999999995E-2</v>
      </c>
      <c r="E11" s="1063">
        <v>8.2000000000000003E-2</v>
      </c>
      <c r="F11" s="1064">
        <v>0.1</v>
      </c>
    </row>
    <row r="12" spans="1:6" ht="15" thickBot="1">
      <c r="A12" s="840" t="s">
        <v>269</v>
      </c>
      <c r="B12" s="844" t="s">
        <v>138</v>
      </c>
      <c r="C12" s="1063">
        <v>6.0999999999999999E-2</v>
      </c>
      <c r="D12" s="1063">
        <v>7.0999999999999994E-2</v>
      </c>
      <c r="E12" s="1063">
        <v>9.6000000000000002E-2</v>
      </c>
      <c r="F12" s="1064">
        <v>0.1</v>
      </c>
    </row>
    <row r="13" spans="1:6" ht="15" thickBot="1">
      <c r="A13" s="840" t="s">
        <v>269</v>
      </c>
      <c r="B13" s="844" t="s">
        <v>214</v>
      </c>
      <c r="C13" s="1063">
        <v>6.9000000000000006E-2</v>
      </c>
      <c r="D13" s="1063">
        <v>6.5000000000000002E-2</v>
      </c>
      <c r="E13" s="1063">
        <v>6.6000000000000003E-2</v>
      </c>
      <c r="F13" s="1064">
        <v>0.1</v>
      </c>
    </row>
    <row r="14" spans="1:6" ht="15" thickBot="1">
      <c r="A14" s="840" t="s">
        <v>269</v>
      </c>
      <c r="B14" s="844" t="s">
        <v>226</v>
      </c>
      <c r="C14" s="1063">
        <v>0.1</v>
      </c>
      <c r="D14" s="1063">
        <v>6.5000000000000002E-2</v>
      </c>
      <c r="E14" s="1063">
        <v>7.0000000000000007E-2</v>
      </c>
      <c r="F14" s="1064">
        <v>0.1</v>
      </c>
    </row>
    <row r="15" spans="1:6" ht="15" thickBot="1">
      <c r="A15" s="840" t="s">
        <v>269</v>
      </c>
      <c r="B15" s="844" t="s">
        <v>237</v>
      </c>
      <c r="C15" s="1063">
        <v>9.8000000000000004E-2</v>
      </c>
      <c r="D15" s="1063">
        <v>8.8999999999999996E-2</v>
      </c>
      <c r="E15" s="1063">
        <v>8.8999999999999996E-2</v>
      </c>
      <c r="F15" s="1064">
        <v>0.1</v>
      </c>
    </row>
    <row r="16" spans="1:6" ht="15" thickBot="1">
      <c r="A16" s="840" t="s">
        <v>269</v>
      </c>
      <c r="B16" s="844" t="s">
        <v>248</v>
      </c>
      <c r="C16" s="1063">
        <v>7.0000000000000007E-2</v>
      </c>
      <c r="D16" s="1063">
        <v>9.2999999999999999E-2</v>
      </c>
      <c r="E16" s="1063">
        <v>9.6000000000000002E-2</v>
      </c>
      <c r="F16" s="1064">
        <v>0.1</v>
      </c>
    </row>
    <row r="17" spans="1:6" ht="15" thickBot="1">
      <c r="A17" s="840" t="s">
        <v>269</v>
      </c>
      <c r="B17" s="844" t="s">
        <v>259</v>
      </c>
      <c r="C17" s="1063">
        <v>9.5000000000000001E-2</v>
      </c>
      <c r="D17" s="1063">
        <v>0.1</v>
      </c>
      <c r="E17" s="1063">
        <v>0.1</v>
      </c>
      <c r="F17" s="1075"/>
    </row>
    <row r="18" spans="1:6" ht="15" thickBot="1">
      <c r="A18" s="840" t="s">
        <v>269</v>
      </c>
      <c r="B18" s="844" t="s">
        <v>271</v>
      </c>
      <c r="C18" s="1063">
        <v>7.3999999999999996E-2</v>
      </c>
      <c r="D18" s="1063">
        <v>9.9000000000000005E-2</v>
      </c>
      <c r="E18" s="1063">
        <v>0.1</v>
      </c>
      <c r="F18" s="1075"/>
    </row>
    <row r="19" spans="1:6" ht="15" thickBot="1">
      <c r="A19" s="840" t="s">
        <v>269</v>
      </c>
      <c r="B19" s="844" t="s">
        <v>281</v>
      </c>
      <c r="C19" s="1063">
        <v>9.9000000000000005E-2</v>
      </c>
      <c r="D19" s="1063">
        <v>7.5999999999999998E-2</v>
      </c>
      <c r="E19" s="1063">
        <v>8.6999999999999994E-2</v>
      </c>
      <c r="F19" s="1075"/>
    </row>
    <row r="20" spans="1:6" ht="15" thickBot="1">
      <c r="A20" s="840" t="s">
        <v>269</v>
      </c>
      <c r="B20" s="844" t="s">
        <v>291</v>
      </c>
      <c r="C20" s="1063">
        <v>9.8000000000000004E-2</v>
      </c>
      <c r="D20" s="1063">
        <v>8.5000000000000006E-2</v>
      </c>
      <c r="E20" s="1063">
        <v>8.2000000000000003E-2</v>
      </c>
      <c r="F20" s="1075"/>
    </row>
    <row r="21" spans="1:6" ht="15" thickBot="1">
      <c r="A21" s="840" t="s">
        <v>269</v>
      </c>
      <c r="B21" s="844" t="s">
        <v>301</v>
      </c>
      <c r="C21" s="1063">
        <v>6.6000000000000003E-2</v>
      </c>
      <c r="D21" s="1063">
        <v>6.4000000000000001E-2</v>
      </c>
      <c r="E21" s="1063">
        <v>6.5000000000000002E-2</v>
      </c>
      <c r="F21" s="1075"/>
    </row>
    <row r="22" spans="1:6" ht="15" thickBot="1">
      <c r="A22" s="840" t="s">
        <v>269</v>
      </c>
      <c r="B22" s="844" t="s">
        <v>879</v>
      </c>
      <c r="C22" s="1063">
        <v>0.08</v>
      </c>
      <c r="D22" s="1063">
        <v>9.8000000000000004E-2</v>
      </c>
      <c r="E22" s="1063">
        <v>9.8000000000000004E-2</v>
      </c>
      <c r="F22" s="1075"/>
    </row>
    <row r="23" spans="1:6" ht="15" thickBot="1">
      <c r="A23" s="840" t="s">
        <v>269</v>
      </c>
      <c r="B23" s="844" t="s">
        <v>322</v>
      </c>
      <c r="C23" s="1063">
        <v>9.9000000000000005E-2</v>
      </c>
      <c r="D23" s="1063">
        <v>9.8000000000000004E-2</v>
      </c>
      <c r="E23" s="1063">
        <v>9.0999999999999998E-2</v>
      </c>
      <c r="F23" s="1075"/>
    </row>
    <row r="24" spans="1:6" ht="15" thickBot="1">
      <c r="A24" s="840" t="s">
        <v>269</v>
      </c>
      <c r="B24" s="844" t="s">
        <v>333</v>
      </c>
      <c r="C24" s="1063">
        <v>8.8999999999999996E-2</v>
      </c>
      <c r="D24" s="1063">
        <v>9.7000000000000003E-2</v>
      </c>
      <c r="E24" s="1063">
        <v>7.0000000000000007E-2</v>
      </c>
      <c r="F24" s="1075"/>
    </row>
    <row r="25" spans="1:6" ht="15" thickBot="1">
      <c r="A25" s="840" t="s">
        <v>269</v>
      </c>
      <c r="B25" s="844" t="s">
        <v>343</v>
      </c>
      <c r="C25" s="1063">
        <v>8.8999999999999996E-2</v>
      </c>
      <c r="D25" s="1063">
        <v>0.1</v>
      </c>
      <c r="E25" s="1063">
        <v>8.1000000000000003E-2</v>
      </c>
      <c r="F25" s="1075"/>
    </row>
    <row r="26" spans="1:6" ht="15" thickBot="1">
      <c r="A26" s="840" t="s">
        <v>269</v>
      </c>
      <c r="B26" s="844" t="s">
        <v>353</v>
      </c>
      <c r="C26" s="1076"/>
      <c r="D26" s="1063">
        <v>9.6000000000000002E-2</v>
      </c>
      <c r="E26" s="1063">
        <v>9.2999999999999999E-2</v>
      </c>
      <c r="F26" s="1075"/>
    </row>
    <row r="27" spans="1:6" ht="15" thickBot="1">
      <c r="A27" s="840" t="s">
        <v>269</v>
      </c>
      <c r="B27" s="844" t="s">
        <v>363</v>
      </c>
      <c r="C27" s="1076"/>
      <c r="D27" s="1063">
        <v>7.5999999999999998E-2</v>
      </c>
      <c r="E27" s="1063">
        <v>9.1999999999999998E-2</v>
      </c>
      <c r="F27" s="1075"/>
    </row>
    <row r="28" spans="1:6" ht="15" thickBot="1">
      <c r="A28" s="850" t="s">
        <v>269</v>
      </c>
      <c r="B28" s="845" t="s">
        <v>373</v>
      </c>
      <c r="C28" s="1073"/>
      <c r="D28" s="1065">
        <v>7.5999999999999998E-2</v>
      </c>
      <c r="E28" s="1065">
        <v>9.1999999999999998E-2</v>
      </c>
      <c r="F28" s="1074"/>
    </row>
    <row r="29" spans="1:6" ht="15" thickBot="1">
      <c r="A29" s="840" t="s">
        <v>442</v>
      </c>
      <c r="B29" s="841" t="s">
        <v>880</v>
      </c>
      <c r="C29" s="1061">
        <v>6.4000000000000001E-2</v>
      </c>
      <c r="D29" s="1061">
        <v>6.5000000000000002E-2</v>
      </c>
      <c r="E29" s="1061">
        <v>6.9000000000000006E-2</v>
      </c>
      <c r="F29" s="1062">
        <v>0.1</v>
      </c>
    </row>
    <row r="30" spans="1:6" ht="15" thickBot="1">
      <c r="A30" s="840" t="s">
        <v>442</v>
      </c>
      <c r="B30" s="844" t="s">
        <v>189</v>
      </c>
      <c r="C30" s="1063">
        <v>6.4000000000000001E-2</v>
      </c>
      <c r="D30" s="1063">
        <v>9.9000000000000005E-2</v>
      </c>
      <c r="E30" s="1063">
        <v>0.1</v>
      </c>
      <c r="F30" s="1064">
        <v>0.1</v>
      </c>
    </row>
    <row r="31" spans="1:6" ht="15" thickBot="1">
      <c r="A31" s="840" t="s">
        <v>442</v>
      </c>
      <c r="B31" s="844" t="s">
        <v>202</v>
      </c>
      <c r="C31" s="1063">
        <v>0.1</v>
      </c>
      <c r="D31" s="1063">
        <v>9.5000000000000001E-2</v>
      </c>
      <c r="E31" s="1063">
        <v>8.8999999999999996E-2</v>
      </c>
      <c r="F31" s="1064">
        <v>0.1</v>
      </c>
    </row>
    <row r="32" spans="1:6" ht="15" thickBot="1">
      <c r="A32" s="840" t="s">
        <v>442</v>
      </c>
      <c r="B32" s="844" t="s">
        <v>215</v>
      </c>
      <c r="C32" s="1063">
        <v>0.05</v>
      </c>
      <c r="D32" s="1063">
        <v>0.05</v>
      </c>
      <c r="E32" s="1063">
        <v>8.7999999999999995E-2</v>
      </c>
      <c r="F32" s="1064">
        <v>0.1</v>
      </c>
    </row>
    <row r="33" spans="1:6" ht="15" thickBot="1">
      <c r="A33" s="840" t="s">
        <v>442</v>
      </c>
      <c r="B33" s="844" t="s">
        <v>227</v>
      </c>
      <c r="C33" s="1063">
        <v>7.4999999999999997E-2</v>
      </c>
      <c r="D33" s="1063">
        <v>9.4E-2</v>
      </c>
      <c r="E33" s="1063">
        <v>9.7000000000000003E-2</v>
      </c>
      <c r="F33" s="1064">
        <v>0.1</v>
      </c>
    </row>
    <row r="34" spans="1:6" ht="15" thickBot="1">
      <c r="A34" s="840" t="s">
        <v>442</v>
      </c>
      <c r="B34" s="844" t="s">
        <v>238</v>
      </c>
      <c r="C34" s="1063">
        <v>9.8000000000000004E-2</v>
      </c>
      <c r="D34" s="1063">
        <v>8.5999999999999993E-2</v>
      </c>
      <c r="E34" s="1063">
        <v>9.7000000000000003E-2</v>
      </c>
      <c r="F34" s="1064">
        <v>0.1</v>
      </c>
    </row>
    <row r="35" spans="1:6" ht="15" thickBot="1">
      <c r="A35" s="840" t="s">
        <v>442</v>
      </c>
      <c r="B35" s="844" t="s">
        <v>249</v>
      </c>
      <c r="C35" s="1063">
        <v>5.8999999999999997E-2</v>
      </c>
      <c r="D35" s="1063">
        <v>6.5000000000000002E-2</v>
      </c>
      <c r="E35" s="1063">
        <v>7.0000000000000007E-2</v>
      </c>
      <c r="F35" s="1064">
        <v>0.1</v>
      </c>
    </row>
    <row r="36" spans="1:6" ht="15" thickBot="1">
      <c r="A36" s="840" t="s">
        <v>442</v>
      </c>
      <c r="B36" s="844" t="s">
        <v>260</v>
      </c>
      <c r="C36" s="1063">
        <v>6.3E-2</v>
      </c>
      <c r="D36" s="1063">
        <v>0.1</v>
      </c>
      <c r="E36" s="1063">
        <v>0.1</v>
      </c>
      <c r="F36" s="1064">
        <v>0.1</v>
      </c>
    </row>
    <row r="37" spans="1:6" ht="15" thickBot="1">
      <c r="A37" s="840" t="s">
        <v>442</v>
      </c>
      <c r="B37" s="844" t="s">
        <v>272</v>
      </c>
      <c r="C37" s="1063">
        <v>7.3999999999999996E-2</v>
      </c>
      <c r="D37" s="1063">
        <v>0.1</v>
      </c>
      <c r="E37" s="1063">
        <v>0.1</v>
      </c>
      <c r="F37" s="1064">
        <v>0.1</v>
      </c>
    </row>
    <row r="38" spans="1:6" ht="15" thickBot="1">
      <c r="A38" s="840" t="s">
        <v>442</v>
      </c>
      <c r="B38" s="844" t="s">
        <v>282</v>
      </c>
      <c r="C38" s="1063">
        <v>0.1</v>
      </c>
      <c r="D38" s="1063">
        <v>9.6000000000000002E-2</v>
      </c>
      <c r="E38" s="1063">
        <v>9.6000000000000002E-2</v>
      </c>
      <c r="F38" s="1075"/>
    </row>
    <row r="39" spans="1:6" ht="15" thickBot="1">
      <c r="A39" s="840" t="s">
        <v>442</v>
      </c>
      <c r="B39" s="844" t="s">
        <v>292</v>
      </c>
      <c r="C39" s="1063">
        <v>0.1</v>
      </c>
      <c r="D39" s="1063">
        <v>9.6000000000000002E-2</v>
      </c>
      <c r="E39" s="1063">
        <v>9.6000000000000002E-2</v>
      </c>
      <c r="F39" s="1075"/>
    </row>
    <row r="40" spans="1:6" ht="15" thickBot="1">
      <c r="A40" s="840" t="s">
        <v>442</v>
      </c>
      <c r="B40" s="844" t="s">
        <v>302</v>
      </c>
      <c r="C40" s="1063">
        <v>9.6000000000000002E-2</v>
      </c>
      <c r="D40" s="1063">
        <v>0.1</v>
      </c>
      <c r="E40" s="1063">
        <v>9.9000000000000005E-2</v>
      </c>
      <c r="F40" s="1075"/>
    </row>
    <row r="41" spans="1:6" ht="15" thickBot="1">
      <c r="A41" s="840" t="s">
        <v>442</v>
      </c>
      <c r="B41" s="844" t="s">
        <v>312</v>
      </c>
      <c r="C41" s="1063">
        <v>9.6000000000000002E-2</v>
      </c>
      <c r="D41" s="1063">
        <v>9.8000000000000004E-2</v>
      </c>
      <c r="E41" s="1063">
        <v>9.8000000000000004E-2</v>
      </c>
      <c r="F41" s="1075"/>
    </row>
    <row r="42" spans="1:6" ht="15" thickBot="1">
      <c r="A42" s="840" t="s">
        <v>442</v>
      </c>
      <c r="B42" s="844" t="s">
        <v>323</v>
      </c>
      <c r="C42" s="1063">
        <v>0.1</v>
      </c>
      <c r="D42" s="1063">
        <v>8.7999999999999995E-2</v>
      </c>
      <c r="E42" s="1063">
        <v>0.1</v>
      </c>
      <c r="F42" s="1075"/>
    </row>
    <row r="43" spans="1:6" ht="15" thickBot="1">
      <c r="A43" s="840" t="s">
        <v>442</v>
      </c>
      <c r="B43" s="844" t="s">
        <v>334</v>
      </c>
      <c r="C43" s="1063">
        <v>9.8000000000000004E-2</v>
      </c>
      <c r="D43" s="1063">
        <v>9.7000000000000003E-2</v>
      </c>
      <c r="E43" s="1063">
        <v>9.6000000000000002E-2</v>
      </c>
      <c r="F43" s="1075"/>
    </row>
    <row r="44" spans="1:6" ht="15" thickBot="1">
      <c r="A44" s="840" t="s">
        <v>442</v>
      </c>
      <c r="B44" s="844" t="s">
        <v>344</v>
      </c>
      <c r="C44" s="1063">
        <v>8.5999999999999993E-2</v>
      </c>
      <c r="D44" s="1063">
        <v>7.9000000000000001E-2</v>
      </c>
      <c r="E44" s="1063">
        <v>7.0999999999999994E-2</v>
      </c>
      <c r="F44" s="1075"/>
    </row>
    <row r="45" spans="1:6" ht="15" thickBot="1">
      <c r="A45" s="840" t="s">
        <v>442</v>
      </c>
      <c r="B45" s="844" t="s">
        <v>354</v>
      </c>
      <c r="C45" s="1063">
        <v>9.8000000000000004E-2</v>
      </c>
      <c r="D45" s="1063">
        <v>9.6000000000000002E-2</v>
      </c>
      <c r="E45" s="1063">
        <v>9.6000000000000002E-2</v>
      </c>
      <c r="F45" s="1075"/>
    </row>
    <row r="46" spans="1:6" ht="15" thickBot="1">
      <c r="A46" s="840" t="s">
        <v>442</v>
      </c>
      <c r="B46" s="844" t="s">
        <v>364</v>
      </c>
      <c r="C46" s="1063">
        <v>8.5999999999999993E-2</v>
      </c>
      <c r="D46" s="1063">
        <v>9.8000000000000004E-2</v>
      </c>
      <c r="E46" s="1063">
        <v>8.7999999999999995E-2</v>
      </c>
      <c r="F46" s="1075"/>
    </row>
    <row r="47" spans="1:6" ht="15" thickBot="1">
      <c r="A47" s="840" t="s">
        <v>442</v>
      </c>
      <c r="B47" s="844" t="s">
        <v>374</v>
      </c>
      <c r="C47" s="1063">
        <v>9.6000000000000002E-2</v>
      </c>
      <c r="D47" s="1076"/>
      <c r="E47" s="1063">
        <v>6.9000000000000006E-2</v>
      </c>
      <c r="F47" s="1075"/>
    </row>
    <row r="48" spans="1:6" ht="15" thickBot="1">
      <c r="A48" s="850" t="s">
        <v>442</v>
      </c>
      <c r="B48" s="845" t="s">
        <v>383</v>
      </c>
      <c r="C48" s="1065">
        <v>9.8000000000000004E-2</v>
      </c>
      <c r="D48" s="1073"/>
      <c r="E48" s="1065">
        <v>9.5000000000000001E-2</v>
      </c>
      <c r="F48" s="1074"/>
    </row>
    <row r="49" spans="1:6" ht="15" thickBot="1">
      <c r="A49" s="840" t="s">
        <v>137</v>
      </c>
      <c r="B49" s="841" t="s">
        <v>881</v>
      </c>
      <c r="C49" s="1061">
        <v>9.7000000000000003E-2</v>
      </c>
      <c r="D49" s="1061">
        <v>9.5000000000000001E-2</v>
      </c>
      <c r="E49" s="1061">
        <v>9.7000000000000003E-2</v>
      </c>
      <c r="F49" s="1062">
        <v>0.1</v>
      </c>
    </row>
    <row r="50" spans="1:6" ht="15" thickBot="1">
      <c r="A50" s="840" t="s">
        <v>137</v>
      </c>
      <c r="B50" s="834" t="s">
        <v>190</v>
      </c>
      <c r="C50" s="1063">
        <v>7.4999999999999997E-2</v>
      </c>
      <c r="D50" s="1063">
        <v>9.5000000000000001E-2</v>
      </c>
      <c r="E50" s="1063">
        <v>0.1</v>
      </c>
      <c r="F50" s="1064">
        <v>0.1</v>
      </c>
    </row>
    <row r="51" spans="1:6" ht="15" thickBot="1">
      <c r="A51" s="840" t="s">
        <v>137</v>
      </c>
      <c r="B51" s="834" t="s">
        <v>203</v>
      </c>
      <c r="C51" s="1063">
        <v>9.8000000000000004E-2</v>
      </c>
      <c r="D51" s="1063">
        <v>8.8999999999999996E-2</v>
      </c>
      <c r="E51" s="1063">
        <v>0.1</v>
      </c>
      <c r="F51" s="1064">
        <v>0.1</v>
      </c>
    </row>
    <row r="52" spans="1:6" ht="15" thickBot="1">
      <c r="A52" s="840" t="s">
        <v>137</v>
      </c>
      <c r="B52" s="834" t="s">
        <v>216</v>
      </c>
      <c r="C52" s="1063">
        <v>9.8000000000000004E-2</v>
      </c>
      <c r="D52" s="1063">
        <v>9.7000000000000003E-2</v>
      </c>
      <c r="E52" s="1063">
        <v>8.1000000000000003E-2</v>
      </c>
      <c r="F52" s="1064">
        <v>0.1</v>
      </c>
    </row>
    <row r="53" spans="1:6" ht="15" thickBot="1">
      <c r="A53" s="840" t="s">
        <v>137</v>
      </c>
      <c r="B53" s="834" t="s">
        <v>228</v>
      </c>
      <c r="C53" s="1063">
        <v>9.7000000000000003E-2</v>
      </c>
      <c r="D53" s="1063">
        <v>7.5999999999999998E-2</v>
      </c>
      <c r="E53" s="1063">
        <v>7.0999999999999994E-2</v>
      </c>
      <c r="F53" s="1064">
        <v>0.1</v>
      </c>
    </row>
    <row r="54" spans="1:6" ht="15" thickBot="1">
      <c r="A54" s="840" t="s">
        <v>137</v>
      </c>
      <c r="B54" s="834" t="s">
        <v>239</v>
      </c>
      <c r="C54" s="1063">
        <v>7.5999999999999998E-2</v>
      </c>
      <c r="D54" s="1063">
        <v>0.1</v>
      </c>
      <c r="E54" s="1063">
        <v>9.9000000000000005E-2</v>
      </c>
      <c r="F54" s="1064">
        <v>0.1</v>
      </c>
    </row>
    <row r="55" spans="1:6" ht="15" thickBot="1">
      <c r="A55" s="840" t="s">
        <v>137</v>
      </c>
      <c r="B55" s="834" t="s">
        <v>250</v>
      </c>
      <c r="C55" s="1063">
        <v>0.1</v>
      </c>
      <c r="D55" s="1063">
        <v>0.1</v>
      </c>
      <c r="E55" s="1063">
        <v>9.6000000000000002E-2</v>
      </c>
      <c r="F55" s="1064">
        <v>0.1</v>
      </c>
    </row>
    <row r="56" spans="1:6" ht="15" thickBot="1">
      <c r="A56" s="840" t="s">
        <v>137</v>
      </c>
      <c r="B56" s="834" t="s">
        <v>261</v>
      </c>
      <c r="C56" s="1063">
        <v>0.1</v>
      </c>
      <c r="D56" s="1063">
        <v>9.6000000000000002E-2</v>
      </c>
      <c r="E56" s="1063">
        <v>5.1999999999999998E-2</v>
      </c>
      <c r="F56" s="1064">
        <v>0.1</v>
      </c>
    </row>
    <row r="57" spans="1:6" ht="15" thickBot="1">
      <c r="A57" s="840" t="s">
        <v>137</v>
      </c>
      <c r="B57" s="834" t="s">
        <v>273</v>
      </c>
      <c r="C57" s="1063">
        <v>9.7000000000000003E-2</v>
      </c>
      <c r="D57" s="1063">
        <v>9.6000000000000002E-2</v>
      </c>
      <c r="E57" s="1063">
        <v>9.6000000000000002E-2</v>
      </c>
      <c r="F57" s="1064">
        <v>0.1</v>
      </c>
    </row>
    <row r="58" spans="1:6" ht="15" thickBot="1">
      <c r="A58" s="840" t="s">
        <v>137</v>
      </c>
      <c r="B58" s="834" t="s">
        <v>283</v>
      </c>
      <c r="C58" s="1063">
        <v>9.6000000000000002E-2</v>
      </c>
      <c r="D58" s="1063">
        <v>9.9000000000000005E-2</v>
      </c>
      <c r="E58" s="1063">
        <v>9.6000000000000002E-2</v>
      </c>
      <c r="F58" s="1064">
        <v>0.1</v>
      </c>
    </row>
    <row r="59" spans="1:6" ht="15" thickBot="1">
      <c r="A59" s="840" t="s">
        <v>137</v>
      </c>
      <c r="B59" s="834" t="s">
        <v>293</v>
      </c>
      <c r="C59" s="1063">
        <v>7.1999999999999995E-2</v>
      </c>
      <c r="D59" s="1063">
        <v>9.6000000000000002E-2</v>
      </c>
      <c r="E59" s="1063">
        <v>7.0999999999999994E-2</v>
      </c>
      <c r="F59" s="1064">
        <v>0.1</v>
      </c>
    </row>
    <row r="60" spans="1:6" ht="15" thickBot="1">
      <c r="A60" s="840" t="s">
        <v>137</v>
      </c>
      <c r="B60" s="834" t="s">
        <v>303</v>
      </c>
      <c r="C60" s="1063">
        <v>9.6000000000000002E-2</v>
      </c>
      <c r="D60" s="1063">
        <v>8.8999999999999996E-2</v>
      </c>
      <c r="E60" s="1063">
        <v>9.6000000000000002E-2</v>
      </c>
      <c r="F60" s="1064">
        <v>0.1</v>
      </c>
    </row>
    <row r="61" spans="1:6" ht="15" thickBot="1">
      <c r="A61" s="840" t="s">
        <v>137</v>
      </c>
      <c r="B61" s="834" t="s">
        <v>313</v>
      </c>
      <c r="C61" s="1063">
        <v>8.8999999999999996E-2</v>
      </c>
      <c r="D61" s="1063">
        <v>9.8000000000000004E-2</v>
      </c>
      <c r="E61" s="1063">
        <v>8.7999999999999995E-2</v>
      </c>
      <c r="F61" s="1075"/>
    </row>
    <row r="62" spans="1:6" ht="15" thickBot="1">
      <c r="A62" s="840" t="s">
        <v>137</v>
      </c>
      <c r="B62" s="834" t="s">
        <v>324</v>
      </c>
      <c r="C62" s="1063">
        <v>9.8000000000000004E-2</v>
      </c>
      <c r="D62" s="1063">
        <v>9.2999999999999999E-2</v>
      </c>
      <c r="E62" s="1063">
        <v>9.7000000000000003E-2</v>
      </c>
      <c r="F62" s="1075"/>
    </row>
    <row r="63" spans="1:6" ht="15" thickBot="1">
      <c r="A63" s="840" t="s">
        <v>137</v>
      </c>
      <c r="B63" s="834" t="s">
        <v>335</v>
      </c>
      <c r="C63" s="1063">
        <v>9.6000000000000002E-2</v>
      </c>
      <c r="D63" s="1063">
        <v>9.8000000000000004E-2</v>
      </c>
      <c r="E63" s="1063">
        <v>0.09</v>
      </c>
      <c r="F63" s="1075"/>
    </row>
    <row r="64" spans="1:6" ht="15" thickBot="1">
      <c r="A64" s="840" t="s">
        <v>137</v>
      </c>
      <c r="B64" s="834" t="s">
        <v>345</v>
      </c>
      <c r="C64" s="1063">
        <v>9.9000000000000005E-2</v>
      </c>
      <c r="D64" s="1063">
        <v>9.7000000000000003E-2</v>
      </c>
      <c r="E64" s="1063">
        <v>9.9000000000000005E-2</v>
      </c>
      <c r="F64" s="1075"/>
    </row>
    <row r="65" spans="1:6" ht="15" thickBot="1">
      <c r="A65" s="840" t="s">
        <v>137</v>
      </c>
      <c r="B65" s="834" t="s">
        <v>355</v>
      </c>
      <c r="C65" s="1063">
        <v>9.8000000000000004E-2</v>
      </c>
      <c r="D65" s="1063">
        <v>9.6000000000000002E-2</v>
      </c>
      <c r="E65" s="1063">
        <v>9.6000000000000002E-2</v>
      </c>
      <c r="F65" s="1075"/>
    </row>
    <row r="66" spans="1:6" ht="15" thickBot="1">
      <c r="A66" s="840" t="s">
        <v>137</v>
      </c>
      <c r="B66" s="834" t="s">
        <v>365</v>
      </c>
      <c r="C66" s="1063">
        <v>9.6000000000000002E-2</v>
      </c>
      <c r="D66" s="1063">
        <v>9.1999999999999998E-2</v>
      </c>
      <c r="E66" s="1063">
        <v>9.6000000000000002E-2</v>
      </c>
      <c r="F66" s="1075"/>
    </row>
    <row r="67" spans="1:6" ht="15" thickBot="1">
      <c r="A67" s="840" t="s">
        <v>137</v>
      </c>
      <c r="B67" s="834" t="s">
        <v>375</v>
      </c>
      <c r="C67" s="1063">
        <v>9.4E-2</v>
      </c>
      <c r="D67" s="1063">
        <v>0.1</v>
      </c>
      <c r="E67" s="1063">
        <v>8.7999999999999995E-2</v>
      </c>
      <c r="F67" s="1075"/>
    </row>
    <row r="68" spans="1:6" ht="15" thickBot="1">
      <c r="A68" s="840" t="s">
        <v>137</v>
      </c>
      <c r="B68" s="834" t="s">
        <v>384</v>
      </c>
      <c r="C68" s="1063">
        <v>0.1</v>
      </c>
      <c r="D68" s="1063">
        <v>8.7999999999999995E-2</v>
      </c>
      <c r="E68" s="1063">
        <v>9.7000000000000003E-2</v>
      </c>
      <c r="F68" s="1075"/>
    </row>
    <row r="69" spans="1:6" ht="15" thickBot="1">
      <c r="A69" s="840" t="s">
        <v>137</v>
      </c>
      <c r="B69" s="834" t="s">
        <v>393</v>
      </c>
      <c r="C69" s="1063">
        <v>6.4000000000000001E-2</v>
      </c>
      <c r="D69" s="1063">
        <v>0.1</v>
      </c>
      <c r="E69" s="1063">
        <v>0.1</v>
      </c>
      <c r="F69" s="1075"/>
    </row>
    <row r="70" spans="1:6" ht="15" thickBot="1">
      <c r="A70" s="840" t="s">
        <v>137</v>
      </c>
      <c r="B70" s="834" t="s">
        <v>401</v>
      </c>
      <c r="C70" s="1063">
        <v>9.0999999999999998E-2</v>
      </c>
      <c r="D70" s="1076"/>
      <c r="E70" s="1076"/>
      <c r="F70" s="1075"/>
    </row>
    <row r="71" spans="1:6" ht="15" thickBot="1">
      <c r="A71" s="840" t="s">
        <v>137</v>
      </c>
      <c r="B71" s="834" t="s">
        <v>408</v>
      </c>
      <c r="C71" s="1063">
        <v>0.1</v>
      </c>
      <c r="D71" s="1076"/>
      <c r="E71" s="1076"/>
      <c r="F71" s="1075"/>
    </row>
    <row r="72" spans="1:6" ht="24.6" thickBot="1">
      <c r="A72" s="840" t="s">
        <v>137</v>
      </c>
      <c r="B72" s="834" t="s">
        <v>882</v>
      </c>
      <c r="C72" s="1076"/>
      <c r="D72" s="1076"/>
      <c r="E72" s="1076"/>
      <c r="F72" s="1064">
        <v>0.05</v>
      </c>
    </row>
    <row r="73" spans="1:6" ht="24.6" thickBot="1">
      <c r="A73" s="840" t="s">
        <v>137</v>
      </c>
      <c r="B73" s="834" t="s">
        <v>883</v>
      </c>
      <c r="C73" s="1076"/>
      <c r="D73" s="1076"/>
      <c r="E73" s="1076"/>
      <c r="F73" s="1064">
        <v>0.05</v>
      </c>
    </row>
    <row r="74" spans="1:6" ht="24.6" thickBot="1">
      <c r="A74" s="840" t="s">
        <v>137</v>
      </c>
      <c r="B74" s="834" t="s">
        <v>884</v>
      </c>
      <c r="C74" s="1076"/>
      <c r="D74" s="1076"/>
      <c r="E74" s="1076"/>
      <c r="F74" s="1064">
        <v>0.05</v>
      </c>
    </row>
    <row r="75" spans="1:6" ht="24.6" thickBot="1">
      <c r="A75" s="850" t="s">
        <v>137</v>
      </c>
      <c r="B75" s="846" t="s">
        <v>885</v>
      </c>
      <c r="C75" s="1073"/>
      <c r="D75" s="1073"/>
      <c r="E75" s="1073"/>
      <c r="F75" s="1066">
        <v>0.05</v>
      </c>
    </row>
    <row r="76" spans="1:6" ht="15" thickBot="1">
      <c r="A76" s="840" t="s">
        <v>523</v>
      </c>
      <c r="B76" s="841" t="s">
        <v>886</v>
      </c>
      <c r="C76" s="1061">
        <v>0.1</v>
      </c>
      <c r="D76" s="1061">
        <v>0.1</v>
      </c>
      <c r="E76" s="1061">
        <v>0.1</v>
      </c>
      <c r="F76" s="1062">
        <v>0.1</v>
      </c>
    </row>
    <row r="77" spans="1:6" ht="15" thickBot="1">
      <c r="A77" s="840" t="s">
        <v>523</v>
      </c>
      <c r="B77" s="834" t="s">
        <v>191</v>
      </c>
      <c r="C77" s="1063">
        <v>8.7999999999999995E-2</v>
      </c>
      <c r="D77" s="1063">
        <v>8.6999999999999994E-2</v>
      </c>
      <c r="E77" s="1063">
        <v>7.9000000000000001E-2</v>
      </c>
      <c r="F77" s="1064">
        <v>0.1</v>
      </c>
    </row>
    <row r="78" spans="1:6" ht="15" thickBot="1">
      <c r="A78" s="840" t="s">
        <v>523</v>
      </c>
      <c r="B78" s="834" t="s">
        <v>204</v>
      </c>
      <c r="C78" s="1063">
        <v>8.6999999999999994E-2</v>
      </c>
      <c r="D78" s="1063">
        <v>8.4000000000000005E-2</v>
      </c>
      <c r="E78" s="1063">
        <v>9.6000000000000002E-2</v>
      </c>
      <c r="F78" s="1064">
        <v>0.1</v>
      </c>
    </row>
    <row r="79" spans="1:6" ht="15" thickBot="1">
      <c r="A79" s="840" t="s">
        <v>523</v>
      </c>
      <c r="B79" s="834" t="s">
        <v>217</v>
      </c>
      <c r="C79" s="1063">
        <v>9.8000000000000004E-2</v>
      </c>
      <c r="D79" s="1063">
        <v>9.8000000000000004E-2</v>
      </c>
      <c r="E79" s="1063">
        <v>9.0999999999999998E-2</v>
      </c>
      <c r="F79" s="1064">
        <v>0.1</v>
      </c>
    </row>
    <row r="80" spans="1:6" ht="15" thickBot="1">
      <c r="A80" s="840" t="s">
        <v>523</v>
      </c>
      <c r="B80" s="834" t="s">
        <v>229</v>
      </c>
      <c r="C80" s="1063">
        <v>9.6000000000000002E-2</v>
      </c>
      <c r="D80" s="1063">
        <v>9.6000000000000002E-2</v>
      </c>
      <c r="E80" s="1063">
        <v>0.1</v>
      </c>
      <c r="F80" s="1064">
        <v>0.1</v>
      </c>
    </row>
    <row r="81" spans="1:6" ht="15" thickBot="1">
      <c r="A81" s="840" t="s">
        <v>523</v>
      </c>
      <c r="B81" s="834" t="s">
        <v>240</v>
      </c>
      <c r="C81" s="1063">
        <v>9.9000000000000005E-2</v>
      </c>
      <c r="D81" s="1063">
        <v>9.9000000000000005E-2</v>
      </c>
      <c r="E81" s="1063">
        <v>9.8000000000000004E-2</v>
      </c>
      <c r="F81" s="1064">
        <v>0.1</v>
      </c>
    </row>
    <row r="82" spans="1:6" ht="15" thickBot="1">
      <c r="A82" s="840" t="s">
        <v>523</v>
      </c>
      <c r="B82" s="834" t="s">
        <v>251</v>
      </c>
      <c r="C82" s="1063">
        <v>9.9000000000000005E-2</v>
      </c>
      <c r="D82" s="1063">
        <v>9.9000000000000005E-2</v>
      </c>
      <c r="E82" s="1063">
        <v>9.7000000000000003E-2</v>
      </c>
      <c r="F82" s="1064">
        <v>0.1</v>
      </c>
    </row>
    <row r="83" spans="1:6" ht="15" thickBot="1">
      <c r="A83" s="840" t="s">
        <v>523</v>
      </c>
      <c r="B83" s="834" t="s">
        <v>262</v>
      </c>
      <c r="C83" s="1063">
        <v>9.8000000000000004E-2</v>
      </c>
      <c r="D83" s="1063">
        <v>9.8000000000000004E-2</v>
      </c>
      <c r="E83" s="1063">
        <v>9.8000000000000004E-2</v>
      </c>
      <c r="F83" s="1064">
        <v>0.1</v>
      </c>
    </row>
    <row r="84" spans="1:6" ht="15" thickBot="1">
      <c r="A84" s="840" t="s">
        <v>523</v>
      </c>
      <c r="B84" s="834" t="s">
        <v>274</v>
      </c>
      <c r="C84" s="1063">
        <v>9.9000000000000005E-2</v>
      </c>
      <c r="D84" s="1063">
        <v>9.9000000000000005E-2</v>
      </c>
      <c r="E84" s="1063">
        <v>9.9000000000000005E-2</v>
      </c>
      <c r="F84" s="1064">
        <v>0.1</v>
      </c>
    </row>
    <row r="85" spans="1:6" ht="15" thickBot="1">
      <c r="A85" s="840" t="s">
        <v>523</v>
      </c>
      <c r="B85" s="834" t="s">
        <v>284</v>
      </c>
      <c r="C85" s="1063">
        <v>9.9000000000000005E-2</v>
      </c>
      <c r="D85" s="1063">
        <v>9.9000000000000005E-2</v>
      </c>
      <c r="E85" s="1063">
        <v>9.9000000000000005E-2</v>
      </c>
      <c r="F85" s="1064">
        <v>0.1</v>
      </c>
    </row>
    <row r="86" spans="1:6" ht="15" thickBot="1">
      <c r="A86" s="840" t="s">
        <v>523</v>
      </c>
      <c r="B86" s="834" t="s">
        <v>294</v>
      </c>
      <c r="C86" s="1063">
        <v>0.1</v>
      </c>
      <c r="D86" s="1063">
        <v>0.1</v>
      </c>
      <c r="E86" s="1063">
        <v>7.6999999999999999E-2</v>
      </c>
      <c r="F86" s="1064">
        <v>0.1</v>
      </c>
    </row>
    <row r="87" spans="1:6" ht="15" thickBot="1">
      <c r="A87" s="840" t="s">
        <v>523</v>
      </c>
      <c r="B87" s="834" t="s">
        <v>304</v>
      </c>
      <c r="C87" s="1063">
        <v>0.1</v>
      </c>
      <c r="D87" s="1063">
        <v>0.1</v>
      </c>
      <c r="E87" s="1063">
        <v>9.8000000000000004E-2</v>
      </c>
      <c r="F87" s="1075"/>
    </row>
    <row r="88" spans="1:6" ht="15" thickBot="1">
      <c r="A88" s="840" t="s">
        <v>523</v>
      </c>
      <c r="B88" s="834" t="s">
        <v>314</v>
      </c>
      <c r="C88" s="1063">
        <v>9.1999999999999998E-2</v>
      </c>
      <c r="D88" s="1063">
        <v>8.5000000000000006E-2</v>
      </c>
      <c r="E88" s="1063">
        <v>9.6000000000000002E-2</v>
      </c>
      <c r="F88" s="1075"/>
    </row>
    <row r="89" spans="1:6" ht="15" thickBot="1">
      <c r="A89" s="840" t="s">
        <v>523</v>
      </c>
      <c r="B89" s="834" t="s">
        <v>325</v>
      </c>
      <c r="C89" s="1063">
        <v>0.1</v>
      </c>
      <c r="D89" s="1063">
        <v>0.1</v>
      </c>
      <c r="E89" s="1063">
        <v>9.7000000000000003E-2</v>
      </c>
      <c r="F89" s="1075"/>
    </row>
    <row r="90" spans="1:6" ht="15" thickBot="1">
      <c r="A90" s="840" t="s">
        <v>523</v>
      </c>
      <c r="B90" s="834" t="s">
        <v>336</v>
      </c>
      <c r="C90" s="1063">
        <v>9.8000000000000004E-2</v>
      </c>
      <c r="D90" s="1063">
        <v>9.8000000000000004E-2</v>
      </c>
      <c r="E90" s="1063">
        <v>8.7999999999999995E-2</v>
      </c>
      <c r="F90" s="1075"/>
    </row>
    <row r="91" spans="1:6" ht="15" thickBot="1">
      <c r="A91" s="840" t="s">
        <v>523</v>
      </c>
      <c r="B91" s="834" t="s">
        <v>346</v>
      </c>
      <c r="C91" s="1063">
        <v>9.9000000000000005E-2</v>
      </c>
      <c r="D91" s="1063">
        <v>9.9000000000000005E-2</v>
      </c>
      <c r="E91" s="1063">
        <v>9.0999999999999998E-2</v>
      </c>
      <c r="F91" s="1075"/>
    </row>
    <row r="92" spans="1:6" ht="15" thickBot="1">
      <c r="A92" s="840" t="s">
        <v>523</v>
      </c>
      <c r="B92" s="834" t="s">
        <v>356</v>
      </c>
      <c r="C92" s="1063">
        <v>9.6000000000000002E-2</v>
      </c>
      <c r="D92" s="1063">
        <v>9.6000000000000002E-2</v>
      </c>
      <c r="E92" s="1063">
        <v>7.2999999999999995E-2</v>
      </c>
      <c r="F92" s="1075"/>
    </row>
    <row r="93" spans="1:6" ht="15" thickBot="1">
      <c r="A93" s="840" t="s">
        <v>523</v>
      </c>
      <c r="B93" s="834" t="s">
        <v>366</v>
      </c>
      <c r="C93" s="1063">
        <v>9.6000000000000002E-2</v>
      </c>
      <c r="D93" s="1063">
        <v>9.6000000000000002E-2</v>
      </c>
      <c r="E93" s="1063">
        <v>9.9000000000000005E-2</v>
      </c>
      <c r="F93" s="1075"/>
    </row>
    <row r="94" spans="1:6" ht="15" thickBot="1">
      <c r="A94" s="840" t="s">
        <v>523</v>
      </c>
      <c r="B94" s="834" t="s">
        <v>376</v>
      </c>
      <c r="C94" s="1063">
        <v>7.5999999999999998E-2</v>
      </c>
      <c r="D94" s="1063">
        <v>7.3999999999999996E-2</v>
      </c>
      <c r="E94" s="1063">
        <v>9.7000000000000003E-2</v>
      </c>
      <c r="F94" s="1075"/>
    </row>
    <row r="95" spans="1:6" ht="15" thickBot="1">
      <c r="A95" s="840" t="s">
        <v>523</v>
      </c>
      <c r="B95" s="834" t="s">
        <v>385</v>
      </c>
      <c r="C95" s="1063">
        <v>9.9000000000000005E-2</v>
      </c>
      <c r="D95" s="1063">
        <v>9.4E-2</v>
      </c>
      <c r="E95" s="1063">
        <v>9.6000000000000002E-2</v>
      </c>
      <c r="F95" s="1075"/>
    </row>
    <row r="96" spans="1:6" ht="15" thickBot="1">
      <c r="A96" s="840" t="s">
        <v>523</v>
      </c>
      <c r="B96" s="834" t="s">
        <v>394</v>
      </c>
      <c r="C96" s="1063">
        <v>9.9000000000000005E-2</v>
      </c>
      <c r="D96" s="1063">
        <v>9.9000000000000005E-2</v>
      </c>
      <c r="E96" s="1063">
        <v>9.9000000000000005E-2</v>
      </c>
      <c r="F96" s="1075"/>
    </row>
    <row r="97" spans="1:6" ht="15" thickBot="1">
      <c r="A97" s="840" t="s">
        <v>523</v>
      </c>
      <c r="B97" s="834" t="s">
        <v>402</v>
      </c>
      <c r="C97" s="1063">
        <v>9.8000000000000004E-2</v>
      </c>
      <c r="D97" s="1063">
        <v>9.8000000000000004E-2</v>
      </c>
      <c r="E97" s="1063">
        <v>9.7000000000000003E-2</v>
      </c>
      <c r="F97" s="1075"/>
    </row>
    <row r="98" spans="1:6" ht="15" thickBot="1">
      <c r="A98" s="840" t="s">
        <v>523</v>
      </c>
      <c r="B98" s="834" t="s">
        <v>409</v>
      </c>
      <c r="C98" s="1063">
        <v>0.1</v>
      </c>
      <c r="D98" s="1063">
        <v>0.1</v>
      </c>
      <c r="E98" s="1063">
        <v>9.7000000000000003E-2</v>
      </c>
      <c r="F98" s="1075"/>
    </row>
    <row r="99" spans="1:6" ht="15" thickBot="1">
      <c r="A99" s="840" t="s">
        <v>523</v>
      </c>
      <c r="B99" s="834" t="s">
        <v>416</v>
      </c>
      <c r="C99" s="1063">
        <v>0.1</v>
      </c>
      <c r="D99" s="1063">
        <v>0.1</v>
      </c>
      <c r="E99" s="1076"/>
      <c r="F99" s="1075"/>
    </row>
    <row r="100" spans="1:6" ht="15" thickBot="1">
      <c r="A100" s="840" t="s">
        <v>523</v>
      </c>
      <c r="B100" s="834" t="s">
        <v>423</v>
      </c>
      <c r="C100" s="1063">
        <v>0.09</v>
      </c>
      <c r="D100" s="1063">
        <v>8.8999999999999996E-2</v>
      </c>
      <c r="E100" s="1076"/>
      <c r="F100" s="1075"/>
    </row>
    <row r="101" spans="1:6" ht="15" thickBot="1">
      <c r="A101" s="840" t="s">
        <v>523</v>
      </c>
      <c r="B101" s="834" t="s">
        <v>430</v>
      </c>
      <c r="C101" s="1063">
        <v>9.8000000000000004E-2</v>
      </c>
      <c r="D101" s="1063">
        <v>9.7000000000000003E-2</v>
      </c>
      <c r="E101" s="1076"/>
      <c r="F101" s="1075"/>
    </row>
    <row r="102" spans="1:6" ht="24.6" thickBot="1">
      <c r="A102" s="840" t="s">
        <v>523</v>
      </c>
      <c r="B102" s="834" t="s">
        <v>887</v>
      </c>
      <c r="C102" s="1076"/>
      <c r="D102" s="1076"/>
      <c r="E102" s="1076"/>
      <c r="F102" s="1064">
        <v>0.05</v>
      </c>
    </row>
    <row r="103" spans="1:6" ht="24.6" thickBot="1">
      <c r="A103" s="840" t="s">
        <v>523</v>
      </c>
      <c r="B103" s="834" t="s">
        <v>888</v>
      </c>
      <c r="C103" s="1076"/>
      <c r="D103" s="1076"/>
      <c r="E103" s="1076"/>
      <c r="F103" s="1064">
        <v>0.05</v>
      </c>
    </row>
    <row r="104" spans="1:6" ht="15" thickBot="1">
      <c r="A104" s="840" t="s">
        <v>523</v>
      </c>
      <c r="B104" s="834" t="s">
        <v>889</v>
      </c>
      <c r="C104" s="1076"/>
      <c r="D104" s="1076"/>
      <c r="E104" s="1076"/>
      <c r="F104" s="1064">
        <v>0.05</v>
      </c>
    </row>
    <row r="105" spans="1:6" ht="24.6" thickBot="1">
      <c r="A105" s="840" t="s">
        <v>523</v>
      </c>
      <c r="B105" s="834" t="s">
        <v>890</v>
      </c>
      <c r="C105" s="1076"/>
      <c r="D105" s="1076"/>
      <c r="E105" s="1076"/>
      <c r="F105" s="1064">
        <v>0.05</v>
      </c>
    </row>
    <row r="106" spans="1:6" ht="24.6" thickBot="1">
      <c r="A106" s="840" t="s">
        <v>523</v>
      </c>
      <c r="B106" s="834" t="s">
        <v>891</v>
      </c>
      <c r="C106" s="1076"/>
      <c r="D106" s="1076"/>
      <c r="E106" s="1076"/>
      <c r="F106" s="1064">
        <v>0.05</v>
      </c>
    </row>
    <row r="107" spans="1:6" ht="24.6" thickBot="1">
      <c r="A107" s="840" t="s">
        <v>523</v>
      </c>
      <c r="B107" s="834" t="s">
        <v>892</v>
      </c>
      <c r="C107" s="1076"/>
      <c r="D107" s="1076"/>
      <c r="E107" s="1076"/>
      <c r="F107" s="1064">
        <v>0.05</v>
      </c>
    </row>
    <row r="108" spans="1:6" ht="24.6" thickBot="1">
      <c r="A108" s="840" t="s">
        <v>523</v>
      </c>
      <c r="B108" s="834" t="s">
        <v>893</v>
      </c>
      <c r="C108" s="1076"/>
      <c r="D108" s="1076"/>
      <c r="E108" s="1076"/>
      <c r="F108" s="1064">
        <v>0.05</v>
      </c>
    </row>
    <row r="109" spans="1:6" ht="24.6" thickBot="1">
      <c r="A109" s="850" t="s">
        <v>523</v>
      </c>
      <c r="B109" s="846" t="s">
        <v>894</v>
      </c>
      <c r="C109" s="1073"/>
      <c r="D109" s="1073"/>
      <c r="E109" s="1073"/>
      <c r="F109" s="1066">
        <v>0.05</v>
      </c>
    </row>
    <row r="110" spans="1:6" ht="15" thickBot="1">
      <c r="A110" s="840" t="s">
        <v>56</v>
      </c>
      <c r="B110" s="841" t="s">
        <v>895</v>
      </c>
      <c r="C110" s="1061">
        <v>0.129</v>
      </c>
      <c r="D110" s="1061">
        <v>0.129</v>
      </c>
      <c r="E110" s="1061">
        <v>0.126</v>
      </c>
      <c r="F110" s="1062">
        <v>0.13</v>
      </c>
    </row>
    <row r="111" spans="1:6" ht="15" thickBot="1">
      <c r="A111" s="840" t="s">
        <v>56</v>
      </c>
      <c r="B111" s="834" t="s">
        <v>192</v>
      </c>
      <c r="C111" s="1063">
        <v>0.11</v>
      </c>
      <c r="D111" s="1063">
        <v>0.11</v>
      </c>
      <c r="E111" s="1063">
        <v>9.9000000000000005E-2</v>
      </c>
      <c r="F111" s="1064">
        <v>0.128</v>
      </c>
    </row>
    <row r="112" spans="1:6" ht="15" thickBot="1">
      <c r="A112" s="840" t="s">
        <v>56</v>
      </c>
      <c r="B112" s="834" t="s">
        <v>205</v>
      </c>
      <c r="C112" s="1063">
        <v>0.125</v>
      </c>
      <c r="D112" s="1063">
        <v>0.125</v>
      </c>
      <c r="E112" s="1063">
        <v>0.12</v>
      </c>
      <c r="F112" s="1064">
        <v>0.125</v>
      </c>
    </row>
    <row r="113" spans="1:6" ht="15" thickBot="1">
      <c r="A113" s="840" t="s">
        <v>56</v>
      </c>
      <c r="B113" s="834" t="s">
        <v>218</v>
      </c>
      <c r="C113" s="1063">
        <v>0.13</v>
      </c>
      <c r="D113" s="1063">
        <v>0.13</v>
      </c>
      <c r="E113" s="1063">
        <v>0.13</v>
      </c>
      <c r="F113" s="1064">
        <v>0.13</v>
      </c>
    </row>
    <row r="114" spans="1:6" ht="15" thickBot="1">
      <c r="A114" s="840" t="s">
        <v>56</v>
      </c>
      <c r="B114" s="834" t="s">
        <v>230</v>
      </c>
      <c r="C114" s="1063">
        <v>0.123</v>
      </c>
      <c r="D114" s="1063">
        <v>0.123</v>
      </c>
      <c r="E114" s="1063">
        <v>0.12</v>
      </c>
      <c r="F114" s="1064">
        <v>0.13</v>
      </c>
    </row>
    <row r="115" spans="1:6" ht="15" thickBot="1">
      <c r="A115" s="840" t="s">
        <v>56</v>
      </c>
      <c r="B115" s="834" t="s">
        <v>241</v>
      </c>
      <c r="C115" s="1063">
        <v>0.125</v>
      </c>
      <c r="D115" s="1063">
        <v>0.125</v>
      </c>
      <c r="E115" s="1063">
        <v>0.11700000000000001</v>
      </c>
      <c r="F115" s="1064">
        <v>0.13</v>
      </c>
    </row>
    <row r="116" spans="1:6" ht="15" thickBot="1">
      <c r="A116" s="840" t="s">
        <v>56</v>
      </c>
      <c r="B116" s="834" t="s">
        <v>252</v>
      </c>
      <c r="C116" s="1063">
        <v>0.11700000000000001</v>
      </c>
      <c r="D116" s="1063">
        <v>0.11700000000000001</v>
      </c>
      <c r="E116" s="1063">
        <v>8.7999999999999995E-2</v>
      </c>
      <c r="F116" s="1064">
        <v>0.13</v>
      </c>
    </row>
    <row r="117" spans="1:6" ht="15" thickBot="1">
      <c r="A117" s="840" t="s">
        <v>56</v>
      </c>
      <c r="B117" s="834" t="s">
        <v>263</v>
      </c>
      <c r="C117" s="1063">
        <v>0.13</v>
      </c>
      <c r="D117" s="1063">
        <v>0.13</v>
      </c>
      <c r="E117" s="1063">
        <v>0.129</v>
      </c>
      <c r="F117" s="1064">
        <v>0.13</v>
      </c>
    </row>
    <row r="118" spans="1:6" ht="15" thickBot="1">
      <c r="A118" s="840" t="s">
        <v>56</v>
      </c>
      <c r="B118" s="834" t="s">
        <v>275</v>
      </c>
      <c r="C118" s="1063">
        <v>0.123</v>
      </c>
      <c r="D118" s="1063">
        <v>0.123</v>
      </c>
      <c r="E118" s="1063">
        <v>0.11600000000000001</v>
      </c>
      <c r="F118" s="1064">
        <v>0.13</v>
      </c>
    </row>
    <row r="119" spans="1:6" ht="15" thickBot="1">
      <c r="A119" s="840" t="s">
        <v>56</v>
      </c>
      <c r="B119" s="834" t="s">
        <v>285</v>
      </c>
      <c r="C119" s="1063">
        <v>0.127</v>
      </c>
      <c r="D119" s="1063">
        <v>0.127</v>
      </c>
      <c r="E119" s="1063">
        <v>0.124</v>
      </c>
      <c r="F119" s="1064">
        <v>0.13</v>
      </c>
    </row>
    <row r="120" spans="1:6" ht="15" thickBot="1">
      <c r="A120" s="840" t="s">
        <v>56</v>
      </c>
      <c r="B120" s="834" t="s">
        <v>295</v>
      </c>
      <c r="C120" s="1063">
        <v>0.125</v>
      </c>
      <c r="D120" s="1063">
        <v>0.125</v>
      </c>
      <c r="E120" s="1063">
        <v>0.122</v>
      </c>
      <c r="F120" s="1064">
        <v>0.13</v>
      </c>
    </row>
    <row r="121" spans="1:6" ht="15" thickBot="1">
      <c r="A121" s="840" t="s">
        <v>56</v>
      </c>
      <c r="B121" s="834" t="s">
        <v>305</v>
      </c>
      <c r="C121" s="1063">
        <v>0.13</v>
      </c>
      <c r="D121" s="1063">
        <v>0.13</v>
      </c>
      <c r="E121" s="1063">
        <v>0.13</v>
      </c>
      <c r="F121" s="1064">
        <v>0.13</v>
      </c>
    </row>
    <row r="122" spans="1:6" ht="15" thickBot="1">
      <c r="A122" s="840" t="s">
        <v>56</v>
      </c>
      <c r="B122" s="834" t="s">
        <v>315</v>
      </c>
      <c r="C122" s="1063">
        <v>0.13</v>
      </c>
      <c r="D122" s="1063">
        <v>0.13</v>
      </c>
      <c r="E122" s="1063">
        <v>0.125</v>
      </c>
      <c r="F122" s="1064">
        <v>0.13</v>
      </c>
    </row>
    <row r="123" spans="1:6" ht="15" thickBot="1">
      <c r="A123" s="840" t="s">
        <v>56</v>
      </c>
      <c r="B123" s="834" t="s">
        <v>326</v>
      </c>
      <c r="C123" s="1063">
        <v>0.129</v>
      </c>
      <c r="D123" s="1063">
        <v>0.129</v>
      </c>
      <c r="E123" s="1063">
        <v>0.123</v>
      </c>
      <c r="F123" s="1064">
        <v>0.13</v>
      </c>
    </row>
    <row r="124" spans="1:6" ht="15" thickBot="1">
      <c r="A124" s="840" t="s">
        <v>56</v>
      </c>
      <c r="B124" s="834" t="s">
        <v>337</v>
      </c>
      <c r="C124" s="1063">
        <v>0.10199999999999999</v>
      </c>
      <c r="D124" s="1063">
        <v>0.10100000000000001</v>
      </c>
      <c r="E124" s="1063">
        <v>0.08</v>
      </c>
      <c r="F124" s="1075"/>
    </row>
    <row r="125" spans="1:6" ht="15" thickBot="1">
      <c r="A125" s="840" t="s">
        <v>56</v>
      </c>
      <c r="B125" s="834" t="s">
        <v>347</v>
      </c>
      <c r="C125" s="1063">
        <v>0.13</v>
      </c>
      <c r="D125" s="1063">
        <v>0.13</v>
      </c>
      <c r="E125" s="1063">
        <v>0.129</v>
      </c>
      <c r="F125" s="1075"/>
    </row>
    <row r="126" spans="1:6" ht="15" thickBot="1">
      <c r="A126" s="840" t="s">
        <v>56</v>
      </c>
      <c r="B126" s="834" t="s">
        <v>357</v>
      </c>
      <c r="C126" s="1063">
        <v>0.13</v>
      </c>
      <c r="D126" s="1063">
        <v>0.13</v>
      </c>
      <c r="E126" s="1063">
        <v>0.126</v>
      </c>
      <c r="F126" s="1075"/>
    </row>
    <row r="127" spans="1:6" ht="15" thickBot="1">
      <c r="A127" s="840" t="s">
        <v>56</v>
      </c>
      <c r="B127" s="834" t="s">
        <v>367</v>
      </c>
      <c r="C127" s="1063">
        <v>0.125</v>
      </c>
      <c r="D127" s="1063">
        <v>0.125</v>
      </c>
      <c r="E127" s="1063">
        <v>0.121</v>
      </c>
      <c r="F127" s="1075"/>
    </row>
    <row r="128" spans="1:6" ht="15" thickBot="1">
      <c r="A128" s="840" t="s">
        <v>56</v>
      </c>
      <c r="B128" s="834" t="s">
        <v>377</v>
      </c>
      <c r="C128" s="1063">
        <v>0.12</v>
      </c>
      <c r="D128" s="1063">
        <v>0.12</v>
      </c>
      <c r="E128" s="1063">
        <v>0.105</v>
      </c>
      <c r="F128" s="1075"/>
    </row>
    <row r="129" spans="1:6" ht="15" thickBot="1">
      <c r="A129" s="840" t="s">
        <v>56</v>
      </c>
      <c r="B129" s="834" t="s">
        <v>386</v>
      </c>
      <c r="C129" s="1063">
        <v>0.13</v>
      </c>
      <c r="D129" s="1063">
        <v>0.13</v>
      </c>
      <c r="E129" s="1063">
        <v>0.126</v>
      </c>
      <c r="F129" s="1075"/>
    </row>
    <row r="130" spans="1:6" ht="15" thickBot="1">
      <c r="A130" s="840" t="s">
        <v>56</v>
      </c>
      <c r="B130" s="834" t="s">
        <v>395</v>
      </c>
      <c r="C130" s="1063">
        <v>0.125</v>
      </c>
      <c r="D130" s="1063">
        <v>0.125</v>
      </c>
      <c r="E130" s="1063">
        <v>0.122</v>
      </c>
      <c r="F130" s="1075"/>
    </row>
    <row r="131" spans="1:6" ht="15" thickBot="1">
      <c r="A131" s="840" t="s">
        <v>56</v>
      </c>
      <c r="B131" s="834" t="s">
        <v>403</v>
      </c>
      <c r="C131" s="1063">
        <v>0.127</v>
      </c>
      <c r="D131" s="1063">
        <v>0.126</v>
      </c>
      <c r="E131" s="1063">
        <v>0.123</v>
      </c>
      <c r="F131" s="1075"/>
    </row>
    <row r="132" spans="1:6" ht="15" thickBot="1">
      <c r="A132" s="840" t="s">
        <v>56</v>
      </c>
      <c r="B132" s="834" t="s">
        <v>410</v>
      </c>
      <c r="C132" s="1063">
        <v>9.0999999999999998E-2</v>
      </c>
      <c r="D132" s="1063">
        <v>0.121</v>
      </c>
      <c r="E132" s="1063">
        <v>9.9000000000000005E-2</v>
      </c>
      <c r="F132" s="1075"/>
    </row>
    <row r="133" spans="1:6" ht="15" thickBot="1">
      <c r="A133" s="840" t="s">
        <v>56</v>
      </c>
      <c r="B133" s="834" t="s">
        <v>417</v>
      </c>
      <c r="C133" s="1063">
        <v>0.13</v>
      </c>
      <c r="D133" s="1063">
        <v>0.13</v>
      </c>
      <c r="E133" s="1063">
        <v>0.129</v>
      </c>
      <c r="F133" s="1075"/>
    </row>
    <row r="134" spans="1:6" ht="15" thickBot="1">
      <c r="A134" s="840" t="s">
        <v>56</v>
      </c>
      <c r="B134" s="834" t="s">
        <v>896</v>
      </c>
      <c r="C134" s="1063">
        <v>6.8000000000000005E-2</v>
      </c>
      <c r="D134" s="1063">
        <v>6.5000000000000002E-2</v>
      </c>
      <c r="E134" s="1063">
        <v>6.5000000000000002E-2</v>
      </c>
      <c r="F134" s="1064">
        <v>0.13</v>
      </c>
    </row>
    <row r="135" spans="1:6" ht="15" thickBot="1">
      <c r="A135" s="840" t="s">
        <v>56</v>
      </c>
      <c r="B135" s="834" t="s">
        <v>431</v>
      </c>
      <c r="C135" s="1063">
        <v>0.123</v>
      </c>
      <c r="D135" s="1063">
        <v>0.123</v>
      </c>
      <c r="E135" s="1063">
        <v>0.11</v>
      </c>
      <c r="F135" s="1075"/>
    </row>
    <row r="136" spans="1:6" ht="15" thickBot="1">
      <c r="A136" s="840" t="s">
        <v>56</v>
      </c>
      <c r="B136" s="834" t="s">
        <v>438</v>
      </c>
      <c r="C136" s="1063">
        <v>0.13</v>
      </c>
      <c r="D136" s="1063">
        <v>0.13</v>
      </c>
      <c r="E136" s="1063">
        <v>0.125</v>
      </c>
      <c r="F136" s="1075"/>
    </row>
    <row r="137" spans="1:6" ht="15" thickBot="1">
      <c r="A137" s="840" t="s">
        <v>56</v>
      </c>
      <c r="B137" s="834" t="s">
        <v>445</v>
      </c>
      <c r="C137" s="1063">
        <v>0.121</v>
      </c>
      <c r="D137" s="1063">
        <v>0.122</v>
      </c>
      <c r="E137" s="1063">
        <v>0.115</v>
      </c>
      <c r="F137" s="1075"/>
    </row>
    <row r="138" spans="1:6" ht="15" thickBot="1">
      <c r="A138" s="840" t="s">
        <v>56</v>
      </c>
      <c r="B138" s="834" t="s">
        <v>897</v>
      </c>
      <c r="C138" s="1063">
        <v>0.105</v>
      </c>
      <c r="D138" s="1063">
        <v>0.125</v>
      </c>
      <c r="E138" s="1063">
        <v>0.112</v>
      </c>
      <c r="F138" s="1075"/>
    </row>
    <row r="139" spans="1:6" ht="15" thickBot="1">
      <c r="A139" s="840" t="s">
        <v>56</v>
      </c>
      <c r="B139" s="834" t="s">
        <v>898</v>
      </c>
      <c r="C139" s="1063">
        <v>0.127</v>
      </c>
      <c r="D139" s="1063">
        <v>0.127</v>
      </c>
      <c r="E139" s="1063">
        <v>0.122</v>
      </c>
      <c r="F139" s="1064">
        <v>0.13</v>
      </c>
    </row>
    <row r="140" spans="1:6" ht="15" thickBot="1">
      <c r="A140" s="840" t="s">
        <v>56</v>
      </c>
      <c r="B140" s="834" t="s">
        <v>899</v>
      </c>
      <c r="C140" s="1063">
        <v>0.125</v>
      </c>
      <c r="D140" s="1063">
        <v>0.125</v>
      </c>
      <c r="E140" s="1063">
        <v>0.11899999999999999</v>
      </c>
      <c r="F140" s="1064">
        <v>0.13</v>
      </c>
    </row>
    <row r="141" spans="1:6" ht="15" thickBot="1">
      <c r="A141" s="840" t="s">
        <v>56</v>
      </c>
      <c r="B141" s="834" t="s">
        <v>464</v>
      </c>
      <c r="C141" s="1063">
        <v>0.125</v>
      </c>
      <c r="D141" s="1063">
        <v>0.125</v>
      </c>
      <c r="E141" s="1063">
        <v>0.11700000000000001</v>
      </c>
      <c r="F141" s="1075"/>
    </row>
    <row r="142" spans="1:6" ht="15" thickBot="1">
      <c r="A142" s="840" t="s">
        <v>56</v>
      </c>
      <c r="B142" s="834" t="s">
        <v>469</v>
      </c>
      <c r="C142" s="1063">
        <v>0.125</v>
      </c>
      <c r="D142" s="1063">
        <v>0.125</v>
      </c>
      <c r="E142" s="1063">
        <v>0.115</v>
      </c>
      <c r="F142" s="1075"/>
    </row>
    <row r="143" spans="1:6" ht="15" thickBot="1">
      <c r="A143" s="840" t="s">
        <v>56</v>
      </c>
      <c r="B143" s="834" t="s">
        <v>474</v>
      </c>
      <c r="C143" s="1063">
        <v>0.121</v>
      </c>
      <c r="D143" s="1063">
        <v>0.121</v>
      </c>
      <c r="E143" s="1063">
        <v>0.108</v>
      </c>
      <c r="F143" s="1075"/>
    </row>
    <row r="144" spans="1:6" ht="15" thickBot="1">
      <c r="A144" s="840" t="s">
        <v>56</v>
      </c>
      <c r="B144" s="1067" t="s">
        <v>900</v>
      </c>
      <c r="C144" s="1068">
        <v>0.126</v>
      </c>
      <c r="D144" s="1068">
        <v>0.126</v>
      </c>
      <c r="E144" s="1068">
        <v>0.121</v>
      </c>
      <c r="F144" s="1075"/>
    </row>
    <row r="145" spans="1:6" ht="15" thickBot="1">
      <c r="A145" s="850" t="s">
        <v>56</v>
      </c>
      <c r="B145" s="1069" t="s">
        <v>901</v>
      </c>
      <c r="C145" s="1077"/>
      <c r="D145" s="1077"/>
      <c r="E145" s="1077"/>
      <c r="F145" s="1070">
        <v>0.05</v>
      </c>
    </row>
    <row r="146" spans="1:6" ht="24.6" thickBot="1">
      <c r="A146" s="1071" t="s">
        <v>56</v>
      </c>
      <c r="B146" s="844" t="s">
        <v>902</v>
      </c>
      <c r="C146" s="1076"/>
      <c r="D146" s="1076"/>
      <c r="E146" s="1076"/>
      <c r="F146" s="1072">
        <v>0.05</v>
      </c>
    </row>
    <row r="147" spans="1:6" ht="24.6" thickBot="1">
      <c r="A147" s="840" t="s">
        <v>56</v>
      </c>
      <c r="B147" s="834" t="s">
        <v>903</v>
      </c>
      <c r="C147" s="1076"/>
      <c r="D147" s="1076"/>
      <c r="E147" s="1076"/>
      <c r="F147" s="1064">
        <v>0.05</v>
      </c>
    </row>
    <row r="148" spans="1:6" ht="24.6" thickBot="1">
      <c r="A148" s="840" t="s">
        <v>56</v>
      </c>
      <c r="B148" s="834" t="s">
        <v>904</v>
      </c>
      <c r="C148" s="1076"/>
      <c r="D148" s="1076"/>
      <c r="E148" s="1076"/>
      <c r="F148" s="1064">
        <v>0.05</v>
      </c>
    </row>
    <row r="149" spans="1:6" ht="24.6" thickBot="1">
      <c r="A149" s="840" t="s">
        <v>56</v>
      </c>
      <c r="B149" s="834" t="s">
        <v>905</v>
      </c>
      <c r="C149" s="1076"/>
      <c r="D149" s="1076"/>
      <c r="E149" s="1076"/>
      <c r="F149" s="1064">
        <v>0.05</v>
      </c>
    </row>
    <row r="150" spans="1:6" ht="24.6" thickBot="1">
      <c r="A150" s="840" t="s">
        <v>56</v>
      </c>
      <c r="B150" s="834" t="s">
        <v>906</v>
      </c>
      <c r="C150" s="1076"/>
      <c r="D150" s="1076"/>
      <c r="E150" s="1076"/>
      <c r="F150" s="1064">
        <v>0.05</v>
      </c>
    </row>
    <row r="151" spans="1:6" ht="24.6" thickBot="1">
      <c r="A151" s="840" t="s">
        <v>56</v>
      </c>
      <c r="B151" s="834" t="s">
        <v>907</v>
      </c>
      <c r="C151" s="1076"/>
      <c r="D151" s="1076"/>
      <c r="E151" s="1076"/>
      <c r="F151" s="1064">
        <v>0.05</v>
      </c>
    </row>
    <row r="152" spans="1:6" ht="24.6" thickBot="1">
      <c r="A152" s="840" t="s">
        <v>56</v>
      </c>
      <c r="B152" s="834" t="s">
        <v>507</v>
      </c>
      <c r="C152" s="1076"/>
      <c r="D152" s="1076"/>
      <c r="E152" s="1076"/>
      <c r="F152" s="1064">
        <v>0.05</v>
      </c>
    </row>
    <row r="153" spans="1:6" ht="15" thickBot="1">
      <c r="A153" s="840" t="s">
        <v>56</v>
      </c>
      <c r="B153" s="834" t="s">
        <v>908</v>
      </c>
      <c r="C153" s="1076"/>
      <c r="D153" s="1076"/>
      <c r="E153" s="1076"/>
      <c r="F153" s="1064">
        <v>0.05</v>
      </c>
    </row>
    <row r="154" spans="1:6" ht="15" thickBot="1">
      <c r="A154" s="840" t="s">
        <v>56</v>
      </c>
      <c r="B154" s="834" t="s">
        <v>909</v>
      </c>
      <c r="C154" s="1076"/>
      <c r="D154" s="1076"/>
      <c r="E154" s="1076"/>
      <c r="F154" s="1064">
        <v>0.05</v>
      </c>
    </row>
    <row r="155" spans="1:6" ht="24.6" thickBot="1">
      <c r="A155" s="840" t="s">
        <v>56</v>
      </c>
      <c r="B155" s="834" t="s">
        <v>910</v>
      </c>
      <c r="C155" s="1076"/>
      <c r="D155" s="1076"/>
      <c r="E155" s="1076"/>
      <c r="F155" s="1064">
        <v>0.05</v>
      </c>
    </row>
    <row r="156" spans="1:6" ht="24.6" thickBot="1">
      <c r="A156" s="840" t="s">
        <v>56</v>
      </c>
      <c r="B156" s="834" t="s">
        <v>911</v>
      </c>
      <c r="C156" s="1076"/>
      <c r="D156" s="1076"/>
      <c r="E156" s="1076"/>
      <c r="F156" s="1064">
        <v>0.05</v>
      </c>
    </row>
    <row r="157" spans="1:6" ht="24.6" thickBot="1">
      <c r="A157" s="850" t="s">
        <v>56</v>
      </c>
      <c r="B157" s="846" t="s">
        <v>912</v>
      </c>
      <c r="C157" s="1073"/>
      <c r="D157" s="1073"/>
      <c r="E157" s="1073"/>
      <c r="F157" s="1066">
        <v>0.05</v>
      </c>
    </row>
    <row r="158" spans="1:6" ht="15" thickBot="1">
      <c r="A158" s="840" t="s">
        <v>526</v>
      </c>
      <c r="B158" s="841" t="s">
        <v>913</v>
      </c>
      <c r="C158" s="1061">
        <v>0.13</v>
      </c>
      <c r="D158" s="1061">
        <v>0.13</v>
      </c>
      <c r="E158" s="1061">
        <v>0.13</v>
      </c>
      <c r="F158" s="1062">
        <v>0.13</v>
      </c>
    </row>
    <row r="159" spans="1:6" ht="15" thickBot="1">
      <c r="A159" s="840" t="s">
        <v>526</v>
      </c>
      <c r="B159" s="834" t="s">
        <v>193</v>
      </c>
      <c r="C159" s="1063">
        <v>0.13</v>
      </c>
      <c r="D159" s="1063">
        <v>0.13</v>
      </c>
      <c r="E159" s="1063">
        <v>0.13</v>
      </c>
      <c r="F159" s="1064">
        <v>0.13</v>
      </c>
    </row>
    <row r="160" spans="1:6" ht="15" thickBot="1">
      <c r="A160" s="840" t="s">
        <v>526</v>
      </c>
      <c r="B160" s="834" t="s">
        <v>206</v>
      </c>
      <c r="C160" s="1063">
        <v>0.13</v>
      </c>
      <c r="D160" s="1063">
        <v>0.13</v>
      </c>
      <c r="E160" s="1063">
        <v>0.129</v>
      </c>
      <c r="F160" s="1064">
        <v>0.13</v>
      </c>
    </row>
    <row r="161" spans="1:6" ht="15" thickBot="1">
      <c r="A161" s="840" t="s">
        <v>526</v>
      </c>
      <c r="B161" s="834" t="s">
        <v>219</v>
      </c>
      <c r="C161" s="1063">
        <v>0.128</v>
      </c>
      <c r="D161" s="1063">
        <v>0.128</v>
      </c>
      <c r="E161" s="1063">
        <v>0.125</v>
      </c>
      <c r="F161" s="1064">
        <v>0.13</v>
      </c>
    </row>
    <row r="162" spans="1:6" ht="15" thickBot="1">
      <c r="A162" s="840" t="s">
        <v>526</v>
      </c>
      <c r="B162" s="834" t="s">
        <v>231</v>
      </c>
      <c r="C162" s="1063">
        <v>0.122</v>
      </c>
      <c r="D162" s="1063">
        <v>0.122</v>
      </c>
      <c r="E162" s="1063">
        <v>0.126</v>
      </c>
      <c r="F162" s="1064">
        <v>0.122</v>
      </c>
    </row>
    <row r="163" spans="1:6" ht="15" thickBot="1">
      <c r="A163" s="840" t="s">
        <v>526</v>
      </c>
      <c r="B163" s="834" t="s">
        <v>242</v>
      </c>
      <c r="C163" s="1063">
        <v>0.13</v>
      </c>
      <c r="D163" s="1063">
        <v>0.13</v>
      </c>
      <c r="E163" s="1063">
        <v>0.125</v>
      </c>
      <c r="F163" s="1064">
        <v>0.13</v>
      </c>
    </row>
    <row r="164" spans="1:6" ht="15" thickBot="1">
      <c r="A164" s="840" t="s">
        <v>526</v>
      </c>
      <c r="B164" s="834" t="s">
        <v>253</v>
      </c>
      <c r="C164" s="1063">
        <v>0.13</v>
      </c>
      <c r="D164" s="1063">
        <v>0.13</v>
      </c>
      <c r="E164" s="1063">
        <v>0.13</v>
      </c>
      <c r="F164" s="1064">
        <v>0.13</v>
      </c>
    </row>
    <row r="165" spans="1:6" ht="15" thickBot="1">
      <c r="A165" s="840" t="s">
        <v>526</v>
      </c>
      <c r="B165" s="834" t="s">
        <v>264</v>
      </c>
      <c r="C165" s="1063">
        <v>0.13</v>
      </c>
      <c r="D165" s="1063">
        <v>0.13</v>
      </c>
      <c r="E165" s="1063">
        <v>0.124</v>
      </c>
      <c r="F165" s="1064">
        <v>0.13</v>
      </c>
    </row>
    <row r="166" spans="1:6" ht="15" thickBot="1">
      <c r="A166" s="840" t="s">
        <v>526</v>
      </c>
      <c r="B166" s="834" t="s">
        <v>276</v>
      </c>
      <c r="C166" s="1063">
        <v>0.13</v>
      </c>
      <c r="D166" s="1063">
        <v>0.13</v>
      </c>
      <c r="E166" s="1063">
        <v>0.13</v>
      </c>
      <c r="F166" s="1064">
        <v>0.13</v>
      </c>
    </row>
    <row r="167" spans="1:6" ht="15" thickBot="1">
      <c r="A167" s="840" t="s">
        <v>526</v>
      </c>
      <c r="B167" s="834" t="s">
        <v>286</v>
      </c>
      <c r="C167" s="1063">
        <v>0.125</v>
      </c>
      <c r="D167" s="1063">
        <v>0.125</v>
      </c>
      <c r="E167" s="1063">
        <v>0.121</v>
      </c>
      <c r="F167" s="1075"/>
    </row>
    <row r="168" spans="1:6" ht="15" thickBot="1">
      <c r="A168" s="840" t="s">
        <v>526</v>
      </c>
      <c r="B168" s="834" t="s">
        <v>296</v>
      </c>
      <c r="C168" s="1063">
        <v>0.13</v>
      </c>
      <c r="D168" s="1063">
        <v>0.13</v>
      </c>
      <c r="E168" s="1063">
        <v>0.126</v>
      </c>
      <c r="F168" s="1075"/>
    </row>
    <row r="169" spans="1:6" ht="15" thickBot="1">
      <c r="A169" s="840" t="s">
        <v>526</v>
      </c>
      <c r="B169" s="834" t="s">
        <v>306</v>
      </c>
      <c r="C169" s="1063">
        <v>0.128</v>
      </c>
      <c r="D169" s="1063">
        <v>0.129</v>
      </c>
      <c r="E169" s="1063">
        <v>0.13</v>
      </c>
      <c r="F169" s="1075"/>
    </row>
    <row r="170" spans="1:6" ht="15" thickBot="1">
      <c r="A170" s="840" t="s">
        <v>526</v>
      </c>
      <c r="B170" s="834" t="s">
        <v>316</v>
      </c>
      <c r="C170" s="1063">
        <v>0.14099999999999999</v>
      </c>
      <c r="D170" s="1063">
        <v>0.13</v>
      </c>
      <c r="E170" s="1063">
        <v>0.125</v>
      </c>
      <c r="F170" s="1075"/>
    </row>
    <row r="171" spans="1:6" ht="15" thickBot="1">
      <c r="A171" s="840" t="s">
        <v>526</v>
      </c>
      <c r="B171" s="834" t="s">
        <v>914</v>
      </c>
      <c r="C171" s="1063">
        <v>0.127</v>
      </c>
      <c r="D171" s="1063">
        <v>0.126</v>
      </c>
      <c r="E171" s="1063">
        <v>0.126</v>
      </c>
      <c r="F171" s="1064">
        <v>0.11799999999999999</v>
      </c>
    </row>
    <row r="172" spans="1:6" ht="15" thickBot="1">
      <c r="A172" s="840" t="s">
        <v>526</v>
      </c>
      <c r="B172" s="834" t="s">
        <v>915</v>
      </c>
      <c r="C172" s="1063">
        <v>0.13</v>
      </c>
      <c r="D172" s="1063">
        <v>0.13</v>
      </c>
      <c r="E172" s="1063">
        <v>0.13</v>
      </c>
      <c r="F172" s="1075"/>
    </row>
    <row r="173" spans="1:6" ht="15" thickBot="1">
      <c r="A173" s="840" t="s">
        <v>526</v>
      </c>
      <c r="B173" s="834" t="s">
        <v>348</v>
      </c>
      <c r="C173" s="1063">
        <v>0.13</v>
      </c>
      <c r="D173" s="1063">
        <v>0.13</v>
      </c>
      <c r="E173" s="1063">
        <v>0.13</v>
      </c>
      <c r="F173" s="1075"/>
    </row>
    <row r="174" spans="1:6" ht="15" thickBot="1">
      <c r="A174" s="840" t="s">
        <v>526</v>
      </c>
      <c r="B174" s="834" t="s">
        <v>916</v>
      </c>
      <c r="C174" s="1063">
        <v>0.13</v>
      </c>
      <c r="D174" s="1063">
        <v>0.13</v>
      </c>
      <c r="E174" s="1063">
        <v>0.13</v>
      </c>
      <c r="F174" s="1064">
        <v>0.13</v>
      </c>
    </row>
    <row r="175" spans="1:6" ht="15" thickBot="1">
      <c r="A175" s="840" t="s">
        <v>526</v>
      </c>
      <c r="B175" s="834" t="s">
        <v>917</v>
      </c>
      <c r="C175" s="1063">
        <v>0.13</v>
      </c>
      <c r="D175" s="1063">
        <v>0.13</v>
      </c>
      <c r="E175" s="1063">
        <v>0.13</v>
      </c>
      <c r="F175" s="1064">
        <v>0.13</v>
      </c>
    </row>
    <row r="176" spans="1:6" ht="15" thickBot="1">
      <c r="A176" s="840" t="s">
        <v>526</v>
      </c>
      <c r="B176" s="834" t="s">
        <v>378</v>
      </c>
      <c r="C176" s="1063">
        <v>0.13</v>
      </c>
      <c r="D176" s="1063">
        <v>0.13</v>
      </c>
      <c r="E176" s="1063">
        <v>0.13</v>
      </c>
      <c r="F176" s="1064">
        <v>0.13</v>
      </c>
    </row>
    <row r="177" spans="1:6" ht="15" thickBot="1">
      <c r="A177" s="840" t="s">
        <v>526</v>
      </c>
      <c r="B177" s="834" t="s">
        <v>918</v>
      </c>
      <c r="C177" s="1063">
        <v>0.13</v>
      </c>
      <c r="D177" s="1063">
        <v>0.13</v>
      </c>
      <c r="E177" s="1063">
        <v>0.13</v>
      </c>
      <c r="F177" s="1064">
        <v>0.13</v>
      </c>
    </row>
    <row r="178" spans="1:6" ht="15" thickBot="1">
      <c r="A178" s="840" t="s">
        <v>526</v>
      </c>
      <c r="B178" s="834" t="s">
        <v>396</v>
      </c>
      <c r="C178" s="1063">
        <v>0.13</v>
      </c>
      <c r="D178" s="1063">
        <v>0.13</v>
      </c>
      <c r="E178" s="1063">
        <v>0.13</v>
      </c>
      <c r="F178" s="1064">
        <v>0.127</v>
      </c>
    </row>
    <row r="179" spans="1:6" ht="15" thickBot="1">
      <c r="A179" s="840" t="s">
        <v>526</v>
      </c>
      <c r="B179" s="834" t="s">
        <v>404</v>
      </c>
      <c r="C179" s="1063">
        <v>0.13</v>
      </c>
      <c r="D179" s="1063">
        <v>0.13</v>
      </c>
      <c r="E179" s="1063">
        <v>0.13</v>
      </c>
      <c r="F179" s="1075"/>
    </row>
    <row r="180" spans="1:6" ht="15" thickBot="1">
      <c r="A180" s="840" t="s">
        <v>526</v>
      </c>
      <c r="B180" s="834" t="s">
        <v>919</v>
      </c>
      <c r="C180" s="1063">
        <v>0.13</v>
      </c>
      <c r="D180" s="1063">
        <v>0.13</v>
      </c>
      <c r="E180" s="1063">
        <v>0.125</v>
      </c>
      <c r="F180" s="1064">
        <v>0.13</v>
      </c>
    </row>
    <row r="181" spans="1:6" ht="15" thickBot="1">
      <c r="A181" s="840" t="s">
        <v>526</v>
      </c>
      <c r="B181" s="834" t="s">
        <v>418</v>
      </c>
      <c r="C181" s="1063">
        <v>0.122</v>
      </c>
      <c r="D181" s="1063">
        <v>0.123</v>
      </c>
      <c r="E181" s="1063">
        <v>0.126</v>
      </c>
      <c r="F181" s="1064">
        <v>0.121</v>
      </c>
    </row>
    <row r="182" spans="1:6" ht="15" thickBot="1">
      <c r="A182" s="840" t="s">
        <v>526</v>
      </c>
      <c r="B182" s="834" t="s">
        <v>425</v>
      </c>
      <c r="C182" s="1063">
        <v>0.125</v>
      </c>
      <c r="D182" s="1063">
        <v>0.125</v>
      </c>
      <c r="E182" s="1063">
        <v>0.11700000000000001</v>
      </c>
      <c r="F182" s="1064">
        <v>0.13</v>
      </c>
    </row>
    <row r="183" spans="1:6" ht="15" thickBot="1">
      <c r="A183" s="840" t="s">
        <v>526</v>
      </c>
      <c r="B183" s="834" t="s">
        <v>432</v>
      </c>
      <c r="C183" s="1063">
        <v>0.127</v>
      </c>
      <c r="D183" s="1063">
        <v>0.127</v>
      </c>
      <c r="E183" s="1063">
        <v>0.128</v>
      </c>
      <c r="F183" s="1075"/>
    </row>
    <row r="184" spans="1:6" ht="15" thickBot="1">
      <c r="A184" s="840" t="s">
        <v>526</v>
      </c>
      <c r="B184" s="834" t="s">
        <v>439</v>
      </c>
      <c r="C184" s="1063">
        <v>0.125</v>
      </c>
      <c r="D184" s="1063">
        <v>0.125</v>
      </c>
      <c r="E184" s="1063">
        <v>0.127</v>
      </c>
      <c r="F184" s="1075"/>
    </row>
    <row r="185" spans="1:6" ht="15" thickBot="1">
      <c r="A185" s="840" t="s">
        <v>526</v>
      </c>
      <c r="B185" s="834" t="s">
        <v>920</v>
      </c>
      <c r="C185" s="1063">
        <v>0.127</v>
      </c>
      <c r="D185" s="1063">
        <v>0.127</v>
      </c>
      <c r="E185" s="1063">
        <v>0.128</v>
      </c>
      <c r="F185" s="1064">
        <v>0.13</v>
      </c>
    </row>
    <row r="186" spans="1:6" ht="24.6" thickBot="1">
      <c r="A186" s="840" t="s">
        <v>526</v>
      </c>
      <c r="B186" s="834" t="s">
        <v>921</v>
      </c>
      <c r="C186" s="1076"/>
      <c r="D186" s="1076"/>
      <c r="E186" s="1076"/>
      <c r="F186" s="1064">
        <v>0.05</v>
      </c>
    </row>
    <row r="187" spans="1:6" ht="15" thickBot="1">
      <c r="A187" s="840" t="s">
        <v>526</v>
      </c>
      <c r="B187" s="834" t="s">
        <v>922</v>
      </c>
      <c r="C187" s="1076"/>
      <c r="D187" s="1076"/>
      <c r="E187" s="1076"/>
      <c r="F187" s="1064">
        <v>0.05</v>
      </c>
    </row>
    <row r="188" spans="1:6" ht="24.6" thickBot="1">
      <c r="A188" s="840" t="s">
        <v>526</v>
      </c>
      <c r="B188" s="834" t="s">
        <v>923</v>
      </c>
      <c r="C188" s="1076"/>
      <c r="D188" s="1076"/>
      <c r="E188" s="1076"/>
      <c r="F188" s="1064">
        <v>0.05</v>
      </c>
    </row>
    <row r="189" spans="1:6" ht="24.6" thickBot="1">
      <c r="A189" s="840" t="s">
        <v>526</v>
      </c>
      <c r="B189" s="834" t="s">
        <v>924</v>
      </c>
      <c r="C189" s="1076"/>
      <c r="D189" s="1076"/>
      <c r="E189" s="1076"/>
      <c r="F189" s="1064">
        <v>0.05</v>
      </c>
    </row>
    <row r="190" spans="1:6" ht="24.6" thickBot="1">
      <c r="A190" s="840" t="s">
        <v>526</v>
      </c>
      <c r="B190" s="834" t="s">
        <v>925</v>
      </c>
      <c r="C190" s="1076"/>
      <c r="D190" s="1076"/>
      <c r="E190" s="1076"/>
      <c r="F190" s="1064">
        <v>0.05</v>
      </c>
    </row>
    <row r="191" spans="1:6" ht="24.6" thickBot="1">
      <c r="A191" s="840" t="s">
        <v>526</v>
      </c>
      <c r="B191" s="834" t="s">
        <v>926</v>
      </c>
      <c r="C191" s="1076"/>
      <c r="D191" s="1076"/>
      <c r="E191" s="1076"/>
      <c r="F191" s="1064">
        <v>0.05</v>
      </c>
    </row>
    <row r="192" spans="1:6" ht="24.6" thickBot="1">
      <c r="A192" s="840" t="s">
        <v>526</v>
      </c>
      <c r="B192" s="834" t="s">
        <v>927</v>
      </c>
      <c r="C192" s="1076"/>
      <c r="D192" s="1076"/>
      <c r="E192" s="1076"/>
      <c r="F192" s="1064">
        <v>0.05</v>
      </c>
    </row>
    <row r="193" spans="1:6" ht="24.6" thickBot="1">
      <c r="A193" s="840" t="s">
        <v>526</v>
      </c>
      <c r="B193" s="834" t="s">
        <v>928</v>
      </c>
      <c r="C193" s="1076"/>
      <c r="D193" s="1076"/>
      <c r="E193" s="1076"/>
      <c r="F193" s="1064">
        <v>0.05</v>
      </c>
    </row>
    <row r="194" spans="1:6" ht="24.6" thickBot="1">
      <c r="A194" s="840" t="s">
        <v>526</v>
      </c>
      <c r="B194" s="834" t="s">
        <v>929</v>
      </c>
      <c r="C194" s="1076"/>
      <c r="D194" s="1076"/>
      <c r="E194" s="1076"/>
      <c r="F194" s="1064">
        <v>0.05</v>
      </c>
    </row>
    <row r="195" spans="1:6" ht="15" thickBot="1">
      <c r="A195" s="840" t="s">
        <v>526</v>
      </c>
      <c r="B195" s="834" t="s">
        <v>930</v>
      </c>
      <c r="C195" s="1076"/>
      <c r="D195" s="1076"/>
      <c r="E195" s="1076"/>
      <c r="F195" s="1064">
        <v>0.05</v>
      </c>
    </row>
    <row r="196" spans="1:6" ht="24.6" thickBot="1">
      <c r="A196" s="840" t="s">
        <v>526</v>
      </c>
      <c r="B196" s="834" t="s">
        <v>931</v>
      </c>
      <c r="C196" s="1076"/>
      <c r="D196" s="1076"/>
      <c r="E196" s="1076"/>
      <c r="F196" s="1064">
        <v>0.05</v>
      </c>
    </row>
    <row r="197" spans="1:6" ht="24.6" thickBot="1">
      <c r="A197" s="840" t="s">
        <v>526</v>
      </c>
      <c r="B197" s="834" t="s">
        <v>932</v>
      </c>
      <c r="C197" s="1076"/>
      <c r="D197" s="1076"/>
      <c r="E197" s="1076"/>
      <c r="F197" s="1064">
        <v>0.05</v>
      </c>
    </row>
    <row r="198" spans="1:6" ht="24.6" thickBot="1">
      <c r="A198" s="840" t="s">
        <v>526</v>
      </c>
      <c r="B198" s="834" t="s">
        <v>933</v>
      </c>
      <c r="C198" s="1076"/>
      <c r="D198" s="1076"/>
      <c r="E198" s="1076"/>
      <c r="F198" s="1064">
        <v>0.05</v>
      </c>
    </row>
    <row r="199" spans="1:6" ht="24.6" thickBot="1">
      <c r="A199" s="840" t="s">
        <v>526</v>
      </c>
      <c r="B199" s="834" t="s">
        <v>934</v>
      </c>
      <c r="C199" s="1076"/>
      <c r="D199" s="1076"/>
      <c r="E199" s="1076"/>
      <c r="F199" s="1064">
        <v>0.05</v>
      </c>
    </row>
    <row r="200" spans="1:6" ht="24.6" thickBot="1">
      <c r="A200" s="840" t="s">
        <v>526</v>
      </c>
      <c r="B200" s="834" t="s">
        <v>935</v>
      </c>
      <c r="C200" s="1076"/>
      <c r="D200" s="1076"/>
      <c r="E200" s="1076"/>
      <c r="F200" s="1064">
        <v>0.05</v>
      </c>
    </row>
    <row r="201" spans="1:6" ht="24.6" thickBot="1">
      <c r="A201" s="840" t="s">
        <v>526</v>
      </c>
      <c r="B201" s="834" t="s">
        <v>936</v>
      </c>
      <c r="C201" s="1076"/>
      <c r="D201" s="1076"/>
      <c r="E201" s="1076"/>
      <c r="F201" s="1064">
        <v>0.05</v>
      </c>
    </row>
    <row r="202" spans="1:6" ht="24.6" thickBot="1">
      <c r="A202" s="840" t="s">
        <v>526</v>
      </c>
      <c r="B202" s="834" t="s">
        <v>937</v>
      </c>
      <c r="C202" s="1076"/>
      <c r="D202" s="1076"/>
      <c r="E202" s="1076"/>
      <c r="F202" s="1064">
        <v>0.05</v>
      </c>
    </row>
    <row r="203" spans="1:6" ht="24.6" thickBot="1">
      <c r="A203" s="840" t="s">
        <v>526</v>
      </c>
      <c r="B203" s="834" t="s">
        <v>938</v>
      </c>
      <c r="C203" s="1076"/>
      <c r="D203" s="1076"/>
      <c r="E203" s="1076"/>
      <c r="F203" s="1064">
        <v>0.05</v>
      </c>
    </row>
    <row r="204" spans="1:6" ht="15" thickBot="1">
      <c r="A204" s="840" t="s">
        <v>526</v>
      </c>
      <c r="B204" s="834" t="s">
        <v>939</v>
      </c>
      <c r="C204" s="1076"/>
      <c r="D204" s="1076"/>
      <c r="E204" s="1076"/>
      <c r="F204" s="1064">
        <v>0.05</v>
      </c>
    </row>
    <row r="205" spans="1:6" ht="15" thickBot="1">
      <c r="A205" s="850" t="s">
        <v>526</v>
      </c>
      <c r="B205" s="846" t="s">
        <v>940</v>
      </c>
      <c r="C205" s="1073"/>
      <c r="D205" s="1073"/>
      <c r="E205" s="1073"/>
      <c r="F205" s="1066">
        <v>0.05</v>
      </c>
    </row>
    <row r="206" spans="1:6" ht="15" thickBot="1">
      <c r="A206" s="840" t="s">
        <v>528</v>
      </c>
      <c r="B206" s="841" t="s">
        <v>941</v>
      </c>
      <c r="C206" s="1061">
        <v>0.15</v>
      </c>
      <c r="D206" s="1061">
        <v>0.15</v>
      </c>
      <c r="E206" s="1061">
        <v>0.15</v>
      </c>
      <c r="F206" s="1062">
        <v>0.15</v>
      </c>
    </row>
    <row r="207" spans="1:6" ht="15" thickBot="1">
      <c r="A207" s="840" t="s">
        <v>528</v>
      </c>
      <c r="B207" s="834" t="s">
        <v>194</v>
      </c>
      <c r="C207" s="1063">
        <v>0.15</v>
      </c>
      <c r="D207" s="1063">
        <v>0.15</v>
      </c>
      <c r="E207" s="1063">
        <v>0.15</v>
      </c>
      <c r="F207" s="1064">
        <v>0.14399999999999999</v>
      </c>
    </row>
    <row r="208" spans="1:6" ht="15" thickBot="1">
      <c r="A208" s="840" t="s">
        <v>528</v>
      </c>
      <c r="B208" s="834" t="s">
        <v>207</v>
      </c>
      <c r="C208" s="1063">
        <v>0.15</v>
      </c>
      <c r="D208" s="1063">
        <v>0.15</v>
      </c>
      <c r="E208" s="1063">
        <v>0.15</v>
      </c>
      <c r="F208" s="1064">
        <v>0.15</v>
      </c>
    </row>
    <row r="209" spans="1:6" ht="15" thickBot="1">
      <c r="A209" s="840" t="s">
        <v>528</v>
      </c>
      <c r="B209" s="834" t="s">
        <v>220</v>
      </c>
      <c r="C209" s="1063">
        <v>0.13700000000000001</v>
      </c>
      <c r="D209" s="1063">
        <v>0.13700000000000001</v>
      </c>
      <c r="E209" s="1063">
        <v>0.14000000000000001</v>
      </c>
      <c r="F209" s="1064">
        <v>0.11700000000000001</v>
      </c>
    </row>
    <row r="210" spans="1:6" ht="15" thickBot="1">
      <c r="A210" s="840" t="s">
        <v>528</v>
      </c>
      <c r="B210" s="834" t="s">
        <v>942</v>
      </c>
      <c r="C210" s="1063">
        <v>0.15</v>
      </c>
      <c r="D210" s="1063">
        <v>0.15</v>
      </c>
      <c r="E210" s="1063">
        <v>0.15</v>
      </c>
      <c r="F210" s="1064">
        <v>0.13800000000000001</v>
      </c>
    </row>
    <row r="211" spans="1:6" ht="15" thickBot="1">
      <c r="A211" s="840" t="s">
        <v>528</v>
      </c>
      <c r="B211" s="834" t="s">
        <v>943</v>
      </c>
      <c r="C211" s="1063">
        <v>0.13700000000000001</v>
      </c>
      <c r="D211" s="1063">
        <v>0.13500000000000001</v>
      </c>
      <c r="E211" s="1063">
        <v>0.13600000000000001</v>
      </c>
      <c r="F211" s="1064">
        <v>0.1</v>
      </c>
    </row>
    <row r="212" spans="1:6" ht="15" thickBot="1">
      <c r="A212" s="840" t="s">
        <v>528</v>
      </c>
      <c r="B212" s="834" t="s">
        <v>944</v>
      </c>
      <c r="C212" s="1063">
        <v>0.15</v>
      </c>
      <c r="D212" s="1063">
        <v>0.15</v>
      </c>
      <c r="E212" s="1063">
        <v>0.14799999999999999</v>
      </c>
      <c r="F212" s="1064">
        <v>0.13600000000000001</v>
      </c>
    </row>
    <row r="213" spans="1:6" ht="15" thickBot="1">
      <c r="A213" s="840" t="s">
        <v>528</v>
      </c>
      <c r="B213" s="834" t="s">
        <v>265</v>
      </c>
      <c r="C213" s="1063">
        <v>0.15</v>
      </c>
      <c r="D213" s="1063">
        <v>0.15</v>
      </c>
      <c r="E213" s="1063">
        <v>0.15</v>
      </c>
      <c r="F213" s="1064">
        <v>0.13800000000000001</v>
      </c>
    </row>
    <row r="214" spans="1:6" ht="15" thickBot="1">
      <c r="A214" s="840" t="s">
        <v>528</v>
      </c>
      <c r="B214" s="834" t="s">
        <v>277</v>
      </c>
      <c r="C214" s="1063">
        <v>9.0999999999999998E-2</v>
      </c>
      <c r="D214" s="1063">
        <v>0.09</v>
      </c>
      <c r="E214" s="1063">
        <v>9.1999999999999998E-2</v>
      </c>
      <c r="F214" s="1075"/>
    </row>
    <row r="215" spans="1:6" ht="15" thickBot="1">
      <c r="A215" s="840" t="s">
        <v>528</v>
      </c>
      <c r="B215" s="834" t="s">
        <v>945</v>
      </c>
      <c r="C215" s="1063">
        <v>0.15</v>
      </c>
      <c r="D215" s="1063">
        <v>0.15</v>
      </c>
      <c r="E215" s="1063">
        <v>0.15</v>
      </c>
      <c r="F215" s="1064">
        <v>0.15</v>
      </c>
    </row>
    <row r="216" spans="1:6" ht="15" thickBot="1">
      <c r="A216" s="840" t="s">
        <v>528</v>
      </c>
      <c r="B216" s="834" t="s">
        <v>297</v>
      </c>
      <c r="C216" s="1063">
        <v>0.14699999999999999</v>
      </c>
      <c r="D216" s="1063">
        <v>0.14699999999999999</v>
      </c>
      <c r="E216" s="1063">
        <v>0.15</v>
      </c>
      <c r="F216" s="1064">
        <v>0.14000000000000001</v>
      </c>
    </row>
    <row r="217" spans="1:6" ht="15" thickBot="1">
      <c r="A217" s="840" t="s">
        <v>528</v>
      </c>
      <c r="B217" s="834" t="s">
        <v>307</v>
      </c>
      <c r="C217" s="1063">
        <v>0.15</v>
      </c>
      <c r="D217" s="1063">
        <v>0.15</v>
      </c>
      <c r="E217" s="1063">
        <v>0.15</v>
      </c>
      <c r="F217" s="1064">
        <v>0.15</v>
      </c>
    </row>
    <row r="218" spans="1:6" ht="15" thickBot="1">
      <c r="A218" s="840" t="s">
        <v>528</v>
      </c>
      <c r="B218" s="834" t="s">
        <v>946</v>
      </c>
      <c r="C218" s="1063">
        <v>0.15</v>
      </c>
      <c r="D218" s="1063">
        <v>0.15</v>
      </c>
      <c r="E218" s="1063">
        <v>0.15</v>
      </c>
      <c r="F218" s="1064">
        <v>0.15</v>
      </c>
    </row>
    <row r="219" spans="1:6" ht="15" thickBot="1">
      <c r="A219" s="840" t="s">
        <v>528</v>
      </c>
      <c r="B219" s="834" t="s">
        <v>328</v>
      </c>
      <c r="C219" s="1063">
        <v>0.15</v>
      </c>
      <c r="D219" s="1063">
        <v>0.15</v>
      </c>
      <c r="E219" s="1063">
        <v>0.15</v>
      </c>
      <c r="F219" s="1064">
        <v>0.14799999999999999</v>
      </c>
    </row>
    <row r="220" spans="1:6" ht="15" thickBot="1">
      <c r="A220" s="840" t="s">
        <v>528</v>
      </c>
      <c r="B220" s="834" t="s">
        <v>947</v>
      </c>
      <c r="C220" s="1063">
        <v>0.15</v>
      </c>
      <c r="D220" s="1063">
        <v>0.15</v>
      </c>
      <c r="E220" s="1063">
        <v>0.15</v>
      </c>
      <c r="F220" s="1064">
        <v>0.15</v>
      </c>
    </row>
    <row r="221" spans="1:6" ht="15" thickBot="1">
      <c r="A221" s="840" t="s">
        <v>528</v>
      </c>
      <c r="B221" s="834" t="s">
        <v>349</v>
      </c>
      <c r="C221" s="1063"/>
      <c r="D221" s="1076"/>
      <c r="E221" s="1076"/>
      <c r="F221" s="1064">
        <v>0.14799999999999999</v>
      </c>
    </row>
    <row r="222" spans="1:6" ht="15" thickBot="1">
      <c r="A222" s="840" t="s">
        <v>528</v>
      </c>
      <c r="B222" s="834" t="s">
        <v>359</v>
      </c>
      <c r="C222" s="1063"/>
      <c r="D222" s="1076"/>
      <c r="E222" s="1076"/>
      <c r="F222" s="1064">
        <v>0.1</v>
      </c>
    </row>
    <row r="223" spans="1:6" ht="15" thickBot="1">
      <c r="A223" s="840" t="s">
        <v>528</v>
      </c>
      <c r="B223" s="834" t="s">
        <v>369</v>
      </c>
      <c r="C223" s="1063"/>
      <c r="D223" s="1076"/>
      <c r="E223" s="1076"/>
      <c r="F223" s="1064">
        <v>0.15</v>
      </c>
    </row>
    <row r="224" spans="1:6" ht="15" thickBot="1">
      <c r="A224" s="840" t="s">
        <v>528</v>
      </c>
      <c r="B224" s="834" t="s">
        <v>379</v>
      </c>
      <c r="C224" s="1063"/>
      <c r="D224" s="1076"/>
      <c r="E224" s="1076"/>
      <c r="F224" s="1064">
        <v>0.15</v>
      </c>
    </row>
    <row r="225" spans="1:6" ht="15" thickBot="1">
      <c r="A225" s="840" t="s">
        <v>528</v>
      </c>
      <c r="B225" s="834" t="s">
        <v>948</v>
      </c>
      <c r="C225" s="1063">
        <v>0.15</v>
      </c>
      <c r="D225" s="1063">
        <v>0.15</v>
      </c>
      <c r="E225" s="1063">
        <v>0.15</v>
      </c>
      <c r="F225" s="1064">
        <v>0.15</v>
      </c>
    </row>
    <row r="226" spans="1:6" ht="15" thickBot="1">
      <c r="A226" s="840" t="s">
        <v>528</v>
      </c>
      <c r="B226" s="834" t="s">
        <v>397</v>
      </c>
      <c r="C226" s="1063">
        <v>0.15</v>
      </c>
      <c r="D226" s="1063">
        <v>0.15</v>
      </c>
      <c r="E226" s="1063">
        <v>0.15</v>
      </c>
      <c r="F226" s="1064">
        <v>0.14799999999999999</v>
      </c>
    </row>
    <row r="227" spans="1:6" ht="15" thickBot="1">
      <c r="A227" s="840" t="s">
        <v>528</v>
      </c>
      <c r="B227" s="834" t="s">
        <v>949</v>
      </c>
      <c r="C227" s="1063">
        <v>0.15</v>
      </c>
      <c r="D227" s="1063">
        <v>0.15</v>
      </c>
      <c r="E227" s="1063">
        <v>0.15</v>
      </c>
      <c r="F227" s="1064">
        <v>0.15</v>
      </c>
    </row>
    <row r="228" spans="1:6" ht="15" thickBot="1">
      <c r="A228" s="840" t="s">
        <v>528</v>
      </c>
      <c r="B228" s="834" t="s">
        <v>412</v>
      </c>
      <c r="C228" s="1063">
        <v>0.15</v>
      </c>
      <c r="D228" s="1063">
        <v>0.15</v>
      </c>
      <c r="E228" s="1063">
        <v>0.15</v>
      </c>
      <c r="F228" s="1064">
        <v>0.15</v>
      </c>
    </row>
    <row r="229" spans="1:6" ht="15" thickBot="1">
      <c r="A229" s="840" t="s">
        <v>528</v>
      </c>
      <c r="B229" s="834" t="s">
        <v>419</v>
      </c>
      <c r="C229" s="1063">
        <v>0.15</v>
      </c>
      <c r="D229" s="1063">
        <v>0.15</v>
      </c>
      <c r="E229" s="1063">
        <v>0.15</v>
      </c>
      <c r="F229" s="1075"/>
    </row>
    <row r="230" spans="1:6" ht="15" thickBot="1">
      <c r="A230" s="840" t="s">
        <v>528</v>
      </c>
      <c r="B230" s="834" t="s">
        <v>426</v>
      </c>
      <c r="C230" s="1063">
        <v>0.14499999999999999</v>
      </c>
      <c r="D230" s="1063">
        <v>0.14499999999999999</v>
      </c>
      <c r="E230" s="1063">
        <v>0.14399999999999999</v>
      </c>
      <c r="F230" s="1075"/>
    </row>
    <row r="231" spans="1:6" ht="15" thickBot="1">
      <c r="A231" s="840" t="s">
        <v>528</v>
      </c>
      <c r="B231" s="834" t="s">
        <v>950</v>
      </c>
      <c r="C231" s="1063">
        <v>0.128</v>
      </c>
      <c r="D231" s="1063">
        <v>0.125</v>
      </c>
      <c r="E231" s="1063">
        <v>0.13200000000000001</v>
      </c>
      <c r="F231" s="1075"/>
    </row>
    <row r="232" spans="1:6" ht="15" thickBot="1">
      <c r="A232" s="840" t="s">
        <v>528</v>
      </c>
      <c r="B232" s="834" t="s">
        <v>951</v>
      </c>
      <c r="C232" s="1063">
        <v>0.14499999999999999</v>
      </c>
      <c r="D232" s="1063">
        <v>0.14399999999999999</v>
      </c>
      <c r="E232" s="1063">
        <v>0.14599999999999999</v>
      </c>
      <c r="F232" s="1064">
        <v>0.13800000000000001</v>
      </c>
    </row>
    <row r="233" spans="1:6" ht="15" thickBot="1">
      <c r="A233" s="840" t="s">
        <v>528</v>
      </c>
      <c r="B233" s="834" t="s">
        <v>952</v>
      </c>
      <c r="C233" s="1063">
        <v>0.14499999999999999</v>
      </c>
      <c r="D233" s="1063">
        <v>0.14299999999999999</v>
      </c>
      <c r="E233" s="1063">
        <v>0.14199999999999999</v>
      </c>
      <c r="F233" s="1075"/>
    </row>
    <row r="234" spans="1:6" ht="15" thickBot="1">
      <c r="A234" s="840" t="s">
        <v>528</v>
      </c>
      <c r="B234" s="834" t="s">
        <v>953</v>
      </c>
      <c r="C234" s="1063">
        <v>0.14000000000000001</v>
      </c>
      <c r="D234" s="1063">
        <v>0.14000000000000001</v>
      </c>
      <c r="E234" s="1063">
        <v>0.14399999999999999</v>
      </c>
      <c r="F234" s="1075"/>
    </row>
    <row r="235" spans="1:6" ht="15" thickBot="1">
      <c r="A235" s="840" t="s">
        <v>528</v>
      </c>
      <c r="B235" s="834" t="s">
        <v>954</v>
      </c>
      <c r="C235" s="1063">
        <v>0.14099999999999999</v>
      </c>
      <c r="D235" s="1063">
        <v>0.14199999999999999</v>
      </c>
      <c r="E235" s="1063">
        <v>0.14499999999999999</v>
      </c>
      <c r="F235" s="1064">
        <v>0.15</v>
      </c>
    </row>
    <row r="236" spans="1:6" ht="15" thickBot="1">
      <c r="A236" s="840" t="s">
        <v>528</v>
      </c>
      <c r="B236" s="834" t="s">
        <v>461</v>
      </c>
      <c r="C236" s="1076"/>
      <c r="D236" s="1076"/>
      <c r="E236" s="1076"/>
      <c r="F236" s="1064">
        <v>0.14299999999999999</v>
      </c>
    </row>
    <row r="237" spans="1:6" ht="24.6" thickBot="1">
      <c r="A237" s="840" t="s">
        <v>528</v>
      </c>
      <c r="B237" s="834" t="s">
        <v>955</v>
      </c>
      <c r="C237" s="1076"/>
      <c r="D237" s="1076"/>
      <c r="E237" s="1076"/>
      <c r="F237" s="1064">
        <v>0.05</v>
      </c>
    </row>
    <row r="238" spans="1:6" ht="24.6" thickBot="1">
      <c r="A238" s="840" t="s">
        <v>528</v>
      </c>
      <c r="B238" s="834" t="s">
        <v>956</v>
      </c>
      <c r="C238" s="1076"/>
      <c r="D238" s="1076"/>
      <c r="E238" s="1076"/>
      <c r="F238" s="1064">
        <v>0.05</v>
      </c>
    </row>
    <row r="239" spans="1:6" ht="24.6" thickBot="1">
      <c r="A239" s="840" t="s">
        <v>528</v>
      </c>
      <c r="B239" s="834" t="s">
        <v>957</v>
      </c>
      <c r="C239" s="1076"/>
      <c r="D239" s="1076"/>
      <c r="E239" s="1076"/>
      <c r="F239" s="1064">
        <v>0.05</v>
      </c>
    </row>
    <row r="240" spans="1:6" ht="24.6" thickBot="1">
      <c r="A240" s="840" t="s">
        <v>528</v>
      </c>
      <c r="B240" s="834" t="s">
        <v>958</v>
      </c>
      <c r="C240" s="1076"/>
      <c r="D240" s="1076"/>
      <c r="E240" s="1076"/>
      <c r="F240" s="1064">
        <v>0.05</v>
      </c>
    </row>
    <row r="241" spans="1:6" ht="24.6" thickBot="1">
      <c r="A241" s="840" t="s">
        <v>528</v>
      </c>
      <c r="B241" s="834" t="s">
        <v>959</v>
      </c>
      <c r="C241" s="1076"/>
      <c r="D241" s="1076"/>
      <c r="E241" s="1076"/>
      <c r="F241" s="1064">
        <v>0.05</v>
      </c>
    </row>
    <row r="242" spans="1:6" ht="24.6" thickBot="1">
      <c r="A242" s="840" t="s">
        <v>528</v>
      </c>
      <c r="B242" s="834" t="s">
        <v>960</v>
      </c>
      <c r="C242" s="1076"/>
      <c r="D242" s="1076"/>
      <c r="E242" s="1076"/>
      <c r="F242" s="1064">
        <v>0.05</v>
      </c>
    </row>
    <row r="243" spans="1:6" ht="24.6" thickBot="1">
      <c r="A243" s="840" t="s">
        <v>528</v>
      </c>
      <c r="B243" s="834" t="s">
        <v>961</v>
      </c>
      <c r="C243" s="1076"/>
      <c r="D243" s="1076"/>
      <c r="E243" s="1076"/>
      <c r="F243" s="1064">
        <v>0.05</v>
      </c>
    </row>
    <row r="244" spans="1:6" ht="24.6" thickBot="1">
      <c r="A244" s="850" t="s">
        <v>528</v>
      </c>
      <c r="B244" s="846" t="s">
        <v>962</v>
      </c>
      <c r="C244" s="1073"/>
      <c r="D244" s="1073"/>
      <c r="E244" s="1073"/>
      <c r="F244" s="1066">
        <v>0.05</v>
      </c>
    </row>
    <row r="245" spans="1:6" ht="15" thickBot="1">
      <c r="A245" s="840" t="s">
        <v>530</v>
      </c>
      <c r="B245" s="841" t="s">
        <v>963</v>
      </c>
      <c r="C245" s="1061">
        <v>0.15</v>
      </c>
      <c r="D245" s="1061">
        <v>0.15</v>
      </c>
      <c r="E245" s="1061">
        <v>0.15</v>
      </c>
      <c r="F245" s="1062">
        <v>0.14299999999999999</v>
      </c>
    </row>
    <row r="246" spans="1:6" ht="15" thickBot="1">
      <c r="A246" s="840" t="s">
        <v>530</v>
      </c>
      <c r="B246" s="834" t="s">
        <v>195</v>
      </c>
      <c r="C246" s="1063">
        <v>0.15</v>
      </c>
      <c r="D246" s="1063">
        <v>0.15</v>
      </c>
      <c r="E246" s="1063">
        <v>0.15</v>
      </c>
      <c r="F246" s="1064">
        <v>0.114</v>
      </c>
    </row>
    <row r="247" spans="1:6" ht="15" thickBot="1">
      <c r="A247" s="840" t="s">
        <v>530</v>
      </c>
      <c r="B247" s="834" t="s">
        <v>964</v>
      </c>
      <c r="C247" s="1063">
        <v>0.15</v>
      </c>
      <c r="D247" s="1063">
        <v>0.15</v>
      </c>
      <c r="E247" s="1063">
        <v>0.15</v>
      </c>
      <c r="F247" s="1064">
        <v>0.15</v>
      </c>
    </row>
    <row r="248" spans="1:6" ht="15" thickBot="1">
      <c r="A248" s="840" t="s">
        <v>530</v>
      </c>
      <c r="B248" s="834" t="s">
        <v>965</v>
      </c>
      <c r="C248" s="1063">
        <v>0.15</v>
      </c>
      <c r="D248" s="1063">
        <v>0.15</v>
      </c>
      <c r="E248" s="1063">
        <v>0.15</v>
      </c>
      <c r="F248" s="1064">
        <v>0.14000000000000001</v>
      </c>
    </row>
    <row r="249" spans="1:6" ht="15" thickBot="1">
      <c r="A249" s="840" t="s">
        <v>530</v>
      </c>
      <c r="B249" s="834" t="s">
        <v>966</v>
      </c>
      <c r="C249" s="1063">
        <v>0.15</v>
      </c>
      <c r="D249" s="1063">
        <v>0.14899999999999999</v>
      </c>
      <c r="E249" s="1063">
        <v>0.15</v>
      </c>
      <c r="F249" s="1064">
        <v>0.1</v>
      </c>
    </row>
    <row r="250" spans="1:6" ht="15" thickBot="1">
      <c r="A250" s="840" t="s">
        <v>530</v>
      </c>
      <c r="B250" s="834" t="s">
        <v>967</v>
      </c>
      <c r="C250" s="1063">
        <v>0.15</v>
      </c>
      <c r="D250" s="1063">
        <v>0.15</v>
      </c>
      <c r="E250" s="1063">
        <v>0.15</v>
      </c>
      <c r="F250" s="1064">
        <v>0.14399999999999999</v>
      </c>
    </row>
    <row r="251" spans="1:6" ht="15" thickBot="1">
      <c r="A251" s="840" t="s">
        <v>530</v>
      </c>
      <c r="B251" s="834" t="s">
        <v>255</v>
      </c>
      <c r="C251" s="1063">
        <v>0.15</v>
      </c>
      <c r="D251" s="1063">
        <v>0.15</v>
      </c>
      <c r="E251" s="1063">
        <v>0.15</v>
      </c>
      <c r="F251" s="1064">
        <v>0.14299999999999999</v>
      </c>
    </row>
    <row r="252" spans="1:6" ht="15" thickBot="1">
      <c r="A252" s="840" t="s">
        <v>530</v>
      </c>
      <c r="B252" s="834" t="s">
        <v>266</v>
      </c>
      <c r="C252" s="1063">
        <v>0.15</v>
      </c>
      <c r="D252" s="1063">
        <v>0.15</v>
      </c>
      <c r="E252" s="1063">
        <v>0.15</v>
      </c>
      <c r="F252" s="1064">
        <v>0.1</v>
      </c>
    </row>
    <row r="253" spans="1:6" ht="15" thickBot="1">
      <c r="A253" s="840" t="s">
        <v>530</v>
      </c>
      <c r="B253" s="834" t="s">
        <v>278</v>
      </c>
      <c r="C253" s="1063">
        <v>0.15</v>
      </c>
      <c r="D253" s="1063">
        <v>0.15</v>
      </c>
      <c r="E253" s="1063">
        <v>0.15</v>
      </c>
      <c r="F253" s="1064">
        <v>0.1</v>
      </c>
    </row>
    <row r="254" spans="1:6" ht="15" thickBot="1">
      <c r="A254" s="840" t="s">
        <v>530</v>
      </c>
      <c r="B254" s="834" t="s">
        <v>288</v>
      </c>
      <c r="C254" s="1076"/>
      <c r="D254" s="1076"/>
      <c r="E254" s="1076"/>
      <c r="F254" s="1064">
        <v>0.15</v>
      </c>
    </row>
    <row r="255" spans="1:6" ht="15" thickBot="1">
      <c r="A255" s="840" t="s">
        <v>530</v>
      </c>
      <c r="B255" s="834" t="s">
        <v>298</v>
      </c>
      <c r="C255" s="1076"/>
      <c r="D255" s="1076"/>
      <c r="E255" s="1076"/>
      <c r="F255" s="1064">
        <v>0.14299999999999999</v>
      </c>
    </row>
    <row r="256" spans="1:6" ht="15" thickBot="1">
      <c r="A256" s="840" t="s">
        <v>530</v>
      </c>
      <c r="B256" s="834" t="s">
        <v>968</v>
      </c>
      <c r="C256" s="1063">
        <v>0.14599999999999999</v>
      </c>
      <c r="D256" s="1063">
        <v>0.14699999999999999</v>
      </c>
      <c r="E256" s="1063">
        <v>0.15</v>
      </c>
      <c r="F256" s="1064">
        <v>0.13200000000000001</v>
      </c>
    </row>
    <row r="257" spans="1:6" ht="15" thickBot="1">
      <c r="A257" s="840" t="s">
        <v>530</v>
      </c>
      <c r="B257" s="834" t="s">
        <v>318</v>
      </c>
      <c r="C257" s="1063">
        <v>0.15</v>
      </c>
      <c r="D257" s="1063">
        <v>0.15</v>
      </c>
      <c r="E257" s="1063">
        <v>0.15</v>
      </c>
      <c r="F257" s="1064">
        <v>0.13900000000000001</v>
      </c>
    </row>
    <row r="258" spans="1:6" ht="15" thickBot="1">
      <c r="A258" s="840" t="s">
        <v>530</v>
      </c>
      <c r="B258" s="834" t="s">
        <v>329</v>
      </c>
      <c r="C258" s="1063">
        <v>0.15</v>
      </c>
      <c r="D258" s="1063">
        <v>0.15</v>
      </c>
      <c r="E258" s="1063">
        <v>0.15</v>
      </c>
      <c r="F258" s="1064">
        <v>0.13</v>
      </c>
    </row>
    <row r="259" spans="1:6" ht="15" thickBot="1">
      <c r="A259" s="840" t="s">
        <v>530</v>
      </c>
      <c r="B259" s="834" t="s">
        <v>969</v>
      </c>
      <c r="C259" s="1063">
        <v>0.14799999999999999</v>
      </c>
      <c r="D259" s="1063">
        <v>0.14899999999999999</v>
      </c>
      <c r="E259" s="1063">
        <v>0.15</v>
      </c>
      <c r="F259" s="1064">
        <v>0.13700000000000001</v>
      </c>
    </row>
    <row r="260" spans="1:6" ht="15" thickBot="1">
      <c r="A260" s="840" t="s">
        <v>530</v>
      </c>
      <c r="B260" s="834" t="s">
        <v>350</v>
      </c>
      <c r="C260" s="1063">
        <v>0.15</v>
      </c>
      <c r="D260" s="1063">
        <v>0.15</v>
      </c>
      <c r="E260" s="1063">
        <v>0.15</v>
      </c>
      <c r="F260" s="1064">
        <v>0.14199999999999999</v>
      </c>
    </row>
    <row r="261" spans="1:6" ht="15" thickBot="1">
      <c r="A261" s="840" t="s">
        <v>530</v>
      </c>
      <c r="B261" s="834" t="s">
        <v>360</v>
      </c>
      <c r="C261" s="1063">
        <v>0.15</v>
      </c>
      <c r="D261" s="1063">
        <v>0.15</v>
      </c>
      <c r="E261" s="1063">
        <v>0.14899999999999999</v>
      </c>
      <c r="F261" s="1064">
        <v>0.14799999999999999</v>
      </c>
    </row>
    <row r="262" spans="1:6" ht="15" thickBot="1">
      <c r="A262" s="840" t="s">
        <v>530</v>
      </c>
      <c r="B262" s="834" t="s">
        <v>370</v>
      </c>
      <c r="C262" s="1063">
        <v>0.15</v>
      </c>
      <c r="D262" s="1063">
        <v>0.15</v>
      </c>
      <c r="E262" s="1063">
        <v>0.15</v>
      </c>
      <c r="F262" s="1075"/>
    </row>
    <row r="263" spans="1:6" ht="15" thickBot="1">
      <c r="A263" s="840" t="s">
        <v>530</v>
      </c>
      <c r="B263" s="834" t="s">
        <v>970</v>
      </c>
      <c r="C263" s="1063">
        <v>0.14899999999999999</v>
      </c>
      <c r="D263" s="1063">
        <v>0.14899999999999999</v>
      </c>
      <c r="E263" s="1063">
        <v>0.15</v>
      </c>
      <c r="F263" s="1064">
        <v>0.13</v>
      </c>
    </row>
    <row r="264" spans="1:6" ht="15" thickBot="1">
      <c r="A264" s="840" t="s">
        <v>530</v>
      </c>
      <c r="B264" s="834" t="s">
        <v>389</v>
      </c>
      <c r="C264" s="1063">
        <v>0.14799999999999999</v>
      </c>
      <c r="D264" s="1063">
        <v>0.14699999999999999</v>
      </c>
      <c r="E264" s="1063">
        <v>0.15</v>
      </c>
      <c r="F264" s="1064">
        <v>7.8E-2</v>
      </c>
    </row>
    <row r="265" spans="1:6" ht="15" thickBot="1">
      <c r="A265" s="840" t="s">
        <v>530</v>
      </c>
      <c r="B265" s="834" t="s">
        <v>398</v>
      </c>
      <c r="C265" s="1063">
        <v>0.15</v>
      </c>
      <c r="D265" s="1063">
        <v>0.15</v>
      </c>
      <c r="E265" s="1063">
        <v>0.15</v>
      </c>
      <c r="F265" s="1064">
        <v>7.3999999999999996E-2</v>
      </c>
    </row>
    <row r="266" spans="1:6" ht="15" thickBot="1">
      <c r="A266" s="840" t="s">
        <v>530</v>
      </c>
      <c r="B266" s="834" t="s">
        <v>406</v>
      </c>
      <c r="C266" s="1063">
        <v>0.14699999999999999</v>
      </c>
      <c r="D266" s="1063">
        <v>0.14699999999999999</v>
      </c>
      <c r="E266" s="1063">
        <v>0.15</v>
      </c>
      <c r="F266" s="1064">
        <v>0.14299999999999999</v>
      </c>
    </row>
    <row r="267" spans="1:6" ht="15" thickBot="1">
      <c r="A267" s="840" t="s">
        <v>530</v>
      </c>
      <c r="B267" s="834" t="s">
        <v>413</v>
      </c>
      <c r="C267" s="1063">
        <v>0.14199999999999999</v>
      </c>
      <c r="D267" s="1063">
        <v>0.14299999999999999</v>
      </c>
      <c r="E267" s="1063">
        <v>0.15</v>
      </c>
      <c r="F267" s="1075"/>
    </row>
    <row r="268" spans="1:6" ht="15" thickBot="1">
      <c r="A268" s="840" t="s">
        <v>530</v>
      </c>
      <c r="B268" s="834" t="s">
        <v>971</v>
      </c>
      <c r="C268" s="1063">
        <v>0.15</v>
      </c>
      <c r="D268" s="1063">
        <v>0.15</v>
      </c>
      <c r="E268" s="1063">
        <v>0.15</v>
      </c>
      <c r="F268" s="1064">
        <v>0.13</v>
      </c>
    </row>
    <row r="269" spans="1:6" ht="15" thickBot="1">
      <c r="A269" s="840" t="s">
        <v>530</v>
      </c>
      <c r="B269" s="834" t="s">
        <v>427</v>
      </c>
      <c r="C269" s="1063">
        <v>0.15</v>
      </c>
      <c r="D269" s="1063">
        <v>0.15</v>
      </c>
      <c r="E269" s="1063">
        <v>0.15</v>
      </c>
      <c r="F269" s="1064">
        <v>0.14299999999999999</v>
      </c>
    </row>
    <row r="270" spans="1:6" ht="15" thickBot="1">
      <c r="A270" s="840" t="s">
        <v>530</v>
      </c>
      <c r="B270" s="834" t="s">
        <v>434</v>
      </c>
      <c r="C270" s="1063">
        <v>0.14499999999999999</v>
      </c>
      <c r="D270" s="1063">
        <v>0.14499999999999999</v>
      </c>
      <c r="E270" s="1063">
        <v>0.15</v>
      </c>
      <c r="F270" s="1064">
        <v>0.14699999999999999</v>
      </c>
    </row>
    <row r="271" spans="1:6" ht="15" thickBot="1">
      <c r="A271" s="840" t="s">
        <v>530</v>
      </c>
      <c r="B271" s="834" t="s">
        <v>441</v>
      </c>
      <c r="C271" s="1063">
        <v>0.15</v>
      </c>
      <c r="D271" s="1063">
        <v>0.15</v>
      </c>
      <c r="E271" s="1063">
        <v>0.15</v>
      </c>
      <c r="F271" s="1064">
        <v>0.13800000000000001</v>
      </c>
    </row>
    <row r="272" spans="1:6" ht="15" thickBot="1">
      <c r="A272" s="840" t="s">
        <v>530</v>
      </c>
      <c r="B272" s="834" t="s">
        <v>448</v>
      </c>
      <c r="C272" s="1076"/>
      <c r="D272" s="1076"/>
      <c r="E272" s="1076"/>
      <c r="F272" s="1064">
        <v>0.14000000000000001</v>
      </c>
    </row>
    <row r="273" spans="1:6" ht="15" thickBot="1">
      <c r="A273" s="840" t="s">
        <v>530</v>
      </c>
      <c r="B273" s="834" t="s">
        <v>972</v>
      </c>
      <c r="C273" s="1063">
        <v>0.14199999999999999</v>
      </c>
      <c r="D273" s="1063">
        <v>0.14299999999999999</v>
      </c>
      <c r="E273" s="1063">
        <v>0.15</v>
      </c>
      <c r="F273" s="1064">
        <v>0.1</v>
      </c>
    </row>
    <row r="274" spans="1:6" ht="15" thickBot="1">
      <c r="A274" s="840" t="s">
        <v>530</v>
      </c>
      <c r="B274" s="834" t="s">
        <v>973</v>
      </c>
      <c r="C274" s="1063">
        <v>0.14799999999999999</v>
      </c>
      <c r="D274" s="1063">
        <v>0.14799999999999999</v>
      </c>
      <c r="E274" s="1063">
        <v>0.15</v>
      </c>
      <c r="F274" s="1064">
        <v>6.7000000000000004E-2</v>
      </c>
    </row>
    <row r="275" spans="1:6" ht="15" thickBot="1">
      <c r="A275" s="840" t="s">
        <v>530</v>
      </c>
      <c r="B275" s="834" t="s">
        <v>974</v>
      </c>
      <c r="C275" s="1063">
        <v>0.15</v>
      </c>
      <c r="D275" s="1063">
        <v>0.15</v>
      </c>
      <c r="E275" s="1063">
        <v>0.15</v>
      </c>
      <c r="F275" s="1064">
        <v>0.15</v>
      </c>
    </row>
    <row r="276" spans="1:6" ht="15" thickBot="1">
      <c r="A276" s="840" t="s">
        <v>530</v>
      </c>
      <c r="B276" s="834" t="s">
        <v>975</v>
      </c>
      <c r="C276" s="1063">
        <v>0.14499999999999999</v>
      </c>
      <c r="D276" s="1063">
        <v>0.14299999999999999</v>
      </c>
      <c r="E276" s="1063">
        <v>0.15</v>
      </c>
      <c r="F276" s="1064">
        <v>5.8999999999999997E-2</v>
      </c>
    </row>
    <row r="277" spans="1:6" ht="15" thickBot="1">
      <c r="A277" s="840" t="s">
        <v>530</v>
      </c>
      <c r="B277" s="834" t="s">
        <v>976</v>
      </c>
      <c r="C277" s="1063">
        <v>0.15</v>
      </c>
      <c r="D277" s="1063">
        <v>0.15</v>
      </c>
      <c r="E277" s="1063">
        <v>0.15</v>
      </c>
      <c r="F277" s="1064">
        <v>0.121</v>
      </c>
    </row>
    <row r="278" spans="1:6" ht="15" thickBot="1">
      <c r="A278" s="840" t="s">
        <v>530</v>
      </c>
      <c r="B278" s="834" t="s">
        <v>977</v>
      </c>
      <c r="C278" s="1063">
        <v>0.15</v>
      </c>
      <c r="D278" s="1063">
        <v>0.15</v>
      </c>
      <c r="E278" s="1063">
        <v>0.15</v>
      </c>
      <c r="F278" s="1064">
        <v>0.13800000000000001</v>
      </c>
    </row>
    <row r="279" spans="1:6" ht="24.6" thickBot="1">
      <c r="A279" s="840" t="s">
        <v>530</v>
      </c>
      <c r="B279" s="834" t="s">
        <v>978</v>
      </c>
      <c r="C279" s="1076"/>
      <c r="D279" s="1076"/>
      <c r="E279" s="1076"/>
      <c r="F279" s="1064">
        <v>0.05</v>
      </c>
    </row>
    <row r="280" spans="1:6" ht="24.6" thickBot="1">
      <c r="A280" s="840" t="s">
        <v>530</v>
      </c>
      <c r="B280" s="834" t="s">
        <v>979</v>
      </c>
      <c r="C280" s="1076"/>
      <c r="D280" s="1076"/>
      <c r="E280" s="1076"/>
      <c r="F280" s="1064">
        <v>0.05</v>
      </c>
    </row>
    <row r="281" spans="1:6" ht="24.6" thickBot="1">
      <c r="A281" s="840" t="s">
        <v>530</v>
      </c>
      <c r="B281" s="834" t="s">
        <v>980</v>
      </c>
      <c r="C281" s="1076"/>
      <c r="D281" s="1076"/>
      <c r="E281" s="1076"/>
      <c r="F281" s="1064">
        <v>0.05</v>
      </c>
    </row>
    <row r="282" spans="1:6" ht="24.6" thickBot="1">
      <c r="A282" s="840" t="s">
        <v>530</v>
      </c>
      <c r="B282" s="834" t="s">
        <v>981</v>
      </c>
      <c r="C282" s="1076"/>
      <c r="D282" s="1076"/>
      <c r="E282" s="1076"/>
      <c r="F282" s="1064">
        <v>0.05</v>
      </c>
    </row>
    <row r="283" spans="1:6" ht="24.6" thickBot="1">
      <c r="A283" s="840" t="s">
        <v>530</v>
      </c>
      <c r="B283" s="834" t="s">
        <v>982</v>
      </c>
      <c r="C283" s="1076"/>
      <c r="D283" s="1076"/>
      <c r="E283" s="1076"/>
      <c r="F283" s="1064">
        <v>0.05</v>
      </c>
    </row>
    <row r="284" spans="1:6" ht="24.6" thickBot="1">
      <c r="A284" s="840" t="s">
        <v>530</v>
      </c>
      <c r="B284" s="834" t="s">
        <v>983</v>
      </c>
      <c r="C284" s="1076"/>
      <c r="D284" s="1076"/>
      <c r="E284" s="1076"/>
      <c r="F284" s="1064">
        <v>0.05</v>
      </c>
    </row>
    <row r="285" spans="1:6" ht="24.6" thickBot="1">
      <c r="A285" s="840" t="s">
        <v>530</v>
      </c>
      <c r="B285" s="834" t="s">
        <v>984</v>
      </c>
      <c r="C285" s="1076"/>
      <c r="D285" s="1076"/>
      <c r="E285" s="1076"/>
      <c r="F285" s="1064">
        <v>0.05</v>
      </c>
    </row>
    <row r="286" spans="1:6" ht="24.6" thickBot="1">
      <c r="A286" s="840" t="s">
        <v>530</v>
      </c>
      <c r="B286" s="834" t="s">
        <v>985</v>
      </c>
      <c r="C286" s="1076"/>
      <c r="D286" s="1076"/>
      <c r="E286" s="1076"/>
      <c r="F286" s="1064">
        <v>0.05</v>
      </c>
    </row>
    <row r="287" spans="1:6" ht="24.6" thickBot="1">
      <c r="A287" s="840" t="s">
        <v>530</v>
      </c>
      <c r="B287" s="834" t="s">
        <v>986</v>
      </c>
      <c r="C287" s="1076"/>
      <c r="D287" s="1076"/>
      <c r="E287" s="1076"/>
      <c r="F287" s="1064">
        <v>0.05</v>
      </c>
    </row>
    <row r="288" spans="1:6" ht="24.6" thickBot="1">
      <c r="A288" s="840" t="s">
        <v>530</v>
      </c>
      <c r="B288" s="834" t="s">
        <v>987</v>
      </c>
      <c r="C288" s="1076"/>
      <c r="D288" s="1076"/>
      <c r="E288" s="1076"/>
      <c r="F288" s="1064">
        <v>0.05</v>
      </c>
    </row>
    <row r="289" spans="1:6" ht="24.6" thickBot="1">
      <c r="A289" s="850" t="s">
        <v>530</v>
      </c>
      <c r="B289" s="846" t="s">
        <v>988</v>
      </c>
      <c r="C289" s="1073"/>
      <c r="D289" s="1073"/>
      <c r="E289" s="1073"/>
      <c r="F289" s="1066">
        <v>0.05</v>
      </c>
    </row>
    <row r="290" spans="1:6" ht="15" thickBot="1">
      <c r="A290" s="840" t="s">
        <v>534</v>
      </c>
      <c r="B290" s="841" t="s">
        <v>989</v>
      </c>
      <c r="C290" s="1061">
        <v>0.15</v>
      </c>
      <c r="D290" s="1061">
        <v>0.15</v>
      </c>
      <c r="E290" s="1061">
        <v>0.15</v>
      </c>
      <c r="F290" s="1078"/>
    </row>
    <row r="291" spans="1:6" ht="15" thickBot="1">
      <c r="A291" s="840" t="s">
        <v>534</v>
      </c>
      <c r="B291" s="834" t="s">
        <v>196</v>
      </c>
      <c r="C291" s="1063">
        <v>0.15</v>
      </c>
      <c r="D291" s="1063">
        <v>0.15</v>
      </c>
      <c r="E291" s="1063">
        <v>0.15</v>
      </c>
      <c r="F291" s="1075"/>
    </row>
    <row r="292" spans="1:6" ht="15" thickBot="1">
      <c r="A292" s="840" t="s">
        <v>534</v>
      </c>
      <c r="B292" s="834" t="s">
        <v>990</v>
      </c>
      <c r="C292" s="1063">
        <v>0.15</v>
      </c>
      <c r="D292" s="1063">
        <v>0.15</v>
      </c>
      <c r="E292" s="1063">
        <v>0.15</v>
      </c>
      <c r="F292" s="1064">
        <v>0.14699999999999999</v>
      </c>
    </row>
    <row r="293" spans="1:6" ht="15" thickBot="1">
      <c r="A293" s="840" t="s">
        <v>534</v>
      </c>
      <c r="B293" s="834" t="s">
        <v>991</v>
      </c>
      <c r="C293" s="1076"/>
      <c r="D293" s="1076"/>
      <c r="E293" s="1076"/>
      <c r="F293" s="1064">
        <v>0.1</v>
      </c>
    </row>
    <row r="294" spans="1:6" ht="15" thickBot="1">
      <c r="A294" s="840" t="s">
        <v>534</v>
      </c>
      <c r="B294" s="834" t="s">
        <v>992</v>
      </c>
      <c r="C294" s="1063">
        <v>0.15</v>
      </c>
      <c r="D294" s="1063">
        <v>0.15</v>
      </c>
      <c r="E294" s="1063">
        <v>0.15</v>
      </c>
      <c r="F294" s="1064">
        <v>0.15</v>
      </c>
    </row>
    <row r="295" spans="1:6" ht="15" thickBot="1">
      <c r="A295" s="840" t="s">
        <v>534</v>
      </c>
      <c r="B295" s="834" t="s">
        <v>234</v>
      </c>
      <c r="C295" s="1063">
        <v>0.15</v>
      </c>
      <c r="D295" s="1063">
        <v>0.15</v>
      </c>
      <c r="E295" s="1063">
        <v>0.15</v>
      </c>
      <c r="F295" s="1064">
        <v>0.15</v>
      </c>
    </row>
    <row r="296" spans="1:6" ht="15" thickBot="1">
      <c r="A296" s="840" t="s">
        <v>534</v>
      </c>
      <c r="B296" s="834" t="s">
        <v>993</v>
      </c>
      <c r="C296" s="1063">
        <v>0.15</v>
      </c>
      <c r="D296" s="1063">
        <v>0.15</v>
      </c>
      <c r="E296" s="1063">
        <v>0.15</v>
      </c>
      <c r="F296" s="1064">
        <v>0.15</v>
      </c>
    </row>
    <row r="297" spans="1:6" ht="15" thickBot="1">
      <c r="A297" s="840" t="s">
        <v>534</v>
      </c>
      <c r="B297" s="834" t="s">
        <v>994</v>
      </c>
      <c r="C297" s="1063">
        <v>0.14799999999999999</v>
      </c>
      <c r="D297" s="1063">
        <v>0.14899999999999999</v>
      </c>
      <c r="E297" s="1063">
        <v>0.15</v>
      </c>
      <c r="F297" s="1064">
        <v>0.13700000000000001</v>
      </c>
    </row>
    <row r="298" spans="1:6" ht="15" thickBot="1">
      <c r="A298" s="840" t="s">
        <v>534</v>
      </c>
      <c r="B298" s="834" t="s">
        <v>267</v>
      </c>
      <c r="C298" s="1063">
        <v>0.13400000000000001</v>
      </c>
      <c r="D298" s="1063">
        <v>0.13400000000000001</v>
      </c>
      <c r="E298" s="1063">
        <v>0.14499999999999999</v>
      </c>
      <c r="F298" s="1064">
        <v>0.14799999999999999</v>
      </c>
    </row>
    <row r="299" spans="1:6" ht="15" thickBot="1">
      <c r="A299" s="840" t="s">
        <v>534</v>
      </c>
      <c r="B299" s="834" t="s">
        <v>279</v>
      </c>
      <c r="C299" s="1063">
        <v>0.15</v>
      </c>
      <c r="D299" s="1063">
        <v>0.15</v>
      </c>
      <c r="E299" s="1063">
        <v>0.15</v>
      </c>
      <c r="F299" s="1075"/>
    </row>
    <row r="300" spans="1:6" ht="15" thickBot="1">
      <c r="A300" s="840" t="s">
        <v>534</v>
      </c>
      <c r="B300" s="834" t="s">
        <v>995</v>
      </c>
      <c r="C300" s="1063">
        <v>0.15</v>
      </c>
      <c r="D300" s="1063">
        <v>0.15</v>
      </c>
      <c r="E300" s="1063">
        <v>0.15</v>
      </c>
      <c r="F300" s="1064">
        <v>0.15</v>
      </c>
    </row>
    <row r="301" spans="1:6" ht="15" thickBot="1">
      <c r="A301" s="840" t="s">
        <v>534</v>
      </c>
      <c r="B301" s="834" t="s">
        <v>299</v>
      </c>
      <c r="C301" s="1063">
        <v>0.15</v>
      </c>
      <c r="D301" s="1063">
        <v>0.15</v>
      </c>
      <c r="E301" s="1063">
        <v>0.15</v>
      </c>
      <c r="F301" s="1075"/>
    </row>
    <row r="302" spans="1:6" ht="15" thickBot="1">
      <c r="A302" s="840" t="s">
        <v>534</v>
      </c>
      <c r="B302" s="834" t="s">
        <v>996</v>
      </c>
      <c r="C302" s="1063">
        <v>0.15</v>
      </c>
      <c r="D302" s="1063">
        <v>0.15</v>
      </c>
      <c r="E302" s="1063">
        <v>0.15</v>
      </c>
      <c r="F302" s="1064">
        <v>0.15</v>
      </c>
    </row>
    <row r="303" spans="1:6" ht="15" thickBot="1">
      <c r="A303" s="840" t="s">
        <v>534</v>
      </c>
      <c r="B303" s="834" t="s">
        <v>319</v>
      </c>
      <c r="C303" s="1063">
        <v>0.15</v>
      </c>
      <c r="D303" s="1063">
        <v>0.15</v>
      </c>
      <c r="E303" s="1063">
        <v>0.15</v>
      </c>
      <c r="F303" s="1064">
        <v>0.15</v>
      </c>
    </row>
    <row r="304" spans="1:6" ht="15" thickBot="1">
      <c r="A304" s="840" t="s">
        <v>534</v>
      </c>
      <c r="B304" s="834" t="s">
        <v>330</v>
      </c>
      <c r="C304" s="1063">
        <v>0.15</v>
      </c>
      <c r="D304" s="1063">
        <v>0.15</v>
      </c>
      <c r="E304" s="1063">
        <v>0.15</v>
      </c>
      <c r="F304" s="1075"/>
    </row>
    <row r="305" spans="1:6" ht="15" thickBot="1">
      <c r="A305" s="840" t="s">
        <v>534</v>
      </c>
      <c r="B305" s="834" t="s">
        <v>997</v>
      </c>
      <c r="C305" s="1063">
        <v>0.15</v>
      </c>
      <c r="D305" s="1063">
        <v>0.15</v>
      </c>
      <c r="E305" s="1063">
        <v>0.15</v>
      </c>
      <c r="F305" s="1064">
        <v>0.14000000000000001</v>
      </c>
    </row>
    <row r="306" spans="1:6" ht="15" thickBot="1">
      <c r="A306" s="840" t="s">
        <v>534</v>
      </c>
      <c r="B306" s="834" t="s">
        <v>351</v>
      </c>
      <c r="C306" s="1063">
        <v>0.15</v>
      </c>
      <c r="D306" s="1063">
        <v>0.15</v>
      </c>
      <c r="E306" s="1063">
        <v>0.15</v>
      </c>
      <c r="F306" s="1075"/>
    </row>
    <row r="307" spans="1:6" ht="15" thickBot="1">
      <c r="A307" s="840" t="s">
        <v>534</v>
      </c>
      <c r="B307" s="834" t="s">
        <v>998</v>
      </c>
      <c r="C307" s="1063">
        <v>0.15</v>
      </c>
      <c r="D307" s="1063">
        <v>0.15</v>
      </c>
      <c r="E307" s="1063">
        <v>0.15</v>
      </c>
      <c r="F307" s="1064">
        <v>0.14299999999999999</v>
      </c>
    </row>
    <row r="308" spans="1:6" ht="15" thickBot="1">
      <c r="A308" s="840" t="s">
        <v>534</v>
      </c>
      <c r="B308" s="834" t="s">
        <v>371</v>
      </c>
      <c r="C308" s="1063">
        <v>0.15</v>
      </c>
      <c r="D308" s="1063">
        <v>0.15</v>
      </c>
      <c r="E308" s="1063">
        <v>0.15</v>
      </c>
      <c r="F308" s="1064">
        <v>0.15</v>
      </c>
    </row>
    <row r="309" spans="1:6" ht="15" thickBot="1">
      <c r="A309" s="840" t="s">
        <v>534</v>
      </c>
      <c r="B309" s="834" t="s">
        <v>381</v>
      </c>
      <c r="C309" s="1063">
        <v>0.15</v>
      </c>
      <c r="D309" s="1063">
        <v>0.15</v>
      </c>
      <c r="E309" s="1063">
        <v>0.15</v>
      </c>
      <c r="F309" s="1075"/>
    </row>
    <row r="310" spans="1:6" ht="15" thickBot="1">
      <c r="A310" s="840" t="s">
        <v>534</v>
      </c>
      <c r="B310" s="834" t="s">
        <v>999</v>
      </c>
      <c r="C310" s="1063">
        <v>0.15</v>
      </c>
      <c r="D310" s="1063">
        <v>0.15</v>
      </c>
      <c r="E310" s="1063">
        <v>0.15</v>
      </c>
      <c r="F310" s="1064">
        <v>0.13700000000000001</v>
      </c>
    </row>
    <row r="311" spans="1:6" ht="15" thickBot="1">
      <c r="A311" s="840" t="s">
        <v>534</v>
      </c>
      <c r="B311" s="834" t="s">
        <v>1000</v>
      </c>
      <c r="C311" s="1063">
        <v>0.15</v>
      </c>
      <c r="D311" s="1063">
        <v>0.15</v>
      </c>
      <c r="E311" s="1063">
        <v>0.15</v>
      </c>
      <c r="F311" s="1064">
        <v>0.15</v>
      </c>
    </row>
    <row r="312" spans="1:6" ht="15" thickBot="1">
      <c r="A312" s="840" t="s">
        <v>534</v>
      </c>
      <c r="B312" s="834" t="s">
        <v>407</v>
      </c>
      <c r="C312" s="1063">
        <v>0.15</v>
      </c>
      <c r="D312" s="1063">
        <v>0.15</v>
      </c>
      <c r="E312" s="1063">
        <v>0.15</v>
      </c>
      <c r="F312" s="1064">
        <v>0.1</v>
      </c>
    </row>
    <row r="313" spans="1:6" ht="15" thickBot="1">
      <c r="A313" s="840" t="s">
        <v>534</v>
      </c>
      <c r="B313" s="834" t="s">
        <v>1001</v>
      </c>
      <c r="C313" s="1063">
        <v>0.15</v>
      </c>
      <c r="D313" s="1063">
        <v>0.15</v>
      </c>
      <c r="E313" s="1063">
        <v>0.15</v>
      </c>
      <c r="F313" s="1064">
        <v>0.15</v>
      </c>
    </row>
    <row r="314" spans="1:6" ht="24.6" thickBot="1">
      <c r="A314" s="840" t="s">
        <v>534</v>
      </c>
      <c r="B314" s="834" t="s">
        <v>1002</v>
      </c>
      <c r="C314" s="1076"/>
      <c r="D314" s="1076"/>
      <c r="E314" s="1076"/>
      <c r="F314" s="1064">
        <v>0.05</v>
      </c>
    </row>
    <row r="315" spans="1:6" ht="24.6" thickBot="1">
      <c r="A315" s="840" t="s">
        <v>534</v>
      </c>
      <c r="B315" s="834" t="s">
        <v>1003</v>
      </c>
      <c r="C315" s="1076"/>
      <c r="D315" s="1076"/>
      <c r="E315" s="1076"/>
      <c r="F315" s="1064">
        <v>0.05</v>
      </c>
    </row>
    <row r="316" spans="1:6" ht="24.6" thickBot="1">
      <c r="A316" s="850" t="s">
        <v>534</v>
      </c>
      <c r="B316" s="846" t="s">
        <v>1004</v>
      </c>
      <c r="C316" s="1073"/>
      <c r="D316" s="1073"/>
      <c r="E316" s="1073"/>
      <c r="F316" s="1066">
        <v>0.05</v>
      </c>
    </row>
    <row r="317" spans="1:6" ht="15" thickBot="1">
      <c r="A317" s="840" t="s">
        <v>1005</v>
      </c>
      <c r="B317" s="841" t="s">
        <v>1006</v>
      </c>
      <c r="C317" s="1061">
        <v>0.15</v>
      </c>
      <c r="D317" s="1061">
        <v>0.15</v>
      </c>
      <c r="E317" s="1061">
        <v>0.15</v>
      </c>
      <c r="F317" s="1062">
        <v>0.15</v>
      </c>
    </row>
    <row r="318" spans="1:6" ht="15" thickBot="1">
      <c r="A318" s="840" t="s">
        <v>1005</v>
      </c>
      <c r="B318" s="834" t="s">
        <v>1007</v>
      </c>
      <c r="C318" s="1063">
        <v>0.107</v>
      </c>
      <c r="D318" s="1063">
        <v>0.11</v>
      </c>
      <c r="E318" s="1063">
        <v>0.112</v>
      </c>
      <c r="F318" s="1075"/>
    </row>
    <row r="319" spans="1:6" ht="15" thickBot="1">
      <c r="A319" s="840" t="s">
        <v>1005</v>
      </c>
      <c r="B319" s="834" t="s">
        <v>1008</v>
      </c>
      <c r="C319" s="1063">
        <v>0.15</v>
      </c>
      <c r="D319" s="1063">
        <v>0.15</v>
      </c>
      <c r="E319" s="1063">
        <v>0.15</v>
      </c>
      <c r="F319" s="1064">
        <v>0.15</v>
      </c>
    </row>
    <row r="320" spans="1:6" ht="15" thickBot="1">
      <c r="A320" s="840" t="s">
        <v>1005</v>
      </c>
      <c r="B320" s="834" t="s">
        <v>223</v>
      </c>
      <c r="C320" s="1063">
        <v>0.15</v>
      </c>
      <c r="D320" s="1063">
        <v>0.15</v>
      </c>
      <c r="E320" s="1063">
        <v>0.15</v>
      </c>
      <c r="F320" s="1075"/>
    </row>
    <row r="321" spans="1:6" ht="15" thickBot="1">
      <c r="A321" s="840" t="s">
        <v>1005</v>
      </c>
      <c r="B321" s="834" t="s">
        <v>1009</v>
      </c>
      <c r="C321" s="1063">
        <v>0.15</v>
      </c>
      <c r="D321" s="1063">
        <v>0.15</v>
      </c>
      <c r="E321" s="1063">
        <v>0.15</v>
      </c>
      <c r="F321" s="1075"/>
    </row>
    <row r="322" spans="1:6" ht="15" thickBot="1">
      <c r="A322" s="840" t="s">
        <v>1005</v>
      </c>
      <c r="B322" s="834" t="s">
        <v>1010</v>
      </c>
      <c r="C322" s="1063">
        <v>0.15</v>
      </c>
      <c r="D322" s="1063">
        <v>0.15</v>
      </c>
      <c r="E322" s="1063">
        <v>0.15</v>
      </c>
      <c r="F322" s="1064">
        <v>0.15</v>
      </c>
    </row>
    <row r="323" spans="1:6" ht="15" thickBot="1">
      <c r="A323" s="840" t="s">
        <v>1005</v>
      </c>
      <c r="B323" s="834" t="s">
        <v>1011</v>
      </c>
      <c r="C323" s="1063">
        <v>0.15</v>
      </c>
      <c r="D323" s="1063">
        <v>0.15</v>
      </c>
      <c r="E323" s="1063">
        <v>0.15</v>
      </c>
      <c r="F323" s="1075"/>
    </row>
    <row r="324" spans="1:6" ht="15" thickBot="1">
      <c r="A324" s="840" t="s">
        <v>1005</v>
      </c>
      <c r="B324" s="834" t="s">
        <v>1012</v>
      </c>
      <c r="C324" s="1063">
        <v>0.15</v>
      </c>
      <c r="D324" s="1063">
        <v>0.15</v>
      </c>
      <c r="E324" s="1063">
        <v>0.15</v>
      </c>
      <c r="F324" s="1075"/>
    </row>
    <row r="325" spans="1:6" ht="15" thickBot="1">
      <c r="A325" s="840" t="s">
        <v>1005</v>
      </c>
      <c r="B325" s="834" t="s">
        <v>1013</v>
      </c>
      <c r="C325" s="1063">
        <v>0.15</v>
      </c>
      <c r="D325" s="1063">
        <v>0.15</v>
      </c>
      <c r="E325" s="1063">
        <v>0.15</v>
      </c>
      <c r="F325" s="1064">
        <v>0.14699999999999999</v>
      </c>
    </row>
    <row r="326" spans="1:6" ht="15" thickBot="1">
      <c r="A326" s="840" t="s">
        <v>1005</v>
      </c>
      <c r="B326" s="834" t="s">
        <v>290</v>
      </c>
      <c r="C326" s="1063">
        <v>0.15</v>
      </c>
      <c r="D326" s="1063">
        <v>0.15</v>
      </c>
      <c r="E326" s="1063">
        <v>0.15</v>
      </c>
      <c r="F326" s="1075"/>
    </row>
    <row r="327" spans="1:6" ht="15" thickBot="1">
      <c r="A327" s="840" t="s">
        <v>1005</v>
      </c>
      <c r="B327" s="834" t="s">
        <v>1014</v>
      </c>
      <c r="C327" s="1063">
        <v>0.15</v>
      </c>
      <c r="D327" s="1063">
        <v>0.15</v>
      </c>
      <c r="E327" s="1063">
        <v>0.15</v>
      </c>
      <c r="F327" s="1064">
        <v>0.15</v>
      </c>
    </row>
    <row r="328" spans="1:6" ht="15" thickBot="1">
      <c r="A328" s="840" t="s">
        <v>1005</v>
      </c>
      <c r="B328" s="834" t="s">
        <v>310</v>
      </c>
      <c r="C328" s="1063">
        <v>0.15</v>
      </c>
      <c r="D328" s="1063">
        <v>0.15</v>
      </c>
      <c r="E328" s="1063">
        <v>0.15</v>
      </c>
      <c r="F328" s="1064">
        <v>0.14099999999999999</v>
      </c>
    </row>
    <row r="329" spans="1:6" ht="15" thickBot="1">
      <c r="A329" s="840" t="s">
        <v>1005</v>
      </c>
      <c r="B329" s="834" t="s">
        <v>320</v>
      </c>
      <c r="C329" s="1063">
        <v>0.15</v>
      </c>
      <c r="D329" s="1063">
        <v>0.15</v>
      </c>
      <c r="E329" s="1063">
        <v>0.15</v>
      </c>
      <c r="F329" s="1064">
        <v>0.15</v>
      </c>
    </row>
    <row r="330" spans="1:6" ht="15" thickBot="1">
      <c r="A330" s="840" t="s">
        <v>1005</v>
      </c>
      <c r="B330" s="834" t="s">
        <v>331</v>
      </c>
      <c r="C330" s="1063">
        <v>0.15</v>
      </c>
      <c r="D330" s="1063">
        <v>0.15</v>
      </c>
      <c r="E330" s="1063">
        <v>0.15</v>
      </c>
      <c r="F330" s="1075"/>
    </row>
    <row r="331" spans="1:6" ht="15" thickBot="1">
      <c r="A331" s="840" t="s">
        <v>1005</v>
      </c>
      <c r="B331" s="834" t="s">
        <v>1015</v>
      </c>
      <c r="C331" s="1063">
        <v>0.15</v>
      </c>
      <c r="D331" s="1063">
        <v>0.15</v>
      </c>
      <c r="E331" s="1063">
        <v>0.15</v>
      </c>
      <c r="F331" s="1064">
        <v>0.15</v>
      </c>
    </row>
    <row r="332" spans="1:6" ht="15" thickBot="1">
      <c r="A332" s="840" t="s">
        <v>1005</v>
      </c>
      <c r="B332" s="834" t="s">
        <v>352</v>
      </c>
      <c r="C332" s="1063">
        <v>0.15</v>
      </c>
      <c r="D332" s="1063">
        <v>0.15</v>
      </c>
      <c r="E332" s="1063">
        <v>0.15</v>
      </c>
      <c r="F332" s="1064">
        <v>0.15</v>
      </c>
    </row>
    <row r="333" spans="1:6" ht="15" thickBot="1">
      <c r="A333" s="840" t="s">
        <v>1005</v>
      </c>
      <c r="B333" s="834" t="s">
        <v>1016</v>
      </c>
      <c r="C333" s="1063">
        <v>0.15</v>
      </c>
      <c r="D333" s="1063">
        <v>0.15</v>
      </c>
      <c r="E333" s="1063">
        <v>0.15</v>
      </c>
      <c r="F333" s="1064">
        <v>0.14099999999999999</v>
      </c>
    </row>
    <row r="334" spans="1:6" ht="15" thickBot="1">
      <c r="A334" s="840" t="s">
        <v>1005</v>
      </c>
      <c r="B334" s="834" t="s">
        <v>372</v>
      </c>
      <c r="C334" s="1063">
        <v>0.15</v>
      </c>
      <c r="D334" s="1063">
        <v>0.15</v>
      </c>
      <c r="E334" s="1063">
        <v>0.15</v>
      </c>
      <c r="F334" s="1064">
        <v>0.15</v>
      </c>
    </row>
    <row r="335" spans="1:6" ht="15" thickBot="1">
      <c r="A335" s="840" t="s">
        <v>1005</v>
      </c>
      <c r="B335" s="834" t="s">
        <v>382</v>
      </c>
      <c r="C335" s="1063">
        <v>0.15</v>
      </c>
      <c r="D335" s="1063">
        <v>0.15</v>
      </c>
      <c r="E335" s="1063">
        <v>0.15</v>
      </c>
      <c r="F335" s="1075"/>
    </row>
    <row r="336" spans="1:6" ht="15" thickBot="1">
      <c r="A336" s="840" t="s">
        <v>1005</v>
      </c>
      <c r="B336" s="834" t="s">
        <v>1017</v>
      </c>
      <c r="C336" s="1063">
        <v>0.15</v>
      </c>
      <c r="D336" s="1063">
        <v>0.15</v>
      </c>
      <c r="E336" s="1063">
        <v>0.15</v>
      </c>
      <c r="F336" s="1064">
        <v>0.11799999999999999</v>
      </c>
    </row>
    <row r="337" spans="1:6" ht="15" thickBot="1">
      <c r="A337" s="850" t="s">
        <v>1005</v>
      </c>
      <c r="B337" s="846" t="s">
        <v>400</v>
      </c>
      <c r="C337" s="1073"/>
      <c r="D337" s="1073"/>
      <c r="E337" s="1073"/>
      <c r="F337" s="1066">
        <v>0.14299999999999999</v>
      </c>
    </row>
    <row r="338" spans="1:6" ht="15" thickBot="1">
      <c r="A338" s="840" t="s">
        <v>1018</v>
      </c>
      <c r="B338" s="841" t="s">
        <v>1019</v>
      </c>
      <c r="C338" s="1061">
        <v>0.15</v>
      </c>
      <c r="D338" s="1061">
        <v>0.15</v>
      </c>
      <c r="E338" s="1061">
        <v>0.15</v>
      </c>
      <c r="F338" s="1078"/>
    </row>
    <row r="339" spans="1:6" ht="15" thickBot="1">
      <c r="A339" s="840" t="s">
        <v>1018</v>
      </c>
      <c r="B339" s="834" t="s">
        <v>1020</v>
      </c>
      <c r="C339" s="1063">
        <v>0.15</v>
      </c>
      <c r="D339" s="1063">
        <v>0.15</v>
      </c>
      <c r="E339" s="1063">
        <v>0.15</v>
      </c>
      <c r="F339" s="1075"/>
    </row>
    <row r="340" spans="1:6" ht="15" thickBot="1">
      <c r="A340" s="840" t="s">
        <v>1018</v>
      </c>
      <c r="B340" s="834" t="s">
        <v>1021</v>
      </c>
      <c r="C340" s="1063">
        <v>0.15</v>
      </c>
      <c r="D340" s="1063">
        <v>0.15</v>
      </c>
      <c r="E340" s="1063">
        <v>0.15</v>
      </c>
      <c r="F340" s="1075"/>
    </row>
    <row r="341" spans="1:6" ht="15" thickBot="1">
      <c r="A341" s="840" t="s">
        <v>1018</v>
      </c>
      <c r="B341" s="834" t="s">
        <v>1022</v>
      </c>
      <c r="C341" s="1063">
        <v>0.15</v>
      </c>
      <c r="D341" s="1063">
        <v>0.15</v>
      </c>
      <c r="E341" s="1063">
        <v>0.15</v>
      </c>
      <c r="F341" s="1064">
        <v>0.15</v>
      </c>
    </row>
    <row r="342" spans="1:6" ht="15" thickBot="1">
      <c r="A342" s="840" t="s">
        <v>1018</v>
      </c>
      <c r="B342" s="834" t="s">
        <v>1023</v>
      </c>
      <c r="C342" s="1063">
        <v>0.15</v>
      </c>
      <c r="D342" s="1063">
        <v>0.15</v>
      </c>
      <c r="E342" s="1063">
        <v>0.15</v>
      </c>
      <c r="F342" s="1064">
        <v>0.15</v>
      </c>
    </row>
    <row r="343" spans="1:6" ht="15" thickBot="1">
      <c r="A343" s="840" t="s">
        <v>1018</v>
      </c>
      <c r="B343" s="834" t="s">
        <v>1024</v>
      </c>
      <c r="C343" s="1063">
        <v>0.15</v>
      </c>
      <c r="D343" s="1063">
        <v>0.15</v>
      </c>
      <c r="E343" s="1063">
        <v>0.15</v>
      </c>
      <c r="F343" s="1064">
        <v>0.15</v>
      </c>
    </row>
    <row r="344" spans="1:6" ht="1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43725</v>
      </c>
      <c r="D1" s="1698" t="s">
        <v>1297</v>
      </c>
      <c r="E1" s="1693">
        <f>'数据-取费表'!B22</f>
        <v>3</v>
      </c>
      <c r="F1" s="1698" t="s">
        <v>1298</v>
      </c>
      <c r="G1" s="1694">
        <f ca="1">INDIRECT("d"&amp;$K$1)/100</f>
        <v>4.7500000000000001E-2</v>
      </c>
      <c r="H1" s="1698" t="s">
        <v>1328</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1636</v>
      </c>
      <c r="B2" s="3001" t="s">
        <v>1637</v>
      </c>
      <c r="C2" s="3001" t="s">
        <v>1638</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6">
      <c r="A3" s="2995"/>
      <c r="B3" s="2995"/>
      <c r="C3" s="2995"/>
      <c r="D3" s="1043" t="s">
        <v>1633</v>
      </c>
      <c r="E3" s="1043" t="s">
        <v>1639</v>
      </c>
      <c r="F3" s="1043" t="s">
        <v>1633</v>
      </c>
      <c r="G3" s="1043" t="s">
        <v>1634</v>
      </c>
      <c r="H3" s="1043" t="s">
        <v>1633</v>
      </c>
      <c r="I3" s="1043" t="s">
        <v>1634</v>
      </c>
    </row>
    <row r="4" spans="1:9" ht="75">
      <c r="A4" s="1970" t="str">
        <f>项目基本情况!S2</f>
        <v>天津市滨海新区中心渔港经济区鲤鱼门路以东、海湾一道以南4-1、4-2#地块出让国有建设用地使用权及在建建筑物房地产</v>
      </c>
      <c r="B4" s="1043">
        <f>项目基本情况!C17</f>
        <v>14966.349999999999</v>
      </c>
      <c r="C4" s="1043">
        <f>项目基本情况!C18</f>
        <v>3741.59</v>
      </c>
      <c r="D4" s="1043">
        <f ca="1">结果表!D118</f>
        <v>7870</v>
      </c>
      <c r="E4" s="1043">
        <f ca="1">结果表!E118</f>
        <v>5258</v>
      </c>
      <c r="F4" s="1043">
        <f ca="1">结果表!F118</f>
        <v>5377</v>
      </c>
      <c r="G4" s="1043">
        <f ca="1">结果表!G118</f>
        <v>3593</v>
      </c>
      <c r="H4" s="1043">
        <f ca="1">结果表!H118</f>
        <v>13247</v>
      </c>
      <c r="I4" s="1043">
        <f ca="1">结果表!I118</f>
        <v>8851</v>
      </c>
    </row>
    <row r="5" spans="1:9" ht="30" customHeight="1">
      <c r="A5" s="2995" t="s">
        <v>1635</v>
      </c>
      <c r="B5" s="2995"/>
      <c r="C5" s="2995"/>
      <c r="D5" s="2996" t="str">
        <f ca="1">结果表!D119</f>
        <v>柒仟捌佰柒拾万元整</v>
      </c>
      <c r="E5" s="2996"/>
      <c r="F5" s="2996" t="str">
        <f ca="1">结果表!F119</f>
        <v>伍仟叁佰柒拾柒万元整</v>
      </c>
      <c r="G5" s="2996"/>
      <c r="H5" s="2996" t="str">
        <f ca="1">结果表!H119</f>
        <v>壹亿叁仟贰佰肆拾柒万元整</v>
      </c>
      <c r="I5" s="2996"/>
    </row>
    <row r="6" spans="1:9" ht="15.6">
      <c r="A6" s="2994" t="str">
        <f>结果表!A120</f>
        <v>估价师知悉的法定优先受偿款</v>
      </c>
      <c r="B6" s="2994"/>
      <c r="C6" s="2994"/>
      <c r="D6" s="2994">
        <f>结果表!D120</f>
        <v>0</v>
      </c>
      <c r="E6" s="2994"/>
      <c r="F6" s="2994"/>
      <c r="G6" s="2994"/>
      <c r="H6" s="2994"/>
      <c r="I6" s="2994"/>
    </row>
    <row r="7" spans="1:9" ht="15">
      <c r="A7" s="2995" t="s">
        <v>1635</v>
      </c>
      <c r="B7" s="2995"/>
      <c r="C7" s="2995"/>
      <c r="D7" s="2997" t="str">
        <f>结果表!D121</f>
        <v>零元整</v>
      </c>
      <c r="E7" s="2998"/>
      <c r="F7" s="2998"/>
      <c r="G7" s="2998"/>
      <c r="H7" s="2998"/>
      <c r="I7" s="2999"/>
    </row>
    <row r="8" spans="1:9" ht="15.6">
      <c r="A8" s="2994" t="str">
        <f>结果表!A122</f>
        <v>房地产抵押价值</v>
      </c>
      <c r="B8" s="2994"/>
      <c r="C8" s="2994"/>
      <c r="D8" s="2994">
        <f ca="1">结果表!D122</f>
        <v>13247</v>
      </c>
      <c r="E8" s="2994"/>
      <c r="F8" s="2994"/>
      <c r="G8" s="2994"/>
      <c r="H8" s="2994"/>
      <c r="I8" s="2994"/>
    </row>
    <row r="9" spans="1:9" ht="15">
      <c r="A9" s="2995" t="s">
        <v>1635</v>
      </c>
      <c r="B9" s="2995"/>
      <c r="C9" s="2995"/>
      <c r="D9" s="2996" t="str">
        <f ca="1">结果表!D123</f>
        <v>壹亿叁仟贰佰肆拾柒万元整</v>
      </c>
      <c r="E9" s="2996"/>
      <c r="F9" s="2996"/>
      <c r="G9" s="2996"/>
      <c r="H9" s="2996"/>
      <c r="I9" s="2996"/>
    </row>
    <row r="10" spans="1:9" ht="15.6">
      <c r="A10" s="2994" t="str">
        <f>结果表!A124</f>
        <v/>
      </c>
      <c r="B10" s="2994"/>
      <c r="C10" s="2994"/>
      <c r="D10" s="2994" t="str">
        <f>结果表!D124</f>
        <v>——</v>
      </c>
      <c r="E10" s="2994"/>
      <c r="F10" s="2994"/>
      <c r="G10" s="2994"/>
      <c r="H10" s="2994"/>
      <c r="I10" s="2994"/>
    </row>
    <row r="11" spans="1:9" ht="15">
      <c r="A11" s="2995" t="s">
        <v>1635</v>
      </c>
      <c r="B11" s="2995"/>
      <c r="C11" s="2995"/>
      <c r="D11" s="2996" t="e">
        <f>结果表!D125</f>
        <v>#VALUE!</v>
      </c>
      <c r="E11" s="2996"/>
      <c r="F11" s="2996"/>
      <c r="G11" s="2996"/>
      <c r="H11" s="2996"/>
      <c r="I11" s="2996"/>
    </row>
    <row r="12" spans="1:9" ht="15.6">
      <c r="A12" s="2994" t="str">
        <f>结果表!A126</f>
        <v/>
      </c>
      <c r="B12" s="2994"/>
      <c r="C12" s="2994"/>
      <c r="D12" s="2994" t="str">
        <f>结果表!D126</f>
        <v>——</v>
      </c>
      <c r="E12" s="2994"/>
      <c r="F12" s="2994"/>
      <c r="G12" s="2994"/>
      <c r="H12" s="2994"/>
      <c r="I12" s="2994"/>
    </row>
    <row r="13" spans="1:9" ht="15.6" thickBot="1">
      <c r="A13" s="2991" t="s">
        <v>1635</v>
      </c>
      <c r="B13" s="2991"/>
      <c r="C13" s="2991"/>
      <c r="D13" s="2992" t="e">
        <f>结果表!D127</f>
        <v>#VALUE!</v>
      </c>
      <c r="E13" s="2992"/>
      <c r="F13" s="2992"/>
      <c r="G13" s="2992"/>
      <c r="H13" s="2992"/>
      <c r="I13" s="2992"/>
    </row>
    <row r="14" spans="1:9" ht="14.4" thickTop="1">
      <c r="A14" s="2993" t="s">
        <v>1640</v>
      </c>
      <c r="B14" s="2993"/>
      <c r="C14" s="2993"/>
      <c r="D14" s="2993"/>
      <c r="E14" s="2993"/>
      <c r="F14" s="2993"/>
      <c r="G14" s="2993"/>
      <c r="H14" s="2993"/>
      <c r="I14" s="2993"/>
    </row>
    <row r="16" spans="1:9" ht="17.399999999999999">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08" t="s">
        <v>1657</v>
      </c>
      <c r="B1" s="3008"/>
      <c r="C1" s="3008"/>
      <c r="D1" s="3008"/>
    </row>
    <row r="2" spans="1:4" ht="17.399999999999999">
      <c r="A2" s="3009" t="s">
        <v>1641</v>
      </c>
      <c r="B2" s="3009"/>
      <c r="C2" s="3009"/>
      <c r="D2" s="3009"/>
    </row>
    <row r="3" spans="1:4" ht="17.399999999999999">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郑燚</v>
      </c>
      <c r="B5" s="1976">
        <f ca="1">项目基本情况!E4</f>
        <v>1120070131</v>
      </c>
      <c r="C5" s="1979"/>
      <c r="D5" s="1978" t="s">
        <v>1646</v>
      </c>
    </row>
    <row r="6" spans="1:4" ht="17.399999999999999">
      <c r="A6" s="3009" t="s">
        <v>1647</v>
      </c>
      <c r="B6" s="3009"/>
      <c r="C6" s="3009"/>
      <c r="D6" s="3009"/>
    </row>
    <row r="7" spans="1:4" ht="17.399999999999999">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7.399999999999999">
      <c r="A10" s="1981" t="s">
        <v>1649</v>
      </c>
      <c r="B10" s="728"/>
      <c r="C10" s="728"/>
      <c r="D10" s="728"/>
    </row>
    <row r="11" spans="1:4" ht="30" customHeight="1">
      <c r="A11" s="3010" t="s">
        <v>1650</v>
      </c>
      <c r="B11" s="3002"/>
      <c r="C11" s="3002"/>
      <c r="D11" s="3002"/>
    </row>
    <row r="12" spans="1:4" ht="15.6">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1651</v>
      </c>
      <c r="B16" s="3004"/>
      <c r="C16" s="3004"/>
      <c r="D16" s="3004"/>
    </row>
    <row r="17" spans="1:4" ht="144" customHeight="1">
      <c r="A17" s="3004" t="s">
        <v>1652</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1653</v>
      </c>
      <c r="B22" s="3006"/>
      <c r="C22" s="3006"/>
      <c r="D22" s="3006"/>
    </row>
    <row r="23" spans="1:4">
      <c r="A23" s="1982"/>
      <c r="B23" s="1954"/>
      <c r="C23" s="1954"/>
      <c r="D23" s="1954"/>
    </row>
    <row r="24" spans="1:4">
      <c r="A24" s="1982"/>
      <c r="B24" s="1954"/>
      <c r="C24" s="1954"/>
      <c r="D24" s="1954"/>
    </row>
    <row r="25" spans="1:4" ht="17.399999999999999">
      <c r="A25" s="1983" t="s">
        <v>1654</v>
      </c>
    </row>
    <row r="26" spans="1:4" ht="17.399999999999999">
      <c r="A26" s="1952"/>
    </row>
    <row r="27" spans="1:4" ht="17.399999999999999">
      <c r="A27" s="1952" t="s">
        <v>1655</v>
      </c>
    </row>
    <row r="30" spans="1:4" ht="17.399999999999999">
      <c r="D30" s="1983" t="s">
        <v>1656</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867</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0" customWidth="1"/>
    <col min="2" max="16384" width="14.44140625" style="1972"/>
  </cols>
  <sheetData>
    <row r="1" spans="1:7" s="1987" customFormat="1" ht="17.399999999999999">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4">
      <c r="A15" s="3016" t="s">
        <v>1664</v>
      </c>
      <c r="B15" s="3011" t="s">
        <v>136</v>
      </c>
      <c r="C15" s="3012"/>
    </row>
    <row r="16" spans="1:7" ht="14.4">
      <c r="A16" s="3017"/>
      <c r="B16" s="3011" t="s">
        <v>69</v>
      </c>
      <c r="C16" s="3012"/>
    </row>
    <row r="17" spans="1:3" ht="14.4">
      <c r="A17" s="3017"/>
      <c r="B17" s="3014" t="s">
        <v>1665</v>
      </c>
      <c r="C17" s="1997" t="s">
        <v>1664</v>
      </c>
    </row>
    <row r="18" spans="1:3" ht="14.4">
      <c r="A18" s="3017"/>
      <c r="B18" s="3014"/>
      <c r="C18" s="1997" t="s">
        <v>1666</v>
      </c>
    </row>
    <row r="19" spans="1:3" ht="14.4">
      <c r="A19" s="3017"/>
      <c r="B19" s="3014"/>
      <c r="C19" s="1997" t="s">
        <v>1667</v>
      </c>
    </row>
    <row r="20" spans="1:3" ht="14.4">
      <c r="A20" s="3018"/>
      <c r="B20" s="3013" t="s">
        <v>1668</v>
      </c>
      <c r="C20" s="3012"/>
    </row>
    <row r="21" spans="1:3" ht="14.4">
      <c r="A21" s="1998" t="s">
        <v>1669</v>
      </c>
      <c r="B21" s="1999"/>
      <c r="C21" s="2000"/>
    </row>
    <row r="22" spans="1:3" ht="14.4">
      <c r="A22" s="3015" t="s">
        <v>1670</v>
      </c>
      <c r="B22" s="3013" t="s">
        <v>1671</v>
      </c>
      <c r="C22" s="3012"/>
    </row>
    <row r="23" spans="1:3" ht="14.4">
      <c r="A23" s="3015"/>
      <c r="B23" s="3013" t="s">
        <v>1672</v>
      </c>
      <c r="C23" s="3012"/>
    </row>
    <row r="24" spans="1:3" ht="14.4">
      <c r="A24" s="3015"/>
      <c r="B24" s="3013" t="s">
        <v>1673</v>
      </c>
      <c r="C24" s="3012"/>
    </row>
    <row r="25" spans="1:3" ht="14.4">
      <c r="A25" s="3015"/>
      <c r="B25" s="3014" t="s">
        <v>1674</v>
      </c>
      <c r="C25" s="1997" t="s">
        <v>1675</v>
      </c>
    </row>
    <row r="26" spans="1:3" ht="14.4">
      <c r="A26" s="3015"/>
      <c r="B26" s="3014"/>
      <c r="C26" s="1997" t="s">
        <v>1676</v>
      </c>
    </row>
    <row r="27" spans="1:3" ht="14.4">
      <c r="A27" s="3015"/>
      <c r="B27" s="3014"/>
      <c r="C27" s="1997" t="s">
        <v>1677</v>
      </c>
    </row>
    <row r="28" spans="1:3" ht="14.4">
      <c r="A28" s="3015"/>
      <c r="B28" s="3014"/>
      <c r="C28" s="1997" t="s">
        <v>1678</v>
      </c>
    </row>
    <row r="29" spans="1:3" ht="14.4">
      <c r="A29" s="3015"/>
      <c r="B29" s="3014"/>
      <c r="C29" s="1997" t="s">
        <v>1679</v>
      </c>
    </row>
    <row r="30" spans="1:3" ht="14.4">
      <c r="A30" s="3015"/>
      <c r="B30" s="3014"/>
      <c r="C30" s="1997" t="s">
        <v>1680</v>
      </c>
    </row>
    <row r="31" spans="1:3" ht="14.4">
      <c r="A31" s="3015"/>
      <c r="B31" s="3014"/>
      <c r="C31" s="1997" t="s">
        <v>1681</v>
      </c>
    </row>
    <row r="32" spans="1:3" ht="14.4">
      <c r="A32" s="3015"/>
      <c r="B32" s="3014"/>
      <c r="C32" s="1997" t="s">
        <v>1682</v>
      </c>
    </row>
    <row r="33" spans="1:3" ht="14.4">
      <c r="A33" s="3015"/>
      <c r="B33" s="3014"/>
      <c r="C33" s="1997" t="s">
        <v>1683</v>
      </c>
    </row>
    <row r="34" spans="1:3">
      <c r="A34" s="2001" t="s">
        <v>76</v>
      </c>
    </row>
    <row r="37" spans="1:3">
      <c r="A37" s="2001" t="s">
        <v>1684</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43754</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44554</v>
      </c>
      <c r="D10" s="2344" t="s">
        <v>838</v>
      </c>
      <c r="E10" s="1021">
        <f ca="1">IF(F10&lt;B2,"已过期",2004110096)</f>
        <v>2004110096</v>
      </c>
      <c r="F10" s="1029">
        <v>47118</v>
      </c>
    </row>
    <row r="11" spans="1:6" ht="24" customHeight="1">
      <c r="A11" s="1700" t="s">
        <v>839</v>
      </c>
      <c r="B11" s="1021">
        <f ca="1">IF(C11&lt;B2,"已过期",1120100036)</f>
        <v>1120100036</v>
      </c>
      <c r="C11" s="2341">
        <v>44675</v>
      </c>
      <c r="D11" s="2344" t="s">
        <v>839</v>
      </c>
      <c r="E11" s="1021">
        <f ca="1">IF(F11&lt;B2,"已过期",2010110070)</f>
        <v>2010110070</v>
      </c>
      <c r="F11" s="1029">
        <v>47907</v>
      </c>
    </row>
    <row r="12" spans="1:6" ht="24" customHeight="1">
      <c r="A12" s="1700"/>
      <c r="B12" s="1021"/>
      <c r="C12" s="2921"/>
      <c r="D12" s="1700"/>
      <c r="E12" s="1021"/>
      <c r="F12" s="1029"/>
    </row>
    <row r="13" spans="1:6" ht="24" customHeight="1">
      <c r="A13" s="1700" t="s">
        <v>840</v>
      </c>
      <c r="B13" s="1021">
        <f ca="1">IF(C13&lt;B2,"已过期",1120070131)</f>
        <v>1120070131</v>
      </c>
      <c r="C13" s="2341">
        <v>43814</v>
      </c>
      <c r="D13" s="2344" t="s">
        <v>840</v>
      </c>
      <c r="E13" s="1021">
        <f ca="1">IF(F13&lt;B2,"已过期",2014110011)</f>
        <v>2014110011</v>
      </c>
      <c r="F13" s="1029">
        <v>49302</v>
      </c>
    </row>
    <row r="14" spans="1:6" ht="24" customHeight="1">
      <c r="A14" s="1700" t="s">
        <v>3035</v>
      </c>
      <c r="B14" s="1021">
        <f ca="1">IF(C14&lt;B2,"已过期",1120040230)</f>
        <v>1120040230</v>
      </c>
      <c r="C14" s="2341">
        <v>43835</v>
      </c>
      <c r="D14" s="2344" t="s">
        <v>3035</v>
      </c>
      <c r="E14" s="1021">
        <f ca="1">IF(F14&lt;B2,"已过期",98030020)</f>
        <v>98030020</v>
      </c>
      <c r="F14" s="1029">
        <v>47118</v>
      </c>
    </row>
    <row r="15" spans="1:6" ht="24" customHeight="1">
      <c r="A15" s="1701" t="s">
        <v>3036</v>
      </c>
      <c r="B15" s="1021">
        <f ca="1">IF(C15&lt;B2,"已过期",1120070085)</f>
        <v>1120070085</v>
      </c>
      <c r="C15" s="2341">
        <v>43814</v>
      </c>
      <c r="D15" s="2345" t="s">
        <v>3036</v>
      </c>
      <c r="E15" s="1021">
        <f ca="1">IF(F15&lt;B2,"已过期",2004110128)</f>
        <v>2004110128</v>
      </c>
      <c r="F15" s="1022">
        <v>47118</v>
      </c>
    </row>
    <row r="16" spans="1:6" ht="24" customHeight="1">
      <c r="A16" s="1700" t="s">
        <v>3037</v>
      </c>
      <c r="B16" s="1021">
        <f ca="1">IF(C16&lt;B2,"已过期",1120140022)</f>
        <v>1120140022</v>
      </c>
      <c r="C16" s="2921">
        <v>44029</v>
      </c>
      <c r="D16" s="2344" t="s">
        <v>3037</v>
      </c>
      <c r="E16" s="1021">
        <f ca="1">IF(F16&lt;B2,"已过期",2008110059)</f>
        <v>2008110059</v>
      </c>
      <c r="F16" s="1029">
        <v>47177</v>
      </c>
    </row>
    <row r="17" spans="1:7" ht="24" customHeight="1">
      <c r="A17" s="1700"/>
      <c r="B17" s="1021"/>
      <c r="C17" s="2341"/>
      <c r="D17" s="2344" t="s">
        <v>3038</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21">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1329</v>
      </c>
      <c r="B24" s="1701" t="s">
        <v>1329</v>
      </c>
      <c r="C24" s="2342" t="s">
        <v>1329</v>
      </c>
      <c r="D24" s="2345" t="s">
        <v>1329</v>
      </c>
      <c r="E24" s="1701" t="s">
        <v>1329</v>
      </c>
      <c r="F24" s="1701" t="s">
        <v>1329</v>
      </c>
    </row>
    <row r="25" spans="1:7" ht="24" customHeight="1">
      <c r="A25" s="3019" t="s">
        <v>843</v>
      </c>
      <c r="B25" s="3019"/>
      <c r="C25" s="3019"/>
      <c r="D25" s="3019"/>
      <c r="E25" s="3019"/>
      <c r="F25" s="3019"/>
      <c r="G25" s="3019"/>
    </row>
    <row r="26" spans="1:7" s="1024" customFormat="1" ht="24" customHeight="1">
      <c r="A26" s="3020" t="s">
        <v>844</v>
      </c>
      <c r="B26" s="3020"/>
      <c r="C26" s="3021"/>
      <c r="D26" s="3022" t="s">
        <v>845</v>
      </c>
      <c r="E26" s="3020"/>
      <c r="F26" s="3020"/>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7">
        <v>44377</v>
      </c>
    </row>
    <row r="29" spans="1:7" s="1026" customFormat="1" ht="24" customHeight="1">
      <c r="A29" s="1027"/>
      <c r="B29" s="1027"/>
      <c r="C29" s="2347"/>
      <c r="D29" s="2349" t="s">
        <v>853</v>
      </c>
      <c r="E29" s="1201" t="s">
        <v>3042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5" priority="88">
      <formula>AND($C28-TODAY()&lt;30,TODAY()&lt;$C28)</formula>
    </cfRule>
  </conditionalFormatting>
  <conditionalFormatting sqref="C28 F4">
    <cfRule type="cellIs" dxfId="234" priority="90" stopIfTrue="1" operator="lessThan">
      <formula>$B$2</formula>
    </cfRule>
  </conditionalFormatting>
  <conditionalFormatting sqref="C5">
    <cfRule type="expression" dxfId="233" priority="85">
      <formula>AND($C5-TODAY()&lt;30,TODAY()&lt;$C5)</formula>
    </cfRule>
  </conditionalFormatting>
  <conditionalFormatting sqref="C5 F5">
    <cfRule type="cellIs" dxfId="232" priority="86" stopIfTrue="1" operator="lessThan">
      <formula>$B$2</formula>
    </cfRule>
  </conditionalFormatting>
  <conditionalFormatting sqref="F6 F8 F10">
    <cfRule type="cellIs" dxfId="231" priority="84" stopIfTrue="1" operator="lessThan">
      <formula>$B$2</formula>
    </cfRule>
  </conditionalFormatting>
  <conditionalFormatting sqref="C4:C11 C13 C23 C17:C21">
    <cfRule type="expression" dxfId="230" priority="82">
      <formula>AND($C4-TODAY()&lt;30,TODAY()&lt;$C4)</formula>
    </cfRule>
  </conditionalFormatting>
  <conditionalFormatting sqref="F7 F9 F11 C4:C11 C13 C23 C17:C21">
    <cfRule type="cellIs" dxfId="229" priority="83" stopIfTrue="1" operator="lessThan">
      <formula>$B$2</formula>
    </cfRule>
  </conditionalFormatting>
  <conditionalFormatting sqref="C18">
    <cfRule type="expression" dxfId="228" priority="72">
      <formula>AND($C18-TODAY()&lt;30,TODAY()&lt;$C18)</formula>
    </cfRule>
  </conditionalFormatting>
  <conditionalFormatting sqref="C18">
    <cfRule type="cellIs" dxfId="227" priority="73" stopIfTrue="1" operator="lessThan">
      <formula>$B$2</formula>
    </cfRule>
  </conditionalFormatting>
  <conditionalFormatting sqref="C20">
    <cfRule type="expression" dxfId="226" priority="70">
      <formula>AND($C20-TODAY()&lt;30,TODAY()&lt;$C20)</formula>
    </cfRule>
  </conditionalFormatting>
  <conditionalFormatting sqref="C20">
    <cfRule type="cellIs" dxfId="225" priority="71" stopIfTrue="1" operator="lessThan">
      <formula>$B$2</formula>
    </cfRule>
  </conditionalFormatting>
  <conditionalFormatting sqref="C17">
    <cfRule type="expression" dxfId="224" priority="64">
      <formula>AND($C17-TODAY()&lt;30,TODAY()&lt;$C17)</formula>
    </cfRule>
  </conditionalFormatting>
  <conditionalFormatting sqref="C17">
    <cfRule type="cellIs" dxfId="223" priority="65" stopIfTrue="1" operator="lessThan">
      <formula>$B$2</formula>
    </cfRule>
  </conditionalFormatting>
  <conditionalFormatting sqref="C19">
    <cfRule type="expression" dxfId="222" priority="62">
      <formula>AND($C19-TODAY()&lt;30,TODAY()&lt;$C19)</formula>
    </cfRule>
  </conditionalFormatting>
  <conditionalFormatting sqref="C19">
    <cfRule type="cellIs" dxfId="221" priority="63" stopIfTrue="1" operator="lessThan">
      <formula>$B$2</formula>
    </cfRule>
  </conditionalFormatting>
  <conditionalFormatting sqref="C21">
    <cfRule type="expression" dxfId="220" priority="60">
      <formula>AND($C21-TODAY()&lt;30,TODAY()&lt;$C21)</formula>
    </cfRule>
  </conditionalFormatting>
  <conditionalFormatting sqref="C21">
    <cfRule type="cellIs" dxfId="219" priority="61" stopIfTrue="1" operator="lessThan">
      <formula>$B$2</formula>
    </cfRule>
  </conditionalFormatting>
  <conditionalFormatting sqref="C23">
    <cfRule type="expression" dxfId="218" priority="58">
      <formula>AND($C23-TODAY()&lt;30,TODAY()&lt;$C23)</formula>
    </cfRule>
  </conditionalFormatting>
  <conditionalFormatting sqref="C23">
    <cfRule type="cellIs" dxfId="217" priority="59" stopIfTrue="1" operator="lessThan">
      <formula>$B$2</formula>
    </cfRule>
  </conditionalFormatting>
  <conditionalFormatting sqref="F18">
    <cfRule type="cellIs" dxfId="216" priority="55" stopIfTrue="1" operator="lessThan">
      <formula>$B$2</formula>
    </cfRule>
  </conditionalFormatting>
  <conditionalFormatting sqref="F22">
    <cfRule type="cellIs" dxfId="215" priority="54" stopIfTrue="1" operator="lessThan">
      <formula>$B$2</formula>
    </cfRule>
  </conditionalFormatting>
  <conditionalFormatting sqref="F21">
    <cfRule type="cellIs" dxfId="214" priority="53" stopIfTrue="1" operator="lessThan">
      <formula>$B$2</formula>
    </cfRule>
  </conditionalFormatting>
  <conditionalFormatting sqref="B4:B11 E4:E11 B17:B23 E18:E23 B13 E13">
    <cfRule type="cellIs" dxfId="213" priority="51" stopIfTrue="1" operator="equal">
      <formula>"已过期"</formula>
    </cfRule>
  </conditionalFormatting>
  <conditionalFormatting sqref="A24:F24">
    <cfRule type="cellIs" dxfId="212" priority="47" stopIfTrue="1" operator="equal">
      <formula>"已过期"</formula>
    </cfRule>
  </conditionalFormatting>
  <conditionalFormatting sqref="F28">
    <cfRule type="expression" dxfId="211" priority="45">
      <formula>AND($E28-TODAY()&lt;30,TODAY()&lt;$E28)</formula>
    </cfRule>
  </conditionalFormatting>
  <conditionalFormatting sqref="F28">
    <cfRule type="cellIs" dxfId="210" priority="46" stopIfTrue="1" operator="lessThan">
      <formula>$B$2</formula>
    </cfRule>
  </conditionalFormatting>
  <conditionalFormatting sqref="F29">
    <cfRule type="expression" dxfId="209" priority="41" stopIfTrue="1">
      <formula>AND($E29-TODAY()&lt;30,TODAY()&lt;$E29)</formula>
    </cfRule>
  </conditionalFormatting>
  <conditionalFormatting sqref="F29">
    <cfRule type="cellIs" dxfId="208" priority="42" stopIfTrue="1" operator="lessThan">
      <formula>$B$2</formula>
    </cfRule>
  </conditionalFormatting>
  <conditionalFormatting sqref="F13">
    <cfRule type="cellIs" dxfId="207" priority="34" stopIfTrue="1" operator="lessThan">
      <formula>$B$2</formula>
    </cfRule>
  </conditionalFormatting>
  <conditionalFormatting sqref="C12">
    <cfRule type="expression" dxfId="206" priority="32">
      <formula>AND($C12-TODAY()&lt;30,TODAY()&lt;$C12)</formula>
    </cfRule>
  </conditionalFormatting>
  <conditionalFormatting sqref="C12">
    <cfRule type="cellIs" dxfId="205" priority="33" stopIfTrue="1" operator="lessThan">
      <formula>$B$2</formula>
    </cfRule>
  </conditionalFormatting>
  <conditionalFormatting sqref="C12">
    <cfRule type="expression" dxfId="204" priority="30">
      <formula>AND($C12-TODAY()&lt;30,TODAY()&lt;$C12)</formula>
    </cfRule>
  </conditionalFormatting>
  <conditionalFormatting sqref="C12">
    <cfRule type="cellIs" dxfId="203" priority="31" stopIfTrue="1" operator="lessThan">
      <formula>$B$2</formula>
    </cfRule>
  </conditionalFormatting>
  <conditionalFormatting sqref="B12">
    <cfRule type="cellIs" dxfId="202" priority="29" stopIfTrue="1" operator="equal">
      <formula>"已过期"</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C22">
    <cfRule type="expression" dxfId="199" priority="25">
      <formula>AND($C22-TODAY()&lt;30,TODAY()&lt;$C22)</formula>
    </cfRule>
  </conditionalFormatting>
  <conditionalFormatting sqref="C22">
    <cfRule type="cellIs" dxfId="198" priority="26" stopIfTrue="1" operator="lessThan">
      <formula>$B$2</formula>
    </cfRule>
  </conditionalFormatting>
  <conditionalFormatting sqref="C22">
    <cfRule type="expression" dxfId="197" priority="23">
      <formula>AND($C22-TODAY()&lt;30,TODAY()&lt;$C22)</formula>
    </cfRule>
  </conditionalFormatting>
  <conditionalFormatting sqref="C22">
    <cfRule type="cellIs" dxfId="196" priority="24" stopIfTrue="1" operator="lessThan">
      <formula>$B$2</formula>
    </cfRule>
  </conditionalFormatting>
  <conditionalFormatting sqref="C16">
    <cfRule type="expression" dxfId="195" priority="21">
      <formula>AND($C16-TODAY()&lt;30,TODAY()&lt;$C16)</formula>
    </cfRule>
  </conditionalFormatting>
  <conditionalFormatting sqref="C16">
    <cfRule type="cellIs" dxfId="194" priority="22" stopIfTrue="1" operator="lessThan">
      <formula>$B$2</formula>
    </cfRule>
  </conditionalFormatting>
  <conditionalFormatting sqref="C16">
    <cfRule type="expression" dxfId="193" priority="19">
      <formula>AND($C16-TODAY()&lt;30,TODAY()&lt;$C16)</formula>
    </cfRule>
  </conditionalFormatting>
  <conditionalFormatting sqref="C16">
    <cfRule type="cellIs" dxfId="192" priority="20" stopIfTrue="1" operator="lessThan">
      <formula>$B$2</formula>
    </cfRule>
  </conditionalFormatting>
  <conditionalFormatting sqref="B16">
    <cfRule type="cellIs" dxfId="191" priority="18" stopIfTrue="1" operator="equal">
      <formula>"已过期"</formula>
    </cfRule>
  </conditionalFormatting>
  <conditionalFormatting sqref="C14:C15">
    <cfRule type="expression" dxfId="190" priority="16">
      <formula>AND($C14-TODAY()&lt;30,TODAY()&lt;$C14)</formula>
    </cfRule>
  </conditionalFormatting>
  <conditionalFormatting sqref="C14:C15">
    <cfRule type="cellIs" dxfId="189" priority="17" stopIfTrue="1" operator="lessThan">
      <formula>$B$2</formula>
    </cfRule>
  </conditionalFormatting>
  <conditionalFormatting sqref="C14">
    <cfRule type="expression" dxfId="188" priority="14">
      <formula>AND($C14-TODAY()&lt;30,TODAY()&lt;$C14)</formula>
    </cfRule>
  </conditionalFormatting>
  <conditionalFormatting sqref="C14">
    <cfRule type="cellIs" dxfId="187" priority="15" stopIfTrue="1" operator="lessThan">
      <formula>$B$2</formula>
    </cfRule>
  </conditionalFormatting>
  <conditionalFormatting sqref="C15">
    <cfRule type="expression" dxfId="186" priority="12">
      <formula>AND($C15-TODAY()&lt;30,TODAY()&lt;$C15)</formula>
    </cfRule>
  </conditionalFormatting>
  <conditionalFormatting sqref="C15">
    <cfRule type="cellIs" dxfId="185" priority="13" stopIfTrue="1" operator="lessThan">
      <formula>$B$2</formula>
    </cfRule>
  </conditionalFormatting>
  <conditionalFormatting sqref="B14">
    <cfRule type="cellIs" dxfId="184" priority="11" stopIfTrue="1" operator="equal">
      <formula>"已过期"</formula>
    </cfRule>
  </conditionalFormatting>
  <conditionalFormatting sqref="B15">
    <cfRule type="cellIs" dxfId="183" priority="10" stopIfTrue="1" operator="equal">
      <formula>"已过期"</formula>
    </cfRule>
  </conditionalFormatting>
  <conditionalFormatting sqref="A15">
    <cfRule type="cellIs" dxfId="182" priority="9" stopIfTrue="1" operator="equal">
      <formula>"已过期"</formula>
    </cfRule>
  </conditionalFormatting>
  <conditionalFormatting sqref="C15">
    <cfRule type="expression" dxfId="181" priority="8">
      <formula>AND($C15-TODAY()&lt;30,TODAY()&lt;$C15)</formula>
    </cfRule>
  </conditionalFormatting>
  <conditionalFormatting sqref="F16">
    <cfRule type="cellIs" dxfId="180" priority="7" stopIfTrue="1" operator="lessThan">
      <formula>$B$2</formula>
    </cfRule>
  </conditionalFormatting>
  <conditionalFormatting sqref="E16 E14">
    <cfRule type="cellIs" dxfId="179" priority="6" stopIfTrue="1" operator="equal">
      <formula>"已过期"</formula>
    </cfRule>
  </conditionalFormatting>
  <conditionalFormatting sqref="E15">
    <cfRule type="cellIs" dxfId="178" priority="5" stopIfTrue="1" operator="equal">
      <formula>"已过期"</formula>
    </cfRule>
  </conditionalFormatting>
  <conditionalFormatting sqref="D15">
    <cfRule type="cellIs" dxfId="177" priority="4" stopIfTrue="1" operator="equal">
      <formula>"已过期"</formula>
    </cfRule>
  </conditionalFormatting>
  <conditionalFormatting sqref="F17">
    <cfRule type="cellIs" dxfId="176" priority="3" stopIfTrue="1" operator="lessThan">
      <formula>$B$2</formula>
    </cfRule>
  </conditionalFormatting>
  <conditionalFormatting sqref="E17">
    <cfRule type="cellIs" dxfId="175" priority="2" stopIfTrue="1" operator="equal">
      <formula>"已过期"</formula>
    </cfRule>
  </conditionalFormatting>
  <conditionalFormatting sqref="F14">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160</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比较法-别墅</vt:lpstr>
      <vt:lpstr>比较法-洋房</vt:lpstr>
      <vt:lpstr>比较法-高层</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'比较法-高层'!住宅朝向</vt:lpstr>
      <vt:lpstr>住宅朝向</vt:lpstr>
      <vt:lpstr>'比较法-别墅'!住宅房型</vt:lpstr>
      <vt:lpstr>'比较法-高层'!住宅房型</vt:lpstr>
      <vt:lpstr>住宅房型</vt:lpstr>
      <vt:lpstr>'比较法-别墅'!住宅公共部分装修</vt:lpstr>
      <vt:lpstr>'比较法-高层'!住宅公共部分装修</vt:lpstr>
      <vt:lpstr>住宅公共部分装修</vt:lpstr>
      <vt:lpstr>'比较法-别墅'!住宅基础设施水平</vt:lpstr>
      <vt:lpstr>'比较法-高层'!住宅基础设施水平</vt:lpstr>
      <vt:lpstr>住宅基础设施水平</vt:lpstr>
      <vt:lpstr>'比较法-别墅'!住宅建筑结构</vt:lpstr>
      <vt:lpstr>'比较法-高层'!住宅建筑结构</vt:lpstr>
      <vt:lpstr>住宅建筑结构</vt:lpstr>
      <vt:lpstr>'比较法-别墅'!住宅建筑类型</vt:lpstr>
      <vt:lpstr>'比较法-高层'!住宅建筑类型</vt:lpstr>
      <vt:lpstr>住宅建筑类型</vt:lpstr>
      <vt:lpstr>'比较法-别墅'!住宅建筑品质</vt:lpstr>
      <vt:lpstr>'比较法-高层'!住宅建筑品质</vt:lpstr>
      <vt:lpstr>住宅建筑品质</vt:lpstr>
      <vt:lpstr>'比较法-别墅'!住宅交易情况</vt:lpstr>
      <vt:lpstr>'比较法-高层'!住宅交易情况</vt:lpstr>
      <vt:lpstr>住宅交易情况</vt:lpstr>
      <vt:lpstr>'比较法-别墅'!住宅楼层</vt:lpstr>
      <vt:lpstr>'比较法-高层'!住宅楼层</vt:lpstr>
      <vt:lpstr>住宅楼层</vt:lpstr>
      <vt:lpstr>'比较法-别墅'!住宅内部装修</vt:lpstr>
      <vt:lpstr>'比较法-高层'!住宅内部装修</vt:lpstr>
      <vt:lpstr>住宅内部装修</vt:lpstr>
      <vt:lpstr>'比较法-别墅'!住宅物业管理</vt:lpstr>
      <vt:lpstr>'比较法-高层'!住宅物业管理</vt:lpstr>
      <vt:lpstr>住宅物业管理</vt:lpstr>
      <vt:lpstr>'比较法-别墅'!住宅用途</vt:lpstr>
      <vt:lpstr>'比较法-高层'!住宅用途</vt:lpstr>
      <vt:lpstr>住宅用途</vt:lpstr>
      <vt:lpstr>'比较法-别墅'!住宅主力户型面积</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2019-10-16T02:30:19Z</dcterms:modified>
</cp:coreProperties>
</file>