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审核\张泽\"/>
    </mc:Choice>
  </mc:AlternateContent>
  <xr:revisionPtr revIDLastSave="0" documentId="13_ncr:1_{92A130B4-1F44-409C-BF93-5D7CFC0F1930}" xr6:coauthVersionLast="47" xr6:coauthVersionMax="47" xr10:uidLastSave="{00000000-0000-0000-0000-000000000000}"/>
  <bookViews>
    <workbookView xWindow="-108" yWindow="-108" windowWidth="23256" windowHeight="12576"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Sheet2" sheetId="81"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比较法-办公" sheetId="34"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3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22" i="80" l="1"/>
  <c r="B14" i="74" l="1"/>
  <c r="I7" i="34"/>
  <c r="G7" i="34"/>
  <c r="E7" i="34"/>
  <c r="G19" i="6"/>
  <c r="A6" i="80"/>
  <c r="B6" i="80"/>
  <c r="N5" i="80" l="1"/>
  <c r="N6" i="80" s="1"/>
  <c r="F19" i="80"/>
  <c r="O17" i="80"/>
  <c r="O18" i="80"/>
  <c r="O5" i="80"/>
  <c r="O4" i="80"/>
  <c r="L18" i="80"/>
  <c r="F19" i="6"/>
  <c r="D33" i="43" s="1"/>
  <c r="Y6" i="1"/>
  <c r="G84" i="43"/>
  <c r="G85" i="43"/>
  <c r="G86" i="43"/>
  <c r="G87" i="43"/>
  <c r="G88" i="43"/>
  <c r="G89" i="43"/>
  <c r="G90" i="43"/>
  <c r="G83" i="43"/>
  <c r="G44" i="43"/>
  <c r="N6" i="1"/>
  <c r="K26" i="3"/>
  <c r="I14" i="3"/>
  <c r="I15" i="3"/>
  <c r="I16" i="3"/>
  <c r="I17" i="3"/>
  <c r="I18" i="3"/>
  <c r="I19" i="3"/>
  <c r="I20" i="3"/>
  <c r="I21" i="3"/>
  <c r="I22" i="3"/>
  <c r="I23" i="3"/>
  <c r="I24" i="3"/>
  <c r="I25" i="3"/>
  <c r="I13" i="3"/>
  <c r="C26" i="3"/>
  <c r="C24" i="3"/>
  <c r="C25" i="3"/>
  <c r="C14" i="3"/>
  <c r="C15" i="3"/>
  <c r="C16" i="3"/>
  <c r="C17" i="3"/>
  <c r="C18" i="3"/>
  <c r="C19" i="3"/>
  <c r="C20" i="3"/>
  <c r="C21" i="3"/>
  <c r="C22" i="3"/>
  <c r="C23" i="3"/>
  <c r="C13" i="3"/>
  <c r="F16" i="80"/>
  <c r="F15" i="80"/>
  <c r="F14" i="80"/>
  <c r="F13" i="80"/>
  <c r="F12" i="80"/>
  <c r="F11" i="80"/>
  <c r="F10" i="80"/>
  <c r="F9" i="80"/>
  <c r="F8" i="80"/>
  <c r="F7" i="80"/>
  <c r="F6" i="80"/>
  <c r="F5" i="80"/>
  <c r="F4" i="80"/>
  <c r="D3" i="4"/>
  <c r="I12" i="79"/>
  <c r="N7" i="80" l="1"/>
  <c r="O6" i="80"/>
  <c r="N8" i="80"/>
  <c r="O7" i="80"/>
  <c r="F17"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9" i="80" l="1"/>
  <c r="O8" i="80"/>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N10" i="80" l="1"/>
  <c r="O9" i="80"/>
  <c r="AD33" i="79"/>
  <c r="AR34" i="79"/>
  <c r="AR35" i="79" s="1"/>
  <c r="AR36" i="79" s="1"/>
  <c r="AR8" i="79"/>
  <c r="AD35" i="79"/>
  <c r="C60" i="78"/>
  <c r="D60" i="78" s="1"/>
  <c r="B55" i="78"/>
  <c r="D55" i="78" s="1"/>
  <c r="D53" i="78"/>
  <c r="D52" i="78"/>
  <c r="D51" i="78" s="1"/>
  <c r="B51" i="78"/>
  <c r="B56" i="78" s="1"/>
  <c r="N11" i="80" l="1"/>
  <c r="O10" i="80"/>
  <c r="C51" i="78"/>
  <c r="C56" i="78" s="1"/>
  <c r="C58" i="78" s="1"/>
  <c r="B62" i="78"/>
  <c r="B54" i="78"/>
  <c r="D54" i="78" s="1"/>
  <c r="D56" i="78" s="1"/>
  <c r="N12" i="80" l="1"/>
  <c r="O11" i="80"/>
  <c r="D58" i="78"/>
  <c r="D62" i="78" s="1"/>
  <c r="C62" i="78" s="1"/>
  <c r="N13" i="80" l="1"/>
  <c r="O12" i="80"/>
  <c r="G14" i="73"/>
  <c r="F14" i="73"/>
  <c r="E14" i="73"/>
  <c r="N14" i="80" l="1"/>
  <c r="O13" i="80"/>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N15" i="80" l="1"/>
  <c r="O14" i="80"/>
  <c r="AR37" i="79"/>
  <c r="AR38" i="79" s="1"/>
  <c r="P36" i="79"/>
  <c r="AR10" i="79"/>
  <c r="G15" i="73"/>
  <c r="F15" i="73"/>
  <c r="E15" i="73"/>
  <c r="G16" i="73"/>
  <c r="F16" i="73"/>
  <c r="E16" i="73"/>
  <c r="N16" i="80" l="1"/>
  <c r="O16" i="80" s="1"/>
  <c r="O15" i="80"/>
  <c r="AB38" i="79"/>
  <c r="AA38" i="79"/>
  <c r="Z38" i="79"/>
  <c r="N38" i="79"/>
  <c r="M38" i="79"/>
  <c r="L38" i="79"/>
  <c r="I38" i="79"/>
  <c r="AC10" i="79"/>
  <c r="AB10" i="79"/>
  <c r="AA10" i="79"/>
  <c r="AD10" i="79" s="1"/>
  <c r="Z10" i="79"/>
  <c r="Y10" i="79"/>
  <c r="O10" i="79"/>
  <c r="N10" i="79"/>
  <c r="M10" i="79"/>
  <c r="P10" i="79" s="1"/>
  <c r="L10" i="79"/>
  <c r="K10" i="79"/>
  <c r="I10" i="79"/>
  <c r="AR11" i="79" s="1"/>
  <c r="O19" i="80" l="1"/>
  <c r="N19" i="80" s="1"/>
  <c r="U6" i="1" s="1"/>
  <c r="AR39" i="79"/>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A31" i="79"/>
  <c r="AD31" i="79" s="1"/>
  <c r="AD47" i="79"/>
  <c r="T40" i="79"/>
  <c r="AR18" i="79"/>
  <c r="AR19" i="79" s="1"/>
  <c r="AR20" i="79" s="1"/>
  <c r="AR21" i="79" s="1"/>
  <c r="AR22" i="79" s="1"/>
  <c r="AR23" i="79" s="1"/>
  <c r="AR24" i="79" s="1"/>
  <c r="T34" i="79"/>
  <c r="T35" i="79"/>
  <c r="T33"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U46" i="79"/>
  <c r="AI46" i="79" s="1"/>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5" i="79" l="1"/>
  <c r="AK35" i="79" s="1"/>
  <c r="AH35" i="79"/>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15" i="79"/>
  <c r="AK15" i="79" s="1"/>
  <c r="AH15" i="79"/>
  <c r="W13" i="79"/>
  <c r="AK13" i="79" s="1"/>
  <c r="AH13" i="79"/>
  <c r="W48" i="79"/>
  <c r="AK48" i="79" s="1"/>
  <c r="AH48" i="79"/>
  <c r="W49" i="79"/>
  <c r="AK49" i="79" s="1"/>
  <c r="AH49"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R5" i="3" s="1"/>
  <c r="BT13" i="3"/>
  <c r="BT14" i="3"/>
  <c r="BT15" i="3"/>
  <c r="BT16" i="3"/>
  <c r="BT5" i="3" s="1"/>
  <c r="BT17" i="3"/>
  <c r="BM14" i="3"/>
  <c r="BM15" i="3"/>
  <c r="BM16" i="3"/>
  <c r="BM5" i="3" s="1"/>
  <c r="BM17" i="3"/>
  <c r="BO13" i="3"/>
  <c r="BO14" i="3"/>
  <c r="BO15" i="3"/>
  <c r="BO5" i="3" s="1"/>
  <c r="BO16" i="3"/>
  <c r="BO17" i="3"/>
  <c r="BN13" i="3"/>
  <c r="BN14" i="3"/>
  <c r="BN15" i="3"/>
  <c r="BN16" i="3"/>
  <c r="BN17" i="3"/>
  <c r="BP13" i="3"/>
  <c r="BL13" i="3" s="1"/>
  <c r="BP14" i="3"/>
  <c r="BP15" i="3"/>
  <c r="BP16" i="3"/>
  <c r="BP17" i="3"/>
  <c r="BL17" i="3" s="1"/>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A14" i="3" s="1"/>
  <c r="AZ14" i="3" s="1"/>
  <c r="BF14" i="3"/>
  <c r="BG14" i="3"/>
  <c r="BH14" i="3"/>
  <c r="BI14" i="3"/>
  <c r="BI5" i="3" s="1"/>
  <c r="BJ14" i="3"/>
  <c r="BK14" i="3"/>
  <c r="BB15" i="3"/>
  <c r="BC15" i="3"/>
  <c r="BA15" i="3" s="1"/>
  <c r="BD15" i="3"/>
  <c r="BE15" i="3"/>
  <c r="BF15" i="3"/>
  <c r="BG15" i="3"/>
  <c r="BG5" i="3" s="1"/>
  <c r="BH15" i="3"/>
  <c r="BI15" i="3"/>
  <c r="BJ15" i="3"/>
  <c r="BK15" i="3"/>
  <c r="BB16" i="3"/>
  <c r="BC16" i="3"/>
  <c r="BD16" i="3"/>
  <c r="BE16" i="3"/>
  <c r="BF16" i="3"/>
  <c r="BG16" i="3"/>
  <c r="BH16" i="3"/>
  <c r="BI16" i="3"/>
  <c r="BJ16" i="3"/>
  <c r="BK16" i="3"/>
  <c r="BB17" i="3"/>
  <c r="BC17" i="3"/>
  <c r="BA17" i="3" s="1"/>
  <c r="AZ17" i="3" s="1"/>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AB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J25" i="35" s="1"/>
  <c r="B75" i="35"/>
  <c r="J24" i="35" s="1"/>
  <c r="AC24" i="35"/>
  <c r="B73" i="35"/>
  <c r="J23" i="35" s="1"/>
  <c r="AC23" i="35" s="1"/>
  <c r="B57" i="35"/>
  <c r="B61" i="35"/>
  <c r="B59" i="35"/>
  <c r="F12" i="35" s="1"/>
  <c r="B131" i="34"/>
  <c r="B129" i="34"/>
  <c r="B127" i="34"/>
  <c r="B99" i="34"/>
  <c r="F32" i="34" s="1"/>
  <c r="B97" i="34"/>
  <c r="H31" i="34" s="1"/>
  <c r="B95" i="34"/>
  <c r="B93" i="34"/>
  <c r="B75" i="34"/>
  <c r="F14" i="34" s="1"/>
  <c r="B73" i="34"/>
  <c r="B71" i="34"/>
  <c r="J12" i="34" s="1"/>
  <c r="W12" i="34" s="1"/>
  <c r="B130" i="33"/>
  <c r="B128" i="33"/>
  <c r="J45" i="33" s="1"/>
  <c r="B126" i="33"/>
  <c r="F44" i="33" s="1"/>
  <c r="B98" i="33"/>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F30" i="21" s="1"/>
  <c r="S30" i="21" s="1"/>
  <c r="B94" i="21"/>
  <c r="J29" i="21"/>
  <c r="AC29" i="21"/>
  <c r="B92" i="21"/>
  <c r="J28" i="21" s="1"/>
  <c r="B90" i="21"/>
  <c r="J27" i="21"/>
  <c r="W27" i="21"/>
  <c r="B74" i="21"/>
  <c r="H14" i="21" s="1"/>
  <c r="U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c r="J29" i="35"/>
  <c r="H33" i="35"/>
  <c r="J20" i="35"/>
  <c r="W20" i="35"/>
  <c r="F35" i="37"/>
  <c r="S35"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AB17" i="34"/>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F14" i="21"/>
  <c r="S14" i="21" s="1"/>
  <c r="H28" i="21"/>
  <c r="AB28" i="21" s="1"/>
  <c r="F28" i="21"/>
  <c r="AA28" i="21" s="1"/>
  <c r="H30" i="21"/>
  <c r="AB30" i="21" s="1"/>
  <c r="J44" i="2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W13" i="33" s="1"/>
  <c r="H13" i="33"/>
  <c r="U13" i="33" s="1"/>
  <c r="F13" i="33"/>
  <c r="S13" i="33" s="1"/>
  <c r="J29" i="33"/>
  <c r="H29" i="33"/>
  <c r="U29" i="33" s="1"/>
  <c r="J31" i="33"/>
  <c r="W31" i="33" s="1"/>
  <c r="H31" i="33"/>
  <c r="F31" i="33"/>
  <c r="H45" i="33"/>
  <c r="U45" i="33" s="1"/>
  <c r="J14" i="34"/>
  <c r="W14" i="34" s="1"/>
  <c r="H14" i="34"/>
  <c r="H30" i="34"/>
  <c r="F30" i="34"/>
  <c r="S30" i="34" s="1"/>
  <c r="J30" i="34"/>
  <c r="H32" i="34"/>
  <c r="H46" i="34"/>
  <c r="AB46" i="34" s="1"/>
  <c r="U46" i="34"/>
  <c r="F46" i="34"/>
  <c r="J46" i="34"/>
  <c r="H11" i="35"/>
  <c r="AB11" i="35" s="1"/>
  <c r="J11" i="35"/>
  <c r="F11" i="35"/>
  <c r="S11" i="35" s="1"/>
  <c r="J26" i="36"/>
  <c r="W26" i="36" s="1"/>
  <c r="H28" i="36"/>
  <c r="U28" i="36" s="1"/>
  <c r="J32" i="36"/>
  <c r="W32" i="36" s="1"/>
  <c r="J11" i="36"/>
  <c r="AC11" i="36" s="1"/>
  <c r="H11" i="36"/>
  <c r="U11" i="36" s="1"/>
  <c r="F11" i="36"/>
  <c r="AA11" i="36" s="1"/>
  <c r="H13" i="36"/>
  <c r="AB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H14" i="33"/>
  <c r="U14" i="33" s="1"/>
  <c r="F14" i="33"/>
  <c r="S14" i="33" s="1"/>
  <c r="H30" i="33"/>
  <c r="AB30" i="33"/>
  <c r="F30" i="33"/>
  <c r="J30" i="33"/>
  <c r="H44" i="33"/>
  <c r="J44" i="33"/>
  <c r="J46" i="33"/>
  <c r="W46" i="33" s="1"/>
  <c r="F46" i="33"/>
  <c r="AA46" i="33" s="1"/>
  <c r="H46" i="33"/>
  <c r="AB46" i="33"/>
  <c r="H13" i="34"/>
  <c r="U13" i="34" s="1"/>
  <c r="J13" i="34"/>
  <c r="W13" i="34" s="1"/>
  <c r="F13" i="34"/>
  <c r="AA13" i="34" s="1"/>
  <c r="J29" i="34"/>
  <c r="AC29" i="34" s="1"/>
  <c r="F29" i="34"/>
  <c r="S29" i="34" s="1"/>
  <c r="H29" i="34"/>
  <c r="AB29" i="34" s="1"/>
  <c r="J31" i="34"/>
  <c r="AC31" i="34" s="1"/>
  <c r="F31" i="34"/>
  <c r="AA31" i="34" s="1"/>
  <c r="H45" i="34"/>
  <c r="U45" i="34" s="1"/>
  <c r="J45" i="34"/>
  <c r="W45" i="34"/>
  <c r="F45" i="34"/>
  <c r="S45" i="34" s="1"/>
  <c r="H47" i="34"/>
  <c r="U47" i="34" s="1"/>
  <c r="F47" i="34"/>
  <c r="S47" i="34" s="1"/>
  <c r="J47" i="34"/>
  <c r="F13" i="35"/>
  <c r="J13" i="35"/>
  <c r="AC13" i="35"/>
  <c r="H13" i="35"/>
  <c r="U13" i="35" s="1"/>
  <c r="W25" i="35"/>
  <c r="F25" i="35"/>
  <c r="S25" i="35" s="1"/>
  <c r="H25" i="35"/>
  <c r="AB25" i="35" s="1"/>
  <c r="J35" i="35"/>
  <c r="AC35" i="35" s="1"/>
  <c r="F35" i="35"/>
  <c r="AA35" i="35" s="1"/>
  <c r="H35" i="35"/>
  <c r="J25" i="36"/>
  <c r="W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s="1"/>
  <c r="F33" i="40"/>
  <c r="AA33" i="40" s="1"/>
  <c r="H33" i="40"/>
  <c r="AB33" i="40" s="1"/>
  <c r="U33" i="40"/>
  <c r="J35" i="40"/>
  <c r="AC35" i="40" s="1"/>
  <c r="J37" i="40"/>
  <c r="AC37" i="40"/>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U46" i="33"/>
  <c r="AA14" i="33"/>
  <c r="J36" i="37"/>
  <c r="AC36" i="37" s="1"/>
  <c r="J10" i="36"/>
  <c r="AC10" i="36" s="1"/>
  <c r="W31" i="34"/>
  <c r="S11" i="36"/>
  <c r="AB45" i="33"/>
  <c r="BA586" i="3"/>
  <c r="AZ586" i="3" s="1"/>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AZ514" i="3" s="1"/>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BA536" i="3"/>
  <c r="BA534" i="3"/>
  <c r="AZ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BA496" i="3"/>
  <c r="AZ496" i="3" s="1"/>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s="1"/>
  <c r="H31" i="40"/>
  <c r="U31" i="40" s="1"/>
  <c r="F32" i="40"/>
  <c r="AA32" i="40" s="1"/>
  <c r="H32" i="40"/>
  <c r="AB32" i="40" s="1"/>
  <c r="J36" i="40"/>
  <c r="W36" i="40"/>
  <c r="H19" i="37"/>
  <c r="AB19" i="37" s="1"/>
  <c r="H42" i="33"/>
  <c r="AB42" i="33" s="1"/>
  <c r="J43" i="33"/>
  <c r="AC43" i="33" s="1"/>
  <c r="S28" i="31"/>
  <c r="S27" i="31"/>
  <c r="S26" i="31"/>
  <c r="U14" i="40"/>
  <c r="U26" i="37"/>
  <c r="AA13" i="33"/>
  <c r="U11" i="33"/>
  <c r="U19"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BL128" i="3"/>
  <c r="G129" i="3"/>
  <c r="BA131" i="3"/>
  <c r="BL132" i="3"/>
  <c r="G133" i="3"/>
  <c r="BA135" i="3"/>
  <c r="AZ135" i="3" s="1"/>
  <c r="BL136" i="3"/>
  <c r="G137" i="3"/>
  <c r="BA139" i="3"/>
  <c r="BL140" i="3"/>
  <c r="AZ140" i="3" s="1"/>
  <c r="G141" i="3"/>
  <c r="BA143" i="3"/>
  <c r="BL144" i="3"/>
  <c r="G145" i="3"/>
  <c r="BA147" i="3"/>
  <c r="BL148" i="3"/>
  <c r="AZ148" i="3"/>
  <c r="G149" i="3"/>
  <c r="BA151" i="3"/>
  <c r="BL152" i="3"/>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AZ391" i="3" s="1"/>
  <c r="BL392" i="3"/>
  <c r="AZ392" i="3" s="1"/>
  <c r="G393" i="3"/>
  <c r="BH5" i="3"/>
  <c r="AZ325" i="3"/>
  <c r="AZ341" i="3"/>
  <c r="AC5" i="3"/>
  <c r="AZ506" i="3"/>
  <c r="G548" i="3"/>
  <c r="G538" i="3"/>
  <c r="G520" i="3"/>
  <c r="G502" i="3"/>
  <c r="BN5" i="3"/>
  <c r="G17" i="3"/>
  <c r="AZ356" i="3"/>
  <c r="AZ368" i="3"/>
  <c r="AZ380" i="3"/>
  <c r="AZ499" i="3"/>
  <c r="AZ509" i="3"/>
  <c r="G509" i="3"/>
  <c r="BL493" i="3"/>
  <c r="AZ493" i="3"/>
  <c r="U36" i="40"/>
  <c r="F83" i="43"/>
  <c r="H85" i="43" s="1"/>
  <c r="F50" i="43"/>
  <c r="H54" i="43" s="1"/>
  <c r="F72" i="43"/>
  <c r="H75" i="43" s="1"/>
  <c r="U17" i="39"/>
  <c r="S14" i="35"/>
  <c r="U43" i="21"/>
  <c r="U35" i="21"/>
  <c r="AC35" i="21"/>
  <c r="AC11" i="39"/>
  <c r="AZ563" i="3"/>
  <c r="W37" i="37"/>
  <c r="W44" i="34"/>
  <c r="AC44" i="34"/>
  <c r="S15" i="37"/>
  <c r="U13" i="37"/>
  <c r="U12" i="40"/>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50" i="3"/>
  <c r="AZ110" i="3"/>
  <c r="F23" i="39"/>
  <c r="AA23" i="39"/>
  <c r="H27" i="36"/>
  <c r="U27" i="36" s="1"/>
  <c r="F27" i="36"/>
  <c r="AA27" i="36" s="1"/>
  <c r="H33" i="34"/>
  <c r="U33" i="34"/>
  <c r="F32" i="37"/>
  <c r="S32" i="37" s="1"/>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U30" i="33"/>
  <c r="AC13" i="34"/>
  <c r="AA47" i="34"/>
  <c r="W28" i="37"/>
  <c r="S19" i="39"/>
  <c r="F12" i="33"/>
  <c r="S12" i="33" s="1"/>
  <c r="H12" i="39"/>
  <c r="AB12" i="39" s="1"/>
  <c r="F39" i="40"/>
  <c r="AZ250" i="3"/>
  <c r="AZ286" i="3"/>
  <c r="AZ297"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S23" i="36"/>
  <c r="U13" i="36"/>
  <c r="U26" i="36"/>
  <c r="S33" i="36"/>
  <c r="AA26" i="36"/>
  <c r="AA34"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25" i="34"/>
  <c r="U28"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C18" i="9"/>
  <c r="D18" i="9" s="1"/>
  <c r="F34" i="67"/>
  <c r="F62" i="67" s="1"/>
  <c r="M20" i="67"/>
  <c r="F34" i="15"/>
  <c r="F62" i="15"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B28" i="36"/>
  <c r="W9" i="36"/>
  <c r="W22" i="36"/>
  <c r="W23" i="36"/>
  <c r="AB20" i="35"/>
  <c r="AC25" i="35"/>
  <c r="U25" i="35"/>
  <c r="S24" i="35"/>
  <c r="U24" i="35"/>
  <c r="AA16" i="35"/>
  <c r="AA35" i="37"/>
  <c r="W36" i="37"/>
  <c r="S27" i="37"/>
  <c r="S28" i="37"/>
  <c r="W32" i="37"/>
  <c r="U36" i="37"/>
  <c r="S40" i="37"/>
  <c r="U38" i="37"/>
  <c r="AB37" i="37"/>
  <c r="AC34" i="37"/>
  <c r="AB35" i="37"/>
  <c r="AA31" i="37"/>
  <c r="U19" i="37"/>
  <c r="U8" i="37"/>
  <c r="AB40" i="34"/>
  <c r="U19" i="34"/>
  <c r="W19" i="34"/>
  <c r="AB33" i="34"/>
  <c r="AC45" i="34"/>
  <c r="AA30" i="34"/>
  <c r="AB45" i="34"/>
  <c r="AB47" i="34"/>
  <c r="U25" i="34"/>
  <c r="AB36" i="34"/>
  <c r="AC14"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U38" i="33"/>
  <c r="S33" i="33"/>
  <c r="U44" i="33"/>
  <c r="AB44" i="33"/>
  <c r="S30" i="33"/>
  <c r="AA30" i="33"/>
  <c r="AC14" i="33"/>
  <c r="W14" i="33"/>
  <c r="AC30" i="33"/>
  <c r="W30" i="33"/>
  <c r="S31" i="33"/>
  <c r="AA31"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H19" i="33"/>
  <c r="AB19" i="33" s="1"/>
  <c r="G81" i="33"/>
  <c r="H17" i="33"/>
  <c r="U17" i="33" s="1"/>
  <c r="F17" i="33"/>
  <c r="S17" i="33" s="1"/>
  <c r="S37" i="21"/>
  <c r="AB15" i="21"/>
  <c r="J23" i="21"/>
  <c r="F85" i="21"/>
  <c r="G85" i="21" s="1"/>
  <c r="H23" i="21"/>
  <c r="S13" i="21"/>
  <c r="D6" i="52"/>
  <c r="AP7" i="1"/>
  <c r="AA32" i="21"/>
  <c r="W9" i="21"/>
  <c r="AC9" i="21"/>
  <c r="AB32" i="21"/>
  <c r="U32" i="39"/>
  <c r="AC32" i="39"/>
  <c r="J11" i="37"/>
  <c r="AC11" i="37" s="1"/>
  <c r="J11" i="34"/>
  <c r="W11" i="34" s="1"/>
  <c r="W25" i="33"/>
  <c r="U19" i="33"/>
  <c r="AA17" i="33"/>
  <c r="U23" i="21"/>
  <c r="AB23" i="21"/>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F20" i="31"/>
  <c r="F37" i="67"/>
  <c r="E11" i="76"/>
  <c r="E10" i="76"/>
  <c r="M23" i="67"/>
  <c r="E2" i="68"/>
  <c r="B11" i="76"/>
  <c r="E12" i="76"/>
  <c r="F43" i="67"/>
  <c r="D34" i="9"/>
  <c r="M8" i="67"/>
  <c r="F7" i="73"/>
  <c r="D6" i="73"/>
  <c r="E7" i="76"/>
  <c r="M26" i="67"/>
  <c r="F3" i="73"/>
  <c r="B10" i="76"/>
  <c r="E8" i="76"/>
  <c r="L48" i="67"/>
  <c r="M28" i="67"/>
  <c r="B9" i="76"/>
  <c r="M9" i="67"/>
  <c r="L47" i="67"/>
  <c r="B8" i="76"/>
  <c r="F5" i="73"/>
  <c r="F7" i="15"/>
  <c r="C76" i="67"/>
  <c r="F13" i="67"/>
  <c r="M22" i="15"/>
  <c r="E13" i="76"/>
  <c r="F9" i="67"/>
  <c r="E9" i="76"/>
  <c r="M29" i="67"/>
  <c r="D35" i="9"/>
  <c r="F26" i="67"/>
  <c r="M24" i="67"/>
  <c r="B12" i="76"/>
  <c r="F16" i="67"/>
  <c r="F6" i="67"/>
  <c r="F4" i="73"/>
  <c r="F6" i="73"/>
  <c r="J15" i="67"/>
  <c r="AO13" i="1"/>
  <c r="B7" i="76"/>
  <c r="B13" i="76"/>
  <c r="M28" i="15"/>
  <c r="F38" i="67"/>
  <c r="M6" i="67"/>
  <c r="F42" i="67"/>
  <c r="F16" i="15"/>
  <c r="F8" i="67"/>
  <c r="F37" i="15"/>
  <c r="M22" i="67"/>
  <c r="U34" i="34" l="1"/>
  <c r="B77" i="43"/>
  <c r="B68" i="43"/>
  <c r="B57" i="43"/>
  <c r="G26" i="3"/>
  <c r="BF5" i="3"/>
  <c r="BJ5" i="3"/>
  <c r="BD5" i="3"/>
  <c r="C40" i="68"/>
  <c r="BK5" i="3"/>
  <c r="BP5" i="3"/>
  <c r="G29" i="6" s="1"/>
  <c r="BL15" i="3"/>
  <c r="AZ15" i="3" s="1"/>
  <c r="BL24" i="3"/>
  <c r="BE5" i="3"/>
  <c r="BL23" i="3"/>
  <c r="BC5" i="3"/>
  <c r="BB5" i="3"/>
  <c r="G18" i="3"/>
  <c r="G23" i="3"/>
  <c r="BA13" i="3"/>
  <c r="B13" i="53"/>
  <c r="B29" i="72" s="1"/>
  <c r="S32" i="40"/>
  <c r="S14" i="37"/>
  <c r="S31" i="34"/>
  <c r="AC46" i="33"/>
  <c r="W45" i="33"/>
  <c r="AC45" i="33"/>
  <c r="S14" i="34"/>
  <c r="AA14" i="34"/>
  <c r="S36" i="33"/>
  <c r="AC47" i="34"/>
  <c r="W47" i="34"/>
  <c r="AC44" i="21"/>
  <c r="W44" i="21"/>
  <c r="W28" i="21"/>
  <c r="AC28" i="21"/>
  <c r="AB38" i="40"/>
  <c r="U38" i="40"/>
  <c r="AC27" i="33"/>
  <c r="AC23" i="37"/>
  <c r="W33" i="34"/>
  <c r="AA40" i="34"/>
  <c r="S30" i="40"/>
  <c r="U23" i="33"/>
  <c r="AB25" i="33"/>
  <c r="AA19" i="37"/>
  <c r="AC13" i="33"/>
  <c r="AB34" i="33"/>
  <c r="AC14" i="40"/>
  <c r="AB29" i="33"/>
  <c r="AC39" i="34"/>
  <c r="AA22" i="36"/>
  <c r="U12" i="39"/>
  <c r="AA27" i="40"/>
  <c r="AB27" i="40"/>
  <c r="AA34" i="33"/>
  <c r="AA12" i="40"/>
  <c r="AZ364" i="3"/>
  <c r="S11" i="39"/>
  <c r="AA11" i="39"/>
  <c r="AC31" i="33"/>
  <c r="AZ529" i="3"/>
  <c r="AZ537" i="3"/>
  <c r="AZ565" i="3"/>
  <c r="AZ498" i="3"/>
  <c r="AZ528" i="3"/>
  <c r="AC44" i="33"/>
  <c r="W44" i="33"/>
  <c r="W11" i="35"/>
  <c r="AC11" i="35"/>
  <c r="AC12" i="40"/>
  <c r="W12" i="40"/>
  <c r="U9" i="21"/>
  <c r="AC17" i="33"/>
  <c r="M18" i="15"/>
  <c r="M18" i="67"/>
  <c r="F30" i="11"/>
  <c r="C48" i="11" s="1"/>
  <c r="W17" i="21"/>
  <c r="AB25" i="21"/>
  <c r="W35" i="35"/>
  <c r="AB36" i="33"/>
  <c r="AB45" i="21"/>
  <c r="AA19" i="33"/>
  <c r="F54" i="9"/>
  <c r="F32" i="15"/>
  <c r="F60" i="15" s="1"/>
  <c r="F52" i="9"/>
  <c r="F30" i="68"/>
  <c r="F48" i="68" s="1"/>
  <c r="U27" i="21"/>
  <c r="AA29" i="37"/>
  <c r="S35" i="35"/>
  <c r="AC20" i="36"/>
  <c r="S20" i="36"/>
  <c r="AA39" i="39"/>
  <c r="AA45" i="34"/>
  <c r="AC13" i="37"/>
  <c r="U36" i="35"/>
  <c r="AC26" i="36"/>
  <c r="AC13" i="39"/>
  <c r="AC34" i="33"/>
  <c r="F29" i="6"/>
  <c r="E29" i="6" s="1"/>
  <c r="K15" i="1" s="1"/>
  <c r="AZ322" i="3"/>
  <c r="AZ306" i="3"/>
  <c r="AZ513" i="3"/>
  <c r="AZ575" i="3"/>
  <c r="AZ536" i="3"/>
  <c r="AZ556" i="3"/>
  <c r="U30" i="21"/>
  <c r="W36" i="34"/>
  <c r="S44" i="33"/>
  <c r="AA44" i="33"/>
  <c r="AC31" i="40"/>
  <c r="W31" i="40"/>
  <c r="B79" i="43"/>
  <c r="J9" i="33"/>
  <c r="H23" i="35"/>
  <c r="W27" i="35"/>
  <c r="U27" i="37"/>
  <c r="AA34" i="39"/>
  <c r="F38" i="40"/>
  <c r="BL550" i="3"/>
  <c r="BL400" i="3"/>
  <c r="G410" i="3"/>
  <c r="BL416" i="3"/>
  <c r="G417" i="3"/>
  <c r="BL417" i="3"/>
  <c r="AZ417" i="3" s="1"/>
  <c r="BL418" i="3"/>
  <c r="BL425" i="3"/>
  <c r="BL426" i="3"/>
  <c r="BA432" i="3"/>
  <c r="AZ432" i="3" s="1"/>
  <c r="G435" i="3"/>
  <c r="BL435" i="3"/>
  <c r="AZ458" i="3"/>
  <c r="AZ462" i="3"/>
  <c r="BL587" i="3"/>
  <c r="AZ587" i="3" s="1"/>
  <c r="BL16" i="3"/>
  <c r="AZ16" i="3" s="1"/>
  <c r="AZ400" i="3"/>
  <c r="AZ402" i="3"/>
  <c r="AZ406" i="3"/>
  <c r="G408" i="3"/>
  <c r="BA411" i="3"/>
  <c r="AZ411" i="3" s="1"/>
  <c r="BL419" i="3"/>
  <c r="G420" i="3"/>
  <c r="BL420" i="3"/>
  <c r="BL427" i="3"/>
  <c r="G428" i="3"/>
  <c r="BL428" i="3"/>
  <c r="AZ428" i="3" s="1"/>
  <c r="BL429" i="3"/>
  <c r="BL433" i="3"/>
  <c r="G434" i="3"/>
  <c r="AZ313" i="3"/>
  <c r="AZ394" i="3"/>
  <c r="AB34" i="39"/>
  <c r="AA25" i="21"/>
  <c r="W23" i="35"/>
  <c r="AZ519" i="3"/>
  <c r="AZ531" i="3"/>
  <c r="AZ573" i="3"/>
  <c r="AZ583" i="3"/>
  <c r="AZ568" i="3"/>
  <c r="AZ576" i="3"/>
  <c r="H25" i="36"/>
  <c r="F13" i="36"/>
  <c r="H32" i="36"/>
  <c r="J32" i="34"/>
  <c r="F45" i="33"/>
  <c r="H26" i="33"/>
  <c r="J30" i="21"/>
  <c r="J14" i="21"/>
  <c r="AB30" i="36"/>
  <c r="F24" i="36"/>
  <c r="F26" i="33"/>
  <c r="W9" i="34"/>
  <c r="S31" i="35"/>
  <c r="F39" i="37"/>
  <c r="S39" i="37" s="1"/>
  <c r="U30" i="37"/>
  <c r="J44" i="39"/>
  <c r="G587" i="3"/>
  <c r="F9" i="33"/>
  <c r="AA9" i="33" s="1"/>
  <c r="J12" i="35"/>
  <c r="H12" i="36"/>
  <c r="BA551" i="3"/>
  <c r="AZ551" i="3" s="1"/>
  <c r="BA550" i="3"/>
  <c r="AZ550" i="3" s="1"/>
  <c r="BL548" i="3"/>
  <c r="AZ548" i="3" s="1"/>
  <c r="BL398" i="3"/>
  <c r="BL421" i="3"/>
  <c r="BL422" i="3"/>
  <c r="AZ429" i="3"/>
  <c r="AZ334" i="3"/>
  <c r="AZ303" i="3"/>
  <c r="AZ372" i="3"/>
  <c r="AZ347" i="3"/>
  <c r="AZ337" i="3"/>
  <c r="AZ376" i="3"/>
  <c r="AZ309" i="3"/>
  <c r="H5" i="3"/>
  <c r="H27" i="34"/>
  <c r="AZ523" i="3"/>
  <c r="AZ547" i="3"/>
  <c r="AZ571" i="3"/>
  <c r="AZ579" i="3"/>
  <c r="AZ516" i="3"/>
  <c r="S38" i="33"/>
  <c r="F12" i="36"/>
  <c r="J34" i="36"/>
  <c r="W34" i="36" s="1"/>
  <c r="AB39" i="40"/>
  <c r="H39" i="37"/>
  <c r="U35" i="33"/>
  <c r="W22" i="35"/>
  <c r="W28" i="36"/>
  <c r="J45" i="39"/>
  <c r="W45" i="39" s="1"/>
  <c r="BL585" i="3"/>
  <c r="AZ585" i="3" s="1"/>
  <c r="B75" i="43"/>
  <c r="H24" i="36"/>
  <c r="G558" i="3"/>
  <c r="BL399" i="3"/>
  <c r="BA401" i="3"/>
  <c r="AZ401" i="3" s="1"/>
  <c r="BA403" i="3"/>
  <c r="AZ403" i="3" s="1"/>
  <c r="BA407" i="3"/>
  <c r="BA408" i="3"/>
  <c r="AZ408" i="3" s="1"/>
  <c r="BA409" i="3"/>
  <c r="AZ409" i="3" s="1"/>
  <c r="BL414" i="3"/>
  <c r="BL415" i="3"/>
  <c r="AZ419" i="3"/>
  <c r="AZ270" i="3"/>
  <c r="BL436" i="3"/>
  <c r="BA439" i="3"/>
  <c r="BA440" i="3"/>
  <c r="AZ440" i="3" s="1"/>
  <c r="BA442" i="3"/>
  <c r="BA445" i="3"/>
  <c r="BA447" i="3"/>
  <c r="AZ447" i="3" s="1"/>
  <c r="BA449" i="3"/>
  <c r="BL453" i="3"/>
  <c r="BL454" i="3"/>
  <c r="BL459" i="3"/>
  <c r="G461"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300" i="3"/>
  <c r="BA302" i="3"/>
  <c r="G115" i="3"/>
  <c r="BA117" i="3"/>
  <c r="BL127" i="3"/>
  <c r="AZ127" i="3" s="1"/>
  <c r="BA130" i="3"/>
  <c r="AZ130" i="3" s="1"/>
  <c r="BL130" i="3"/>
  <c r="G138" i="3"/>
  <c r="BA156" i="3"/>
  <c r="AZ156" i="3" s="1"/>
  <c r="AZ453" i="3"/>
  <c r="AZ471" i="3"/>
  <c r="AZ487" i="3"/>
  <c r="BA296" i="3"/>
  <c r="AZ62"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32" i="3"/>
  <c r="AZ132" i="3" s="1"/>
  <c r="BL139" i="3"/>
  <c r="AZ139" i="3" s="1"/>
  <c r="BL141" i="3"/>
  <c r="BL143" i="3"/>
  <c r="AZ143" i="3" s="1"/>
  <c r="BA404" i="3"/>
  <c r="BA405" i="3"/>
  <c r="BL410" i="3"/>
  <c r="G412" i="3"/>
  <c r="G418" i="3"/>
  <c r="BA422" i="3"/>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BL247" i="3"/>
  <c r="BA249" i="3"/>
  <c r="AZ249" i="3" s="1"/>
  <c r="BL249" i="3"/>
  <c r="BA251" i="3"/>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L122" i="3"/>
  <c r="BA126" i="3"/>
  <c r="AZ126" i="3" s="1"/>
  <c r="BL133" i="3"/>
  <c r="AZ133" i="3" s="1"/>
  <c r="G135" i="3"/>
  <c r="BA145" i="3"/>
  <c r="BA157" i="3"/>
  <c r="AZ157" i="3" s="1"/>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L79" i="3"/>
  <c r="G80" i="3"/>
  <c r="G85" i="3"/>
  <c r="BL85" i="3"/>
  <c r="BA86" i="3"/>
  <c r="BA92" i="3"/>
  <c r="BL96" i="3"/>
  <c r="BL97" i="3"/>
  <c r="AZ97" i="3" s="1"/>
  <c r="D31" i="71"/>
  <c r="C32" i="71"/>
  <c r="D50" i="71"/>
  <c r="C51" i="71"/>
  <c r="V24" i="71"/>
  <c r="E23" i="71"/>
  <c r="E22" i="71" s="1"/>
  <c r="E21" i="71" s="1"/>
  <c r="E20" i="71" s="1"/>
  <c r="AZ57" i="3"/>
  <c r="AZ108" i="3"/>
  <c r="F40" i="69"/>
  <c r="C40" i="69"/>
  <c r="T28" i="71"/>
  <c r="D28" i="71"/>
  <c r="U28" i="71" s="1"/>
  <c r="C27" i="71"/>
  <c r="C60" i="71"/>
  <c r="D59" i="71"/>
  <c r="F66" i="71"/>
  <c r="Q67" i="71"/>
  <c r="BA114" i="3"/>
  <c r="BL123" i="3"/>
  <c r="AZ123" i="3" s="1"/>
  <c r="BA128" i="3"/>
  <c r="AZ128" i="3" s="1"/>
  <c r="BL134" i="3"/>
  <c r="BL137" i="3"/>
  <c r="AZ137" i="3" s="1"/>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G59" i="3"/>
  <c r="G62" i="3"/>
  <c r="BL62" i="3"/>
  <c r="BL63" i="3"/>
  <c r="AZ63" i="3" s="1"/>
  <c r="G65" i="3"/>
  <c r="BL65" i="3"/>
  <c r="AZ65" i="3" s="1"/>
  <c r="BL66" i="3"/>
  <c r="AZ66" i="3" s="1"/>
  <c r="BL67" i="3"/>
  <c r="AZ67" i="3" s="1"/>
  <c r="G69" i="3"/>
  <c r="G70" i="3"/>
  <c r="BL70" i="3"/>
  <c r="AZ70" i="3" s="1"/>
  <c r="BL71" i="3"/>
  <c r="AZ71" i="3" s="1"/>
  <c r="BL72" i="3"/>
  <c r="AZ72" i="3" s="1"/>
  <c r="G74" i="3"/>
  <c r="G75" i="3"/>
  <c r="BL75" i="3"/>
  <c r="BL86" i="3"/>
  <c r="BA88" i="3"/>
  <c r="AZ88" i="3" s="1"/>
  <c r="BA89" i="3"/>
  <c r="BL93" i="3"/>
  <c r="W21" i="21"/>
  <c r="D44" i="71"/>
  <c r="T44" i="71"/>
  <c r="D34" i="71"/>
  <c r="C35" i="71"/>
  <c r="C55" i="71"/>
  <c r="D54" i="71"/>
  <c r="D67" i="71"/>
  <c r="C66" i="71"/>
  <c r="O67" i="7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28" i="3" s="1"/>
  <c r="BA31" i="3"/>
  <c r="AZ31" i="3" s="1"/>
  <c r="BA32" i="3"/>
  <c r="BA38" i="3"/>
  <c r="BA41" i="3"/>
  <c r="AZ41" i="3" s="1"/>
  <c r="BA42" i="3"/>
  <c r="BL48" i="3"/>
  <c r="BL54" i="3"/>
  <c r="BL55" i="3"/>
  <c r="AZ55" i="3" s="1"/>
  <c r="BA59" i="3"/>
  <c r="AZ59" i="3" s="1"/>
  <c r="BL61" i="3"/>
  <c r="BA64" i="3"/>
  <c r="AZ64" i="3" s="1"/>
  <c r="BL68" i="3"/>
  <c r="BA69" i="3"/>
  <c r="AZ69" i="3" s="1"/>
  <c r="BL73" i="3"/>
  <c r="BA74" i="3"/>
  <c r="AZ74" i="3" s="1"/>
  <c r="BA75" i="3"/>
  <c r="AZ75" i="3" s="1"/>
  <c r="C64" i="71"/>
  <c r="D63" i="71"/>
  <c r="G103" i="3"/>
  <c r="BA103" i="3"/>
  <c r="AZ103" i="3" s="1"/>
  <c r="BA104" i="3"/>
  <c r="BA106" i="3"/>
  <c r="BL108" i="3"/>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77" i="3"/>
  <c r="AZ77" i="3" s="1"/>
  <c r="BA79" i="3"/>
  <c r="AZ79" i="3" s="1"/>
  <c r="G82" i="3"/>
  <c r="G83" i="3"/>
  <c r="BA84" i="3"/>
  <c r="AZ84" i="3" s="1"/>
  <c r="BL88" i="3"/>
  <c r="BL90" i="3"/>
  <c r="BL92" i="3"/>
  <c r="G101" i="3"/>
  <c r="BA101" i="3"/>
  <c r="AZ101" i="3" s="1"/>
  <c r="G109" i="3"/>
  <c r="BL112" i="3"/>
  <c r="AB21" i="33"/>
  <c r="S21" i="34"/>
  <c r="B88" i="43"/>
  <c r="D76" i="71"/>
  <c r="T68" i="71"/>
  <c r="X34" i="71"/>
  <c r="X31" i="71"/>
  <c r="F35" i="71"/>
  <c r="F36" i="71" s="1"/>
  <c r="V36" i="71" s="1"/>
  <c r="AA34" i="71"/>
  <c r="AB35" i="7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C36" i="68"/>
  <c r="D9" i="69"/>
  <c r="C36" i="69"/>
  <c r="D9" i="68"/>
  <c r="F26" i="15"/>
  <c r="M9" i="15"/>
  <c r="L48" i="15"/>
  <c r="F7" i="67"/>
  <c r="M23" i="15"/>
  <c r="M6" i="15"/>
  <c r="C76" i="15"/>
  <c r="D5" i="73"/>
  <c r="F36" i="15"/>
  <c r="D4" i="73"/>
  <c r="J15" i="15"/>
  <c r="F6" i="15"/>
  <c r="F13" i="15"/>
  <c r="M8" i="15"/>
  <c r="C16" i="15"/>
  <c r="F43" i="15"/>
  <c r="C16" i="67"/>
  <c r="F36" i="67"/>
  <c r="F40" i="15"/>
  <c r="F40" i="67"/>
  <c r="F38" i="15"/>
  <c r="D3" i="73"/>
  <c r="F8" i="15"/>
  <c r="L47" i="15"/>
  <c r="F9" i="15"/>
  <c r="M29" i="15"/>
  <c r="M24" i="15"/>
  <c r="F42" i="15"/>
  <c r="M26" i="15"/>
  <c r="D7" i="73"/>
  <c r="E10" i="6" l="1"/>
  <c r="E11" i="6"/>
  <c r="E60" i="39" s="1"/>
  <c r="E13" i="6"/>
  <c r="E58" i="40" s="1"/>
  <c r="E12" i="6"/>
  <c r="E57" i="40" s="1"/>
  <c r="E28" i="6"/>
  <c r="K14" i="1" s="1"/>
  <c r="K16" i="1" s="1"/>
  <c r="E14" i="6"/>
  <c r="E63" i="39" s="1"/>
  <c r="F30" i="6"/>
  <c r="AZ24" i="3"/>
  <c r="AZ19" i="3"/>
  <c r="AZ25" i="3"/>
  <c r="AZ26" i="3"/>
  <c r="P6" i="1"/>
  <c r="C13" i="12" s="1"/>
  <c r="Q16" i="1"/>
  <c r="F27" i="69" s="1"/>
  <c r="C47" i="69" s="1"/>
  <c r="D45" i="69" s="1"/>
  <c r="H16" i="1"/>
  <c r="J7" i="36"/>
  <c r="Q71" i="15"/>
  <c r="F66" i="15"/>
  <c r="F68" i="67"/>
  <c r="F68" i="15"/>
  <c r="F31" i="15"/>
  <c r="C6" i="15"/>
  <c r="C32" i="15" s="1"/>
  <c r="F31" i="67"/>
  <c r="C6" i="67"/>
  <c r="C32" i="67" s="1"/>
  <c r="M7" i="67"/>
  <c r="J6" i="67" s="1"/>
  <c r="J18" i="67" s="1"/>
  <c r="F50" i="67"/>
  <c r="F59" i="67" s="1"/>
  <c r="F64" i="67"/>
  <c r="J53" i="15"/>
  <c r="L56" i="15" s="1"/>
  <c r="J57" i="15"/>
  <c r="J55" i="15" s="1"/>
  <c r="J58" i="15" s="1"/>
  <c r="Q50" i="15" s="1"/>
  <c r="I54" i="15"/>
  <c r="L59" i="15"/>
  <c r="Q74" i="15" s="1"/>
  <c r="N59" i="15"/>
  <c r="L58" i="15"/>
  <c r="Q73" i="15" s="1"/>
  <c r="M59" i="15"/>
  <c r="F71" i="15"/>
  <c r="F64" i="15"/>
  <c r="C27" i="15"/>
  <c r="F51" i="15"/>
  <c r="F59" i="15" s="1"/>
  <c r="J6" i="15"/>
  <c r="J18" i="15" s="1"/>
  <c r="G5" i="3"/>
  <c r="B3" i="3" s="1"/>
  <c r="E502" i="3" s="1"/>
  <c r="D79" i="71"/>
  <c r="C78" i="71"/>
  <c r="D78" i="71" s="1"/>
  <c r="AZ118" i="3"/>
  <c r="AZ38" i="3"/>
  <c r="C26" i="71"/>
  <c r="D26" i="71" s="1"/>
  <c r="D27" i="71"/>
  <c r="AZ86" i="3"/>
  <c r="AZ229" i="3"/>
  <c r="AZ218" i="3"/>
  <c r="AZ404" i="3"/>
  <c r="AZ244" i="3"/>
  <c r="AZ239" i="3"/>
  <c r="AZ407" i="3"/>
  <c r="AB39" i="37"/>
  <c r="U39" i="37"/>
  <c r="AB12" i="36"/>
  <c r="U12" i="36"/>
  <c r="W44" i="39"/>
  <c r="AC44" i="39"/>
  <c r="AC14" i="21"/>
  <c r="W14" i="21"/>
  <c r="W32" i="34"/>
  <c r="AC32" i="34"/>
  <c r="AA38" i="40"/>
  <c r="S38" i="40"/>
  <c r="U23" i="35"/>
  <c r="AB23" i="35"/>
  <c r="G16" i="1"/>
  <c r="F10" i="39" s="1"/>
  <c r="S10" i="39" s="1"/>
  <c r="D83" i="71"/>
  <c r="C82" i="71"/>
  <c r="D82" i="71" s="1"/>
  <c r="C56" i="71"/>
  <c r="D55" i="71"/>
  <c r="C52" i="71"/>
  <c r="D51" i="71"/>
  <c r="AZ182" i="3"/>
  <c r="AB24" i="36"/>
  <c r="U24" i="36"/>
  <c r="W12" i="35"/>
  <c r="AC12" i="35"/>
  <c r="S26" i="33"/>
  <c r="AA26" i="33"/>
  <c r="W30" i="21"/>
  <c r="AC30" i="21"/>
  <c r="AB32" i="36"/>
  <c r="U32" i="36"/>
  <c r="AC9" i="33"/>
  <c r="W9" i="33"/>
  <c r="C70" i="71"/>
  <c r="D70" i="71" s="1"/>
  <c r="D71" i="71"/>
  <c r="O65" i="71"/>
  <c r="D66" i="71"/>
  <c r="O66" i="71"/>
  <c r="C36" i="71"/>
  <c r="D35" i="71"/>
  <c r="AZ302" i="3"/>
  <c r="AB27" i="34"/>
  <c r="U27" i="34"/>
  <c r="S24" i="36"/>
  <c r="AA24" i="36"/>
  <c r="AB26" i="33"/>
  <c r="U26" i="33"/>
  <c r="S13" i="36"/>
  <c r="AA13" i="36"/>
  <c r="C40" i="71"/>
  <c r="D39" i="71"/>
  <c r="D75" i="71"/>
  <c r="C74" i="71"/>
  <c r="D74" i="71" s="1"/>
  <c r="D60" i="71"/>
  <c r="T60" i="71"/>
  <c r="T32" i="71"/>
  <c r="D32" i="71"/>
  <c r="AZ61" i="3"/>
  <c r="AZ251" i="3"/>
  <c r="AZ247" i="3"/>
  <c r="AZ422" i="3"/>
  <c r="AZ405" i="3"/>
  <c r="AZ284" i="3"/>
  <c r="AZ277" i="3"/>
  <c r="AZ256" i="3"/>
  <c r="AZ397" i="3"/>
  <c r="AA12" i="36"/>
  <c r="S12" i="36"/>
  <c r="AA45" i="33"/>
  <c r="S45" i="33"/>
  <c r="U25" i="36"/>
  <c r="AB25" i="36"/>
  <c r="J7" i="37"/>
  <c r="AC7" i="37" s="1"/>
  <c r="K1" i="73"/>
  <c r="E585" i="3"/>
  <c r="E468"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B7" i="36" s="1"/>
  <c r="T36" i="36" s="1"/>
  <c r="G36" i="36" s="1"/>
  <c r="E248" i="3"/>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62" i="39"/>
  <c r="D5" i="43"/>
  <c r="C7" i="43"/>
  <c r="C5" i="43" s="1"/>
  <c r="D10" i="52"/>
  <c r="D125" i="9"/>
  <c r="D11" i="52" s="1"/>
  <c r="B7" i="74"/>
  <c r="C7" i="74" s="1"/>
  <c r="F67" i="39"/>
  <c r="H7" i="37"/>
  <c r="AB7" i="37" s="1"/>
  <c r="T42" i="37" s="1"/>
  <c r="G42" i="37" s="1"/>
  <c r="H7" i="33"/>
  <c r="J7" i="33"/>
  <c r="D65" i="40"/>
  <c r="E63" i="40"/>
  <c r="F48" i="35"/>
  <c r="S7" i="36"/>
  <c r="AA7" i="36"/>
  <c r="R36" i="36" s="1"/>
  <c r="U7" i="36"/>
  <c r="F7" i="33"/>
  <c r="E58" i="21"/>
  <c r="AC7" i="36"/>
  <c r="V36" i="36" s="1"/>
  <c r="I36" i="36" s="1"/>
  <c r="W7" i="36"/>
  <c r="F7" i="37"/>
  <c r="M17" i="67"/>
  <c r="M17" i="15"/>
  <c r="P28" i="43"/>
  <c r="B66" i="40" s="1"/>
  <c r="P25" i="43"/>
  <c r="P29" i="43"/>
  <c r="P27" i="43"/>
  <c r="B70" i="39" s="1"/>
  <c r="Q60" i="67"/>
  <c r="Q73" i="67"/>
  <c r="M11" i="67"/>
  <c r="J10" i="67" s="1"/>
  <c r="F11" i="15"/>
  <c r="M11" i="15"/>
  <c r="J10" i="15" s="1"/>
  <c r="F11" i="67"/>
  <c r="F1" i="67"/>
  <c r="Q52" i="67"/>
  <c r="Q61" i="67"/>
  <c r="Q74" i="67"/>
  <c r="AE11" i="1"/>
  <c r="AE9" i="1"/>
  <c r="AE7" i="1"/>
  <c r="AE8" i="1"/>
  <c r="AE12" i="1"/>
  <c r="AE10" i="1"/>
  <c r="G1" i="73"/>
  <c r="F41" i="67"/>
  <c r="E387" i="3" l="1"/>
  <c r="M14" i="1"/>
  <c r="E182" i="3"/>
  <c r="E164" i="3"/>
  <c r="E378" i="3"/>
  <c r="E131" i="3"/>
  <c r="E487" i="3"/>
  <c r="E246" i="3"/>
  <c r="E183" i="3"/>
  <c r="E240" i="3"/>
  <c r="E483" i="3"/>
  <c r="E385" i="3"/>
  <c r="E311" i="3"/>
  <c r="E345" i="3"/>
  <c r="K6" i="3"/>
  <c r="E439" i="3"/>
  <c r="E433" i="3"/>
  <c r="E506" i="3"/>
  <c r="E59" i="40"/>
  <c r="E118" i="3"/>
  <c r="E132" i="3"/>
  <c r="E135" i="3"/>
  <c r="AJ6" i="3"/>
  <c r="E327" i="3"/>
  <c r="E568" i="3"/>
  <c r="E508" i="3"/>
  <c r="E293" i="3"/>
  <c r="E122" i="3"/>
  <c r="E142" i="3"/>
  <c r="E148" i="3"/>
  <c r="E278" i="3"/>
  <c r="E109" i="3"/>
  <c r="E74" i="3"/>
  <c r="E301" i="3"/>
  <c r="E186" i="3"/>
  <c r="E151" i="3"/>
  <c r="E147" i="3"/>
  <c r="E139" i="3"/>
  <c r="E369" i="3"/>
  <c r="E94" i="3"/>
  <c r="E219" i="3"/>
  <c r="E296" i="3"/>
  <c r="E100" i="3"/>
  <c r="E263" i="3"/>
  <c r="E445" i="3"/>
  <c r="E189" i="3"/>
  <c r="E570" i="3"/>
  <c r="E431" i="3"/>
  <c r="E268" i="3"/>
  <c r="E273" i="3"/>
  <c r="E489" i="3"/>
  <c r="E485" i="3"/>
  <c r="E368" i="3"/>
  <c r="E171" i="3"/>
  <c r="E465" i="3"/>
  <c r="AK6" i="3"/>
  <c r="E124" i="3"/>
  <c r="E91" i="3"/>
  <c r="E216" i="3"/>
  <c r="E270" i="3"/>
  <c r="E441" i="3"/>
  <c r="E505" i="3"/>
  <c r="E567" i="3"/>
  <c r="E193" i="3"/>
  <c r="E114" i="3"/>
  <c r="E125" i="3"/>
  <c r="E177" i="3"/>
  <c r="E145" i="3"/>
  <c r="E584" i="3"/>
  <c r="E188" i="3"/>
  <c r="E191" i="3"/>
  <c r="E172" i="3"/>
  <c r="E335" i="3"/>
  <c r="E514" i="3"/>
  <c r="E579" i="3"/>
  <c r="E217" i="3"/>
  <c r="E211" i="3"/>
  <c r="E531" i="3"/>
  <c r="Z6" i="3"/>
  <c r="E227" i="3"/>
  <c r="E106" i="3"/>
  <c r="E560" i="3"/>
  <c r="E545" i="3"/>
  <c r="E495" i="3"/>
  <c r="E361" i="3"/>
  <c r="E380" i="3"/>
  <c r="E555" i="3"/>
  <c r="E210" i="3"/>
  <c r="E515" i="3"/>
  <c r="E150" i="3"/>
  <c r="E583" i="3"/>
  <c r="E559" i="3"/>
  <c r="E444" i="3"/>
  <c r="E169" i="3"/>
  <c r="E224" i="3"/>
  <c r="E421" i="3"/>
  <c r="E129" i="3"/>
  <c r="E275" i="3"/>
  <c r="E200" i="3"/>
  <c r="AI6" i="3"/>
  <c r="E535" i="3"/>
  <c r="E69" i="3"/>
  <c r="AB6" i="3"/>
  <c r="E247" i="3"/>
  <c r="E322" i="3"/>
  <c r="E572" i="3"/>
  <c r="E28" i="3"/>
  <c r="E400" i="3"/>
  <c r="E204" i="3"/>
  <c r="E214" i="3"/>
  <c r="E587" i="3"/>
  <c r="E133" i="3"/>
  <c r="E347" i="3"/>
  <c r="E134" i="3"/>
  <c r="E261" i="3"/>
  <c r="E533" i="3"/>
  <c r="E175" i="3"/>
  <c r="E476" i="3"/>
  <c r="E549" i="3"/>
  <c r="E573" i="3"/>
  <c r="E550" i="3"/>
  <c r="E553" i="3"/>
  <c r="E424" i="3"/>
  <c r="E92" i="3"/>
  <c r="E39" i="3"/>
  <c r="E276" i="3"/>
  <c r="E58" i="3"/>
  <c r="AQ6" i="3"/>
  <c r="E40" i="3"/>
  <c r="E412" i="3"/>
  <c r="E233" i="3"/>
  <c r="E315" i="3"/>
  <c r="E454" i="3"/>
  <c r="E406" i="3"/>
  <c r="E228" i="3"/>
  <c r="E77" i="3"/>
  <c r="E586" i="3"/>
  <c r="E503" i="3"/>
  <c r="E185" i="3"/>
  <c r="E538" i="3"/>
  <c r="E337" i="3"/>
  <c r="E305" i="3"/>
  <c r="E44" i="3"/>
  <c r="E27" i="3"/>
  <c r="E477" i="3"/>
  <c r="E107" i="3"/>
  <c r="E351" i="3"/>
  <c r="E450" i="3"/>
  <c r="E99" i="3"/>
  <c r="E245" i="3"/>
  <c r="E230" i="3"/>
  <c r="E396" i="3"/>
  <c r="E316" i="3"/>
  <c r="E32" i="3"/>
  <c r="E156" i="3"/>
  <c r="E153" i="3"/>
  <c r="E14" i="3"/>
  <c r="E504" i="3"/>
  <c r="E284" i="3"/>
  <c r="E398" i="3"/>
  <c r="E234" i="3"/>
  <c r="E422" i="3"/>
  <c r="E451" i="3"/>
  <c r="E160" i="3"/>
  <c r="AR6" i="3"/>
  <c r="E410" i="3"/>
  <c r="E343" i="3"/>
  <c r="E331" i="3"/>
  <c r="E447" i="3"/>
  <c r="E414" i="3"/>
  <c r="E269" i="3"/>
  <c r="E279" i="3"/>
  <c r="E562" i="3"/>
  <c r="E453" i="3"/>
  <c r="E290" i="3"/>
  <c r="E320" i="3"/>
  <c r="N6" i="3"/>
  <c r="E166" i="3"/>
  <c r="E256" i="3"/>
  <c r="E302" i="3"/>
  <c r="AM6" i="3"/>
  <c r="E475" i="3"/>
  <c r="Y6" i="3"/>
  <c r="E446" i="3"/>
  <c r="E524" i="3"/>
  <c r="E60" i="3"/>
  <c r="E493" i="3"/>
  <c r="E140" i="3"/>
  <c r="E56" i="3"/>
  <c r="F28" i="12"/>
  <c r="C29" i="12" s="1"/>
  <c r="D28" i="12" s="1"/>
  <c r="F1" i="15"/>
  <c r="F45" i="69"/>
  <c r="Q52" i="15"/>
  <c r="H10" i="40"/>
  <c r="AB10" i="40" s="1"/>
  <c r="C29" i="69"/>
  <c r="D27" i="69" s="1"/>
  <c r="Q60" i="15"/>
  <c r="AA10" i="39"/>
  <c r="J10" i="40"/>
  <c r="AC10" i="40" s="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72" i="3"/>
  <c r="E527" i="3"/>
  <c r="E314" i="3"/>
  <c r="E578" i="3"/>
  <c r="E395" i="3"/>
  <c r="V6" i="3"/>
  <c r="E516" i="3"/>
  <c r="E30" i="3"/>
  <c r="P6" i="3"/>
  <c r="E496" i="3"/>
  <c r="E402" i="3"/>
  <c r="E285" i="3"/>
  <c r="E432" i="3"/>
  <c r="E438" i="3"/>
  <c r="E87" i="3"/>
  <c r="E582" i="3"/>
  <c r="E250" i="3"/>
  <c r="E62" i="3"/>
  <c r="E455" i="3"/>
  <c r="J6" i="3"/>
  <c r="E342" i="3"/>
  <c r="E405" i="3"/>
  <c r="E391" i="3"/>
  <c r="E241" i="3"/>
  <c r="E115" i="3"/>
  <c r="E34" i="3"/>
  <c r="E23" i="3"/>
  <c r="I3" i="6"/>
  <c r="J10" i="39"/>
  <c r="W10" i="39" s="1"/>
  <c r="H10" i="39"/>
  <c r="U10" i="39" s="1"/>
  <c r="F27" i="68"/>
  <c r="C29" i="68" s="1"/>
  <c r="D27" i="68" s="1"/>
  <c r="F10" i="40"/>
  <c r="S10" i="40" s="1"/>
  <c r="F27" i="11"/>
  <c r="C29" i="11" s="1"/>
  <c r="D27" i="11" s="1"/>
  <c r="E158" i="3"/>
  <c r="E452" i="3"/>
  <c r="E113" i="3"/>
  <c r="E309" i="3"/>
  <c r="E59" i="3"/>
  <c r="E510" i="3"/>
  <c r="E575" i="3"/>
  <c r="E541" i="3"/>
  <c r="AP6" i="3"/>
  <c r="E417" i="3"/>
  <c r="E192" i="3"/>
  <c r="E349" i="3"/>
  <c r="E409" i="3"/>
  <c r="E103" i="3"/>
  <c r="E371" i="3"/>
  <c r="E67" i="3"/>
  <c r="E381" i="3"/>
  <c r="E283" i="3"/>
  <c r="E198" i="3"/>
  <c r="E75"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212" i="3"/>
  <c r="E442" i="3"/>
  <c r="E554" i="3"/>
  <c r="E37" i="3"/>
  <c r="E363" i="3"/>
  <c r="E425" i="3"/>
  <c r="E267" i="3"/>
  <c r="E84" i="3"/>
  <c r="E68" i="3"/>
  <c r="E21" i="3"/>
  <c r="AL6"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330" i="3"/>
  <c r="E344" i="3"/>
  <c r="E55" i="3"/>
  <c r="E274" i="3"/>
  <c r="I6" i="3"/>
  <c r="E576" i="3"/>
  <c r="E443" i="3"/>
  <c r="E404" i="3"/>
  <c r="E295" i="3"/>
  <c r="E480" i="3"/>
  <c r="E282" i="3"/>
  <c r="E569" i="3"/>
  <c r="E358" i="3"/>
  <c r="E407" i="3"/>
  <c r="E130" i="3"/>
  <c r="E260" i="3"/>
  <c r="E61" i="3"/>
  <c r="E518" i="3"/>
  <c r="E253" i="3"/>
  <c r="E511" i="3"/>
  <c r="E519" i="3"/>
  <c r="E457" i="3"/>
  <c r="E286" i="3"/>
  <c r="E430" i="3"/>
  <c r="E435" i="3"/>
  <c r="E95" i="3"/>
  <c r="E389" i="3"/>
  <c r="E467" i="3"/>
  <c r="E300" i="3"/>
  <c r="E144" i="3"/>
  <c r="E63" i="3"/>
  <c r="E494" i="3"/>
  <c r="E482" i="3"/>
  <c r="E383" i="3"/>
  <c r="E251" i="3"/>
  <c r="E22" i="3"/>
  <c r="E525" i="3"/>
  <c r="E469" i="3"/>
  <c r="E497" i="3"/>
  <c r="E26" i="3"/>
  <c r="E243" i="3"/>
  <c r="E220" i="3"/>
  <c r="E232" i="3"/>
  <c r="E83" i="3"/>
  <c r="E105" i="3"/>
  <c r="E427" i="3"/>
  <c r="E490" i="3"/>
  <c r="E401" i="3"/>
  <c r="E178" i="3"/>
  <c r="E333" i="3"/>
  <c r="E473"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H6" i="3" s="1"/>
  <c r="AE6" i="3"/>
  <c r="E73" i="3"/>
  <c r="E394" i="3"/>
  <c r="E236" i="3"/>
  <c r="AG6" i="3"/>
  <c r="E558" i="3"/>
  <c r="E88" i="3"/>
  <c r="R6" i="3"/>
  <c r="E449" i="3"/>
  <c r="E491" i="3"/>
  <c r="E258" i="3"/>
  <c r="E76" i="3"/>
  <c r="E64" i="3"/>
  <c r="E310" i="3"/>
  <c r="E184" i="3"/>
  <c r="E264" i="3"/>
  <c r="E332" i="3"/>
  <c r="E18" i="3"/>
  <c r="E522" i="3"/>
  <c r="E102" i="3"/>
  <c r="E205" i="3"/>
  <c r="E534" i="3"/>
  <c r="E408" i="3"/>
  <c r="E13" i="3"/>
  <c r="E104" i="3"/>
  <c r="E428" i="3"/>
  <c r="E324" i="3"/>
  <c r="E370" i="3"/>
  <c r="E16" i="3"/>
  <c r="E393" i="3"/>
  <c r="E486" i="3"/>
  <c r="AH6" i="3"/>
  <c r="E463" i="3"/>
  <c r="E202" i="3"/>
  <c r="L6" i="3"/>
  <c r="E15" i="3"/>
  <c r="E137" i="3"/>
  <c r="E392" i="3"/>
  <c r="E123" i="3"/>
  <c r="E50" i="3"/>
  <c r="E365" i="3"/>
  <c r="E552" i="3"/>
  <c r="E155" i="3"/>
  <c r="E24" i="3"/>
  <c r="E312" i="3"/>
  <c r="E57" i="3"/>
  <c r="E48" i="3"/>
  <c r="E464" i="3"/>
  <c r="E47" i="3"/>
  <c r="E374" i="3"/>
  <c r="E66" i="3"/>
  <c r="E488" i="3"/>
  <c r="E187" i="3"/>
  <c r="E82" i="3"/>
  <c r="E306" i="3"/>
  <c r="E474" i="3"/>
  <c r="E471" i="3"/>
  <c r="E257" i="3"/>
  <c r="E207" i="3"/>
  <c r="E548" i="3"/>
  <c r="E546" i="3"/>
  <c r="E317" i="3"/>
  <c r="E501" i="3"/>
  <c r="E574" i="3"/>
  <c r="E523" i="3"/>
  <c r="E298" i="3"/>
  <c r="E213" i="3"/>
  <c r="E303" i="3"/>
  <c r="AA6" i="3"/>
  <c r="E262" i="3"/>
  <c r="E481" i="3"/>
  <c r="E429" i="3"/>
  <c r="E203" i="3"/>
  <c r="E580" i="3"/>
  <c r="E252" i="3"/>
  <c r="E448" i="3"/>
  <c r="E581" i="3"/>
  <c r="E121" i="3"/>
  <c r="E334" i="3"/>
  <c r="E366" i="3"/>
  <c r="E239" i="3"/>
  <c r="E229" i="3"/>
  <c r="E551" i="3"/>
  <c r="E294" i="3"/>
  <c r="E415" i="3"/>
  <c r="E117" i="3"/>
  <c r="E382" i="3"/>
  <c r="E336" i="3"/>
  <c r="E85" i="3"/>
  <c r="E45" i="3"/>
  <c r="E458" i="3"/>
  <c r="E571" i="3"/>
  <c r="E111" i="3"/>
  <c r="E318" i="3"/>
  <c r="E3" i="6"/>
  <c r="E96" i="3"/>
  <c r="E42" i="3"/>
  <c r="E281" i="3"/>
  <c r="E513" i="3"/>
  <c r="E81" i="3"/>
  <c r="E355" i="3"/>
  <c r="E33" i="3"/>
  <c r="E492" i="3"/>
  <c r="E249" i="3"/>
  <c r="E46" i="3"/>
  <c r="E484" i="3"/>
  <c r="E544" i="3"/>
  <c r="E292" i="3"/>
  <c r="E152" i="3"/>
  <c r="E479" i="3"/>
  <c r="E517" i="3"/>
  <c r="E255" i="3"/>
  <c r="E466" i="3"/>
  <c r="E499" i="3"/>
  <c r="E536" i="3"/>
  <c r="C49" i="67"/>
  <c r="J5" i="67"/>
  <c r="J24" i="67" s="1"/>
  <c r="C49" i="15"/>
  <c r="Q61" i="15"/>
  <c r="J5" i="15"/>
  <c r="J24" i="15" s="1"/>
  <c r="W7" i="37"/>
  <c r="T40" i="71"/>
  <c r="D40" i="71"/>
  <c r="D56" i="71"/>
  <c r="T56" i="71"/>
  <c r="E539" i="3"/>
  <c r="E199" i="3"/>
  <c r="T36" i="71"/>
  <c r="D36" i="71"/>
  <c r="T52" i="71"/>
  <c r="D52"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10" i="15"/>
  <c r="C5" i="15" s="1"/>
  <c r="C38" i="15" s="1"/>
  <c r="M27" i="15"/>
  <c r="M27" i="67"/>
  <c r="AE6" i="1"/>
  <c r="F41" i="15" s="1"/>
  <c r="R50" i="34" l="1"/>
  <c r="F45" i="68"/>
  <c r="W10" i="40"/>
  <c r="AB10" i="39"/>
  <c r="C47" i="68"/>
  <c r="D45" i="68" s="1"/>
  <c r="AC10" i="39"/>
  <c r="AA10" i="40"/>
  <c r="C48" i="67"/>
  <c r="C66" i="67" s="1"/>
  <c r="AC6" i="3"/>
  <c r="E6" i="3" s="1"/>
  <c r="C48" i="15"/>
  <c r="C66" i="15" s="1"/>
  <c r="F22" i="68"/>
  <c r="F25" i="12"/>
  <c r="C26" i="12" s="1"/>
  <c r="D25" i="12"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D10" i="68"/>
  <c r="C17" i="67"/>
  <c r="C14" i="67"/>
  <c r="C17" i="15"/>
  <c r="E53" i="34" l="1"/>
  <c r="F53" i="34" s="1"/>
  <c r="C60" i="15"/>
  <c r="C60" i="67"/>
  <c r="C26" i="68"/>
  <c r="D22" i="68" s="1"/>
  <c r="C44" i="68"/>
  <c r="D41" i="68" s="1"/>
  <c r="F41" i="68"/>
  <c r="H22" i="6"/>
  <c r="H21" i="6"/>
  <c r="R21" i="6" s="1"/>
  <c r="R8" i="1" s="1"/>
  <c r="H25" i="6"/>
  <c r="R25" i="6" s="1"/>
  <c r="R12" i="1" s="1"/>
  <c r="C44" i="11"/>
  <c r="D41" i="11" s="1"/>
  <c r="C26" i="11"/>
  <c r="D22" i="11" s="1"/>
  <c r="C25" i="11"/>
  <c r="C24" i="11"/>
  <c r="C44" i="69"/>
  <c r="D41" i="69" s="1"/>
  <c r="C26" i="69"/>
  <c r="D22" i="69"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G26" i="43" l="1"/>
  <c r="N370" i="46"/>
  <c r="Z7" i="43"/>
  <c r="F26" i="43"/>
  <c r="N94" i="46"/>
  <c r="E26" i="43"/>
  <c r="J26" i="43"/>
  <c r="H26" i="43"/>
  <c r="B116"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C3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M21" i="15"/>
  <c r="F35" i="67"/>
  <c r="C118" i="43" l="1"/>
  <c r="D116" i="43"/>
  <c r="C34" i="43"/>
  <c r="E34" i="43" s="1"/>
  <c r="C31" i="43" s="1"/>
  <c r="E33" i="43"/>
  <c r="C30" i="4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B2" i="76" l="1"/>
  <c r="B3" i="76" s="1"/>
  <c r="B3" i="43"/>
  <c r="C6" i="68"/>
  <c r="C7" i="68" s="1"/>
  <c r="C5"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3" i="68" l="1"/>
  <c r="C20"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C28" i="68" l="1"/>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7" i="1"/>
  <c r="AO9" i="1"/>
  <c r="AO10" i="1"/>
  <c r="C31" i="68" l="1"/>
  <c r="C52" i="68" s="1"/>
  <c r="C57" i="68" s="1"/>
  <c r="C56"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2" i="68" l="1"/>
  <c r="B3"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C19" i="9"/>
  <c r="D20" i="9"/>
  <c r="D22" i="9" l="1"/>
  <c r="G19" i="9"/>
  <c r="D14" i="74" s="1"/>
  <c r="G14" i="74" s="1"/>
  <c r="C21" i="9"/>
  <c r="C102" i="9"/>
  <c r="D103" i="9"/>
  <c r="C103" i="9"/>
  <c r="G20" i="9"/>
  <c r="C32" i="9" s="1"/>
  <c r="D6" i="71"/>
  <c r="C5" i="71"/>
  <c r="D5" i="71" s="1"/>
  <c r="M24" i="43" s="1"/>
  <c r="C42" i="40"/>
  <c r="C43" i="40"/>
  <c r="E47" i="40"/>
  <c r="F47" i="40" s="1"/>
  <c r="E46" i="40"/>
  <c r="F46" i="40" s="1"/>
  <c r="I47" i="40"/>
  <c r="J47" i="40" s="1"/>
  <c r="G21" i="9" l="1"/>
  <c r="I20" i="9"/>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3" i="72"/>
  <c r="F5" i="52"/>
  <c r="F119" i="9"/>
  <c r="M68" i="9"/>
  <c r="L68" i="9"/>
  <c r="M55" i="9"/>
  <c r="D59" i="9"/>
  <c r="M67" i="9"/>
  <c r="L67" i="9"/>
  <c r="N69" i="9"/>
  <c r="M69" i="9"/>
  <c r="M63" i="9"/>
  <c r="L63" i="9"/>
  <c r="B48" i="72"/>
  <c r="E4" i="52"/>
  <c r="D54" i="9"/>
  <c r="C64" i="9"/>
  <c r="C63" i="9"/>
  <c r="C67" i="9"/>
  <c r="C68" i="9"/>
  <c r="D9" i="52"/>
  <c r="D123" i="9"/>
  <c r="B21" i="72"/>
  <c r="D7" i="53"/>
  <c r="C73" i="9"/>
  <c r="C78" i="9"/>
  <c r="B20" i="72"/>
  <c r="C86" i="9"/>
  <c r="C93" i="9"/>
  <c r="B52" i="72"/>
  <c r="G4" i="52"/>
  <c r="M64" i="9"/>
  <c r="L64" i="9"/>
  <c r="H4" i="52"/>
  <c r="C104" i="9"/>
  <c r="N58" i="9"/>
  <c r="D55" i="9"/>
  <c r="M53" i="9"/>
  <c r="N57" i="9"/>
  <c r="P57" i="9"/>
  <c r="C80" i="9"/>
  <c r="E80" i="9"/>
  <c r="E81" i="9"/>
  <c r="D5" i="53"/>
  <c r="D6" i="53"/>
  <c r="B22" i="72"/>
  <c r="D52" i="9"/>
  <c r="D53" i="9"/>
  <c r="H119" i="9"/>
  <c r="H5" i="52"/>
  <c r="B30" i="72"/>
  <c r="C96" i="9"/>
  <c r="E96" i="9"/>
  <c r="E97" i="9"/>
  <c r="G118" i="9"/>
  <c r="F118" i="9"/>
  <c r="F4" i="52"/>
  <c r="B51" i="72"/>
  <c r="C6" i="74"/>
  <c r="D119" i="9"/>
  <c r="D5" i="52"/>
  <c r="B49" i="72"/>
  <c r="M65" i="9"/>
  <c r="L65" i="9"/>
  <c r="M48" i="9"/>
  <c r="I4" i="52"/>
  <c r="C105" i="9"/>
  <c r="M66" i="9"/>
  <c r="L66" i="9"/>
  <c r="C72" i="9"/>
  <c r="C79" i="9"/>
  <c r="C81" i="9"/>
  <c r="N61" i="9"/>
  <c r="M49" i="9"/>
  <c r="N59" i="9"/>
  <c r="N60" i="9"/>
  <c r="D45" i="9"/>
  <c r="C85" i="9"/>
  <c r="C95" i="9"/>
  <c r="C97" i="9"/>
  <c r="D58" i="9"/>
  <c r="D56" i="9"/>
  <c r="M54" i="9"/>
  <c r="H102" i="9"/>
  <c r="C5" i="74"/>
  <c r="D13" i="53"/>
  <c r="D14" i="53"/>
  <c r="B32" i="72"/>
  <c r="E118" i="9"/>
  <c r="D118" i="9"/>
  <c r="D4" i="52"/>
  <c r="B47" i="72"/>
  <c r="H108" i="9"/>
  <c r="D15" i="53"/>
  <c r="B31"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<sst xmlns="http://schemas.openxmlformats.org/spreadsheetml/2006/main" count="7910" uniqueCount="3459">
  <si>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</si>
  <si>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</si>
  <si>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</si>
  <si>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</si>
  <si>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</si>
  <si>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</si>
  <si>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</si>
  <si>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</si>
  <si>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</si>
  <si>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</si>
  <si>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</si>
  <si>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</si>
  <si>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</si>
  <si>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</si>
  <si>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</si>
  <si>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</si>
  <si>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</si>
  <si>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</si>
  <si>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</si>
  <si>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</si>
  <si>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</si>
  <si>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</si>
  <si>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</si>
  <si>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</si>
  <si>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</si>
  <si>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</si>
  <si>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</si>
  <si>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</si>
  <si>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</si>
  <si>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</si>
  <si>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</si>
  <si>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</si>
  <si>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</si>
  <si>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</si>
  <si>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</si>
  <si>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</si>
  <si>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</si>
  <si>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</si>
  <si>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</si>
  <si>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</si>
  <si>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</si>
  <si>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</si>
  <si>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</si>
  <si>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</si>
  <si>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</si>
  <si>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</si>
  <si>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</si>
  <si>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</si>
  <si>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</si>
  <si>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</si>
  <si>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</si>
  <si>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</si>
  <si>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</si>
  <si>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</si>
  <si>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</si>
  <si>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</si>
  <si>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</si>
  <si>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</si>
  <si>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</si>
  <si>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</si>
  <si>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</si>
  <si>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</si>
  <si>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</si>
  <si>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</si>
  <si>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</si>
  <si>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</si>
  <si>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</si>
  <si>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</si>
  <si>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</si>
  <si>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</si>
  <si>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</si>
  <si>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</si>
  <si>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</si>
  <si>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</si>
  <si>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</si>
  <si>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</si>
  <si>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</si>
  <si>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</si>
  <si>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</si>
  <si>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</si>
  <si>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</si>
  <si>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</si>
  <si>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</si>
  <si>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</si>
  <si>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</si>
  <si>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</si>
  <si>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</si>
  <si>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</si>
  <si>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</si>
  <si>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</si>
  <si>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</si>
  <si>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</si>
  <si>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</si>
  <si>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</si>
  <si>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</si>
  <si>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</si>
  <si>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</si>
  <si>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</si>
  <si>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</si>
  <si>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</si>
  <si>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</si>
  <si>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</si>
  <si>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</si>
  <si>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</si>
  <si>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</si>
  <si>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</si>
  <si>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</si>
  <si>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</si>
  <si>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</si>
  <si>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</si>
  <si>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</si>
  <si>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</si>
  <si>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</si>
  <si>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</si>
  <si>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</si>
  <si>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</si>
  <si>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</si>
  <si>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</si>
  <si>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</si>
  <si>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</si>
  <si>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</si>
  <si>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</si>
  <si>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</si>
  <si>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</si>
  <si>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</si>
  <si>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</si>
  <si>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</si>
  <si>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</si>
  <si>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</si>
  <si>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</si>
  <si>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</si>
  <si>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</si>
  <si>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</si>
  <si>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</si>
  <si>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</si>
  <si>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</si>
  <si>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</si>
  <si>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</si>
  <si>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</si>
  <si>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</si>
  <si>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</si>
  <si>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</si>
  <si>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</si>
  <si>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</si>
  <si>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</si>
  <si>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</si>
  <si>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</si>
  <si>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</si>
  <si>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</si>
  <si>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</si>
  <si>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</si>
  <si>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</si>
  <si>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</si>
  <si>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</si>
  <si>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</si>
  <si>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</si>
  <si>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</si>
  <si>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</si>
  <si>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</si>
  <si>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</si>
  <si>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</si>
  <si>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</si>
  <si>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</si>
  <si>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</si>
  <si>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</si>
  <si>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</si>
  <si>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</si>
  <si>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</si>
  <si>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</si>
  <si>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</si>
  <si>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</si>
  <si>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</si>
  <si>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</si>
  <si>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</si>
  <si>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</si>
  <si>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</si>
  <si>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</si>
  <si>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</si>
  <si>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</si>
  <si>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</si>
  <si>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</si>
  <si>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</si>
  <si>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</si>
  <si>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</si>
  <si>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</si>
  <si>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</si>
  <si>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</si>
  <si>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</si>
  <si>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</si>
  <si>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</si>
  <si>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</si>
  <si>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</si>
  <si>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</si>
  <si>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</si>
  <si>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</si>
  <si>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</si>
  <si>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</si>
  <si>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</si>
  <si>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</si>
  <si>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</si>
  <si>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</si>
  <si>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</si>
  <si>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</si>
  <si>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</si>
  <si>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</si>
  <si>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</si>
  <si>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</si>
  <si>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</si>
  <si>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</si>
  <si>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</si>
  <si>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</si>
  <si>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</si>
  <si>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</si>
  <si>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</si>
  <si>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</si>
  <si>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</si>
  <si>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</si>
  <si>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</si>
  <si>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</si>
  <si>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</si>
  <si>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</si>
  <si>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</si>
  <si>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</si>
  <si>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</si>
  <si>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</si>
  <si>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</si>
  <si>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</si>
  <si>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</si>
  <si>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</si>
  <si>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</si>
  <si>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</si>
  <si>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</si>
  <si>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</si>
  <si>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</si>
  <si>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</si>
  <si>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</si>
  <si>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</si>
  <si>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</si>
  <si>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</si>
  <si>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</si>
  <si>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</si>
  <si>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</si>
  <si>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</si>
  <si>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</si>
  <si>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</si>
  <si>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</si>
  <si>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</si>
  <si>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</si>
  <si>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</si>
  <si>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</si>
  <si>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</si>
  <si>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</si>
  <si>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</si>
  <si>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</si>
  <si>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</si>
  <si>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</si>
  <si>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</si>
  <si>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</si>
  <si>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</si>
  <si>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</si>
  <si>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</si>
  <si>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</si>
  <si>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</si>
  <si>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</si>
  <si>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</si>
  <si>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</si>
  <si>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</si>
  <si>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</si>
  <si>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</si>
  <si>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</si>
  <si>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</si>
  <si>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</si>
  <si>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</si>
  <si>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</si>
  <si>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</si>
  <si>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</si>
  <si>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</si>
  <si>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</si>
  <si>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</si>
  <si>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</si>
  <si>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</si>
  <si>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</si>
  <si>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</si>
  <si>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</si>
  <si>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</si>
  <si>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</si>
  <si>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</si>
  <si>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</si>
  <si>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</si>
  <si>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</si>
  <si>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</si>
  <si>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</si>
  <si>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</si>
  <si>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</si>
  <si>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</si>
  <si>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</si>
  <si>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</si>
  <si>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</si>
  <si>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</si>
  <si>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</si>
  <si>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</si>
  <si>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</si>
  <si>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</si>
  <si>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</si>
  <si>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</si>
  <si>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</si>
  <si>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</si>
  <si>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</si>
  <si>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</si>
  <si>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</si>
  <si>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</si>
  <si>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</si>
  <si>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</si>
  <si>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</si>
  <si>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</si>
  <si>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</si>
  <si>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</si>
  <si>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</si>
  <si>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</si>
  <si>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</si>
  <si>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</si>
  <si>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</si>
  <si>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</si>
  <si>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</si>
  <si>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</si>
  <si>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</si>
  <si>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</si>
  <si>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</si>
  <si>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</si>
  <si>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</si>
  <si>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</si>
  <si>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</si>
  <si>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</si>
  <si>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</si>
  <si>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</si>
  <si>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</si>
  <si>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</si>
  <si>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</si>
  <si>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</si>
  <si>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</si>
  <si>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</si>
  <si>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</si>
  <si>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</si>
  <si>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</si>
  <si>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</si>
  <si>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</si>
  <si>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</si>
  <si>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</si>
  <si>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</si>
  <si>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</si>
  <si>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</si>
  <si>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</si>
  <si>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</si>
  <si>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</si>
  <si>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</si>
  <si>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</si>
  <si>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</si>
  <si>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</si>
  <si>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</si>
  <si>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</si>
  <si>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</si>
  <si>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</si>
  <si>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</si>
  <si>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</si>
  <si>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</si>
  <si>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</si>
  <si>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</si>
  <si>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</si>
  <si>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</si>
  <si>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</si>
  <si>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</si>
  <si>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</si>
  <si>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</si>
  <si>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</si>
  <si>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</si>
  <si>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</si>
  <si>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</si>
  <si>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</si>
  <si>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</si>
  <si>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</si>
  <si>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</si>
  <si>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</si>
  <si>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</si>
  <si>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</si>
  <si>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</si>
  <si>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</si>
  <si>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</si>
  <si>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</si>
  <si>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</si>
  <si>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</si>
  <si>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</si>
  <si>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</si>
  <si>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</si>
  <si>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</si>
  <si>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</si>
  <si>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</si>
  <si>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</si>
  <si>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</si>
  <si>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</si>
  <si>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</si>
  <si>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</si>
  <si>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</si>
  <si>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</si>
  <si>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</si>
  <si>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</si>
  <si>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</si>
  <si>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</si>
  <si>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</si>
  <si>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</si>
  <si>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</si>
  <si>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</si>
  <si>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</si>
  <si>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</si>
  <si>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</si>
  <si>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</si>
  <si>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</si>
  <si>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</si>
  <si>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</si>
  <si>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</si>
  <si>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</si>
  <si>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</si>
  <si>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</si>
  <si>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</si>
  <si>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</si>
  <si>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</si>
  <si>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</si>
  <si>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</si>
  <si>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</si>
  <si>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</si>
  <si>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</si>
  <si>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</si>
  <si>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</si>
  <si>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</si>
  <si>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</si>
  <si>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</si>
  <si>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</si>
  <si>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</si>
  <si>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</si>
  <si>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</si>
  <si>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</si>
  <si>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</si>
  <si>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</si>
  <si>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</si>
  <si>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</si>
  <si>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</si>
  <si>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</si>
  <si>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</si>
  <si>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</si>
  <si>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</si>
  <si>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</si>
  <si>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</si>
  <si>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</si>
  <si>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</si>
  <si>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</si>
  <si>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</si>
  <si>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</si>
  <si>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</si>
  <si>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</si>
  <si>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</si>
  <si>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</si>
  <si>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</si>
  <si>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</si>
  <si>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</si>
  <si>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</si>
  <si>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</si>
  <si>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</si>
  <si>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</si>
  <si>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</si>
  <si>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</si>
  <si>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</si>
  <si>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</si>
  <si>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</si>
  <si>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</si>
  <si>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</si>
  <si>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</si>
  <si>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</si>
  <si>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</si>
  <si>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</si>
  <si>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</si>
  <si>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</si>
  <si>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</si>
  <si>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</si>
  <si>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</si>
  <si>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</si>
  <si>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</si>
  <si>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</si>
  <si>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</si>
  <si>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</si>
  <si>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</si>
  <si>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</si>
  <si>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</si>
  <si>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</si>
  <si>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</si>
  <si>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</si>
  <si>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</si>
  <si>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</si>
  <si>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</si>
  <si>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</si>
  <si>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</si>
  <si>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</si>
  <si>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</si>
  <si>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</si>
  <si>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</si>
  <si>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</si>
  <si>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</si>
  <si>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</si>
  <si>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</si>
  <si>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</si>
  <si>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</si>
  <si>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</si>
  <si>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</si>
  <si>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</si>
  <si>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</si>
  <si>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</si>
  <si>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</si>
  <si>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</si>
  <si>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</si>
  <si>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</si>
  <si>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</si>
  <si>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</si>
  <si>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</si>
  <si>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</si>
  <si>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</si>
  <si>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</si>
  <si>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</si>
  <si>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</si>
  <si>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</si>
  <si>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</si>
  <si>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</si>
  <si>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</si>
  <si>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</si>
  <si>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</si>
  <si>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</si>
  <si>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</si>
  <si>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</si>
  <si>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</si>
  <si>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</si>
  <si>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</si>
  <si>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</si>
  <si>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</si>
  <si>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</si>
  <si>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</si>
  <si>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</si>
  <si>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</si>
  <si>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</si>
  <si>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</si>
  <si>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</si>
  <si>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</si>
  <si>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</si>
  <si>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</si>
  <si>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</si>
  <si>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</si>
  <si>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</si>
  <si>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</si>
  <si>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</si>
  <si>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</si>
  <si>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</si>
  <si>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</si>
  <si>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</si>
  <si>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</si>
  <si>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</si>
  <si>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</si>
  <si>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</si>
  <si>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</si>
  <si>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</si>
  <si>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</si>
  <si>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</si>
  <si>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</si>
  <si>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</si>
  <si>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</si>
  <si>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</si>
  <si>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</si>
  <si>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</si>
  <si>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</si>
  <si>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</si>
  <si>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</si>
  <si>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</si>
  <si>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</si>
  <si>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</si>
  <si>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</si>
  <si>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</si>
  <si>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</si>
  <si>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</si>
  <si>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</si>
  <si>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</si>
  <si>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</si>
  <si>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</si>
  <si>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</si>
  <si>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</si>
  <si>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</si>
  <si>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</si>
  <si>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</si>
  <si>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</si>
  <si>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</si>
  <si>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</si>
  <si>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</si>
  <si>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</si>
  <si>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</si>
  <si>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</si>
  <si>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</si>
  <si>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</si>
  <si>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</si>
  <si>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</si>
  <si>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</si>
  <si>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</si>
  <si>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</si>
  <si>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</si>
  <si>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</si>
  <si>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</si>
  <si>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</si>
  <si>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</si>
  <si>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</si>
  <si>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</si>
  <si>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</si>
  <si>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</si>
  <si>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</si>
  <si>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</si>
  <si>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</si>
  <si>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</si>
  <si>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</si>
  <si>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</si>
  <si>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</si>
  <si>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</si>
  <si>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</si>
  <si>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</si>
  <si>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</si>
  <si>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</si>
  <si>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</si>
  <si>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</si>
  <si>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</si>
  <si>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</si>
  <si>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</si>
  <si>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</si>
  <si>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</si>
  <si>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</si>
  <si>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</si>
  <si>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</si>
  <si>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</si>
  <si>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</si>
  <si>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</si>
  <si>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</si>
  <si>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</si>
  <si>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</si>
  <si>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</si>
  <si>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</si>
  <si>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</si>
  <si>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</si>
  <si>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</si>
  <si>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</si>
  <si>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</si>
  <si>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</si>
  <si>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</si>
  <si>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</si>
  <si>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</si>
  <si>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</si>
  <si>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</si>
  <si>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</si>
  <si>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</si>
  <si>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</si>
  <si>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</si>
  <si>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</si>
  <si>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</si>
  <si>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</si>
  <si>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</si>
  <si>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</si>
  <si>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</si>
  <si>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</si>
  <si>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</si>
  <si>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</si>
  <si>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</si>
  <si>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</si>
  <si>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</si>
  <si>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</si>
  <si>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</si>
  <si>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</si>
  <si>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</si>
  <si>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</si>
  <si>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</si>
  <si>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</si>
  <si>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</si>
  <si>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</si>
  <si>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</si>
  <si>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</si>
  <si>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</si>
  <si>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</si>
  <si>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</si>
  <si>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</si>
  <si>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</si>
  <si>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</si>
  <si>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</si>
  <si>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</si>
  <si>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</si>
  <si>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</si>
  <si>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</si>
  <si>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</si>
  <si>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</si>
  <si>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</si>
  <si>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</si>
  <si>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</si>
  <si>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</si>
  <si>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</si>
  <si>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</si>
  <si>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</si>
  <si>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</si>
  <si>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</si>
  <si>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</si>
  <si>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</si>
  <si>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</si>
  <si>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</si>
  <si>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</si>
  <si>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</si>
  <si>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</si>
  <si>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</si>
  <si>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</si>
  <si>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</si>
  <si>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</si>
  <si>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</si>
  <si>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</si>
  <si>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</si>
  <si>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</si>
  <si>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</si>
  <si>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</si>
  <si>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</si>
  <si>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</si>
  <si>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</si>
  <si>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</si>
  <si>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</si>
  <si>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</si>
  <si>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</si>
  <si>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</si>
  <si>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</si>
  <si>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</si>
  <si>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</si>
  <si>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</si>
  <si>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</si>
  <si>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</si>
  <si>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</si>
  <si>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</si>
  <si>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</si>
  <si>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</si>
  <si>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</si>
  <si>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</si>
  <si>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</si>
  <si>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</si>
  <si>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</si>
  <si>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</si>
  <si>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</si>
  <si>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</si>
  <si>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</si>
  <si>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</si>
  <si>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</si>
  <si>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</si>
  <si>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</si>
  <si>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</si>
  <si>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</si>
  <si>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</si>
  <si>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</si>
  <si>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</si>
  <si>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</si>
  <si>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</si>
  <si>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</si>
  <si>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</si>
  <si>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</si>
  <si>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</si>
  <si>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</si>
  <si>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</si>
  <si>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</si>
  <si>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</si>
  <si>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</si>
  <si>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</si>
  <si>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</si>
  <si>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</si>
  <si>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</si>
  <si>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</si>
  <si>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</si>
  <si>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</si>
  <si>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</si>
  <si>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</si>
  <si>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</si>
  <si>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</si>
  <si>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</si>
  <si>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</si>
  <si>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</si>
  <si>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</si>
  <si>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</si>
  <si>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</si>
  <si>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</si>
  <si>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</si>
  <si>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</si>
  <si>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</si>
  <si>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</si>
  <si>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</si>
  <si>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</si>
  <si>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</si>
  <si>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</si>
  <si>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</si>
  <si>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</si>
  <si>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</si>
  <si>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</si>
  <si>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</si>
  <si>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</si>
  <si>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</si>
  <si>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</si>
  <si>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</si>
  <si>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</si>
  <si>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</si>
  <si>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</si>
  <si>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</si>
  <si>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</si>
  <si>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</si>
  <si>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</si>
  <si>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</si>
  <si>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</si>
  <si>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</si>
  <si>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</si>
  <si>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</si>
  <si>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</si>
  <si>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</si>
  <si>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</si>
  <si>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</si>
  <si>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</si>
  <si>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</si>
  <si>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</si>
  <si>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</si>
  <si>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</si>
  <si>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</si>
  <si>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</si>
  <si>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</si>
  <si>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</si>
  <si>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</si>
  <si>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</si>
  <si>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</si>
  <si>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</si>
  <si>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</si>
  <si>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</si>
  <si>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</si>
  <si>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</si>
  <si>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</si>
  <si>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</si>
  <si>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</si>
  <si>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</si>
  <si>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</si>
  <si>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</si>
  <si>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</si>
  <si>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</si>
  <si>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</si>
  <si>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</si>
  <si>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</si>
  <si>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</si>
  <si>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</si>
  <si>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</si>
  <si>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</si>
  <si>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</si>
  <si>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</si>
  <si>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</si>
  <si>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</si>
  <si>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</si>
  <si>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</si>
  <si>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</si>
  <si>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</si>
  <si>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</si>
  <si>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</si>
  <si>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</si>
  <si>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</si>
  <si>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</si>
  <si>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</si>
  <si>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</si>
  <si>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</si>
  <si>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</si>
  <si>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</si>
  <si>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</si>
  <si>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</si>
  <si>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</si>
  <si>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</si>
  <si>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</si>
  <si>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</si>
  <si>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</si>
  <si>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</si>
  <si>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</si>
  <si>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</si>
  <si>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</si>
  <si>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</si>
  <si>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</si>
  <si>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</si>
  <si>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</si>
  <si>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</si>
  <si>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</si>
  <si>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</si>
  <si>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</si>
  <si>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</si>
  <si>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</si>
  <si>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</si>
  <si>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</si>
  <si>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</si>
  <si>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</si>
  <si>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</si>
  <si>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</si>
  <si>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</si>
  <si>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</si>
  <si>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</si>
  <si>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</si>
  <si>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</si>
  <si>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</si>
  <si>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</si>
  <si>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</si>
  <si>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</si>
  <si>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</si>
  <si>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</si>
  <si>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</si>
  <si>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</si>
  <si>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</si>
  <si>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</si>
  <si>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</si>
  <si>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</si>
  <si>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</si>
  <si>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</si>
  <si>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</si>
  <si>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</si>
  <si>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</si>
  <si>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</si>
  <si>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</si>
  <si>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</si>
  <si>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</si>
  <si>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</si>
  <si>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</si>
  <si>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</si>
  <si>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</si>
  <si>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</si>
  <si>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</si>
  <si>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</si>
  <si>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</si>
  <si>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</si>
  <si>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</si>
  <si>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</si>
  <si>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</si>
  <si>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</si>
  <si>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</si>
  <si>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</si>
  <si>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</si>
  <si>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</si>
  <si>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</si>
  <si>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</si>
  <si>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</si>
  <si>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</si>
  <si>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</si>
  <si>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</si>
  <si>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</si>
  <si>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</si>
  <si>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</si>
  <si>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</si>
  <si>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</si>
  <si>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</si>
  <si>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</si>
  <si>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</si>
  <si>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</si>
  <si>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</si>
  <si>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</si>
  <si>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</si>
  <si>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</si>
  <si>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</si>
  <si>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</si>
  <si>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</si>
  <si>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</si>
  <si>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</si>
  <si>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</si>
  <si>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</si>
  <si>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</si>
  <si>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</si>
  <si>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</si>
  <si>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</si>
  <si>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</si>
  <si>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</si>
  <si>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</si>
  <si>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</si>
  <si>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</si>
  <si>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</si>
  <si>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</si>
  <si>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</si>
  <si>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</si>
  <si>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</si>
  <si>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</si>
  <si>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</si>
  <si>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</si>
  <si>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</si>
  <si>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</si>
  <si>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</si>
  <si>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</si>
  <si>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</si>
  <si>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</si>
  <si>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</si>
  <si>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</si>
  <si>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</si>
  <si>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</si>
  <si>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</si>
  <si>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</si>
  <si>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</si>
  <si>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</si>
  <si>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</si>
  <si>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</si>
  <si>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</si>
  <si>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</si>
  <si>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</si>
  <si>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</si>
  <si>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</si>
  <si>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</si>
  <si>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</si>
  <si>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</si>
  <si>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</si>
  <si>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</si>
  <si>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</si>
  <si>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</si>
  <si>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</si>
  <si>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</si>
  <si>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</si>
  <si>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</si>
  <si>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</si>
  <si>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</si>
  <si>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</si>
  <si>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</si>
  <si>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</si>
  <si>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</si>
  <si>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</si>
  <si>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</si>
  <si>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</si>
  <si>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</si>
  <si>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</si>
  <si>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</si>
  <si>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</si>
  <si>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</si>
  <si>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</si>
  <si>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</si>
  <si>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</si>
  <si>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</si>
  <si>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</si>
  <si>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</si>
  <si>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</si>
  <si>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</si>
  <si>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</si>
  <si>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</si>
  <si>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</si>
  <si>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</si>
  <si>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</si>
  <si>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</si>
  <si>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</si>
  <si>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</si>
  <si>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</si>
  <si>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</si>
  <si>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</si>
  <si>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</si>
  <si>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</si>
  <si>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</si>
  <si>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</si>
  <si>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</si>
  <si>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</si>
  <si>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</si>
  <si>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</si>
  <si>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</si>
  <si>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</si>
  <si>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</si>
  <si>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</si>
  <si>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</si>
  <si>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</si>
  <si>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</si>
  <si>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</si>
  <si>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</si>
  <si>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</si>
  <si>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</si>
  <si>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</si>
  <si>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</si>
  <si>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</si>
  <si>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</si>
  <si>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</si>
  <si>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</si>
  <si>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</si>
  <si>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</si>
  <si>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</si>
  <si>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</si>
  <si>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</si>
  <si>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</si>
  <si>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</si>
  <si>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</si>
  <si>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</si>
  <si>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</si>
  <si>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</si>
  <si>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</si>
  <si>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</si>
  <si>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</si>
  <si>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</si>
  <si>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</si>
  <si>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</si>
  <si>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</si>
  <si>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</si>
  <si>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</si>
  <si>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</si>
  <si>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</si>
  <si>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</si>
  <si>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</si>
  <si>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</si>
  <si>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</si>
  <si>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</si>
  <si>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</si>
  <si>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</si>
  <si>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</si>
  <si>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</si>
  <si>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</si>
  <si>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</si>
  <si>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</si>
  <si>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</si>
  <si>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</si>
  <si>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</si>
  <si>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</si>
  <si>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</si>
  <si>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</si>
  <si>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</si>
  <si>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</si>
  <si>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</si>
  <si>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</si>
  <si>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</si>
  <si>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</si>
  <si>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</si>
  <si>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</si>
  <si>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</si>
  <si>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</si>
  <si>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</si>
  <si>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</si>
  <si>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</si>
  <si>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</si>
  <si>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</si>
  <si>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</si>
  <si>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</si>
  <si>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</si>
  <si>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</si>
  <si>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</si>
  <si>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</si>
  <si>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</si>
  <si>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</si>
  <si>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</si>
  <si>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</si>
  <si>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</si>
  <si>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</si>
  <si>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</si>
  <si>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</si>
  <si>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</si>
  <si>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</si>
  <si>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</si>
  <si>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</si>
  <si>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</si>
  <si>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</si>
  <si>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</si>
  <si>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</si>
  <si>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</si>
  <si>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</si>
  <si>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</si>
  <si>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</si>
  <si>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</si>
  <si>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</si>
  <si>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</si>
  <si>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</si>
  <si>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</si>
  <si>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</si>
  <si>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</si>
  <si>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</si>
  <si>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</si>
  <si>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</si>
  <si>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</si>
  <si>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</si>
  <si>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</si>
  <si>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</si>
  <si>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</si>
  <si>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</si>
  <si>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</si>
  <si>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</si>
  <si>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</si>
  <si>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</si>
  <si>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</si>
  <si>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</si>
  <si>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</si>
  <si>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</si>
  <si>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</si>
  <si>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</si>
  <si>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</si>
  <si>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</si>
  <si>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</si>
  <si>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</si>
  <si>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</si>
  <si>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</si>
  <si>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</si>
  <si>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</si>
  <si>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</si>
  <si>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</si>
  <si>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</si>
  <si>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</si>
  <si>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</si>
  <si>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</si>
  <si>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</si>
  <si>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</si>
  <si>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</si>
  <si>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</si>
  <si>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</si>
  <si>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</si>
  <si>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</si>
  <si>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</si>
  <si>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</si>
  <si>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</si>
  <si>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</si>
  <si>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</si>
  <si>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</si>
  <si>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</si>
  <si>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</si>
  <si>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</si>
  <si>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</si>
  <si>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</si>
  <si>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</si>
  <si>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</si>
  <si>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</si>
  <si>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</si>
  <si>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</si>
  <si>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</si>
  <si>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</si>
  <si>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</si>
  <si>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</si>
  <si>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</si>
  <si>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</si>
  <si>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</si>
  <si>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</si>
  <si>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</si>
  <si>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</si>
  <si>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</si>
  <si>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</si>
  <si>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</si>
  <si>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</si>
  <si>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</si>
  <si>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</si>
  <si>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</si>
  <si>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</si>
  <si>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</si>
  <si>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</si>
  <si>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</si>
  <si>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</si>
  <si>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</si>
  <si>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</si>
  <si>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</si>
  <si>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</si>
  <si>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</si>
  <si>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</si>
  <si>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</si>
  <si>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</si>
  <si>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</si>
  <si>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</si>
  <si>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</si>
  <si>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</si>
  <si>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</si>
  <si>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</si>
  <si>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</si>
  <si>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</si>
  <si>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</si>
  <si>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</si>
  <si>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</si>
  <si>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</si>
  <si>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</si>
  <si>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</si>
  <si>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</si>
  <si>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</si>
  <si>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</si>
  <si>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</si>
  <si>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</si>
  <si>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</si>
  <si>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</si>
  <si>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</si>
  <si>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</si>
  <si>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</si>
  <si>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</si>
  <si>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</si>
  <si>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</si>
  <si>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</si>
  <si>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</si>
  <si>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</si>
  <si>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</si>
  <si>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</si>
  <si>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</si>
  <si>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</si>
  <si>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</si>
  <si>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</si>
  <si>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</si>
  <si>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</si>
  <si>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</si>
  <si>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</si>
  <si>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</si>
  <si>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</si>
  <si>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</si>
  <si>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</si>
  <si>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</si>
  <si>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</si>
  <si>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</si>
  <si>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</si>
  <si>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</si>
  <si>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</si>
  <si>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</si>
  <si>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</si>
  <si>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</si>
  <si>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</si>
  <si>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</si>
  <si>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</si>
  <si>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</si>
  <si>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</si>
  <si>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</si>
  <si>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</si>
  <si>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</si>
  <si>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</si>
  <si>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</si>
  <si>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</si>
  <si>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</si>
  <si>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</si>
  <si>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</si>
  <si>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</si>
  <si>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</si>
  <si>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</si>
  <si>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</si>
  <si>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</si>
  <si>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</si>
  <si>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</si>
  <si>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</si>
  <si>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</si>
  <si>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</si>
  <si>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</si>
  <si>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</si>
  <si>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</si>
  <si>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</si>
  <si>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</si>
  <si>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</si>
  <si>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</si>
  <si>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</si>
  <si>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</si>
  <si>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</si>
  <si>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</si>
  <si>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</si>
  <si>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</si>
  <si>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</si>
  <si>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</si>
  <si>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</si>
  <si>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</si>
  <si>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</si>
  <si>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</si>
  <si>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</si>
  <si>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</si>
  <si>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</si>
  <si>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</si>
  <si>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</si>
  <si>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</si>
  <si>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</si>
  <si>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</si>
  <si>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</si>
  <si>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</si>
  <si>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</si>
  <si>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</si>
  <si>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</si>
  <si>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</si>
  <si>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</si>
  <si>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</si>
  <si>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</si>
  <si>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</si>
  <si>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</si>
  <si>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</si>
  <si>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</si>
  <si>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</si>
  <si>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</si>
  <si>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</si>
  <si>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</si>
  <si>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</si>
  <si>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</si>
  <si>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</si>
  <si>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</si>
  <si>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</si>
  <si>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</si>
  <si>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</si>
  <si>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</si>
  <si>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</si>
  <si>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</si>
  <si>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</si>
  <si>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</si>
  <si>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</si>
  <si>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</si>
  <si>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</si>
  <si>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</si>
  <si>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</si>
  <si>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</si>
  <si>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</si>
  <si>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</si>
  <si>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</si>
  <si>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</si>
  <si>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</si>
  <si>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</si>
  <si>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</si>
  <si>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</si>
  <si>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</si>
  <si>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</si>
  <si>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</si>
  <si>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</si>
  <si>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</si>
  <si>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</si>
  <si>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</si>
  <si>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</si>
  <si>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</si>
  <si>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</si>
  <si>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</si>
  <si>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</si>
  <si>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</si>
  <si>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</si>
  <si>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</si>
  <si>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</si>
  <si>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</si>
  <si>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</si>
  <si>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</si>
  <si>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</si>
  <si>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</si>
  <si>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</si>
  <si>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</si>
  <si>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</si>
  <si>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</si>
  <si>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</si>
  <si>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</si>
  <si>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</si>
  <si>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</si>
  <si>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</si>
  <si>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</si>
  <si>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</si>
  <si>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</si>
  <si>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</si>
  <si>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</si>
  <si>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</si>
  <si>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</si>
  <si>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</si>
  <si>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</si>
  <si>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</si>
  <si>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</si>
  <si>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</si>
  <si>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</si>
  <si>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</si>
  <si>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</si>
  <si>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</si>
  <si>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</si>
  <si>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</si>
  <si>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</si>
  <si>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</si>
  <si>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</si>
  <si>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</si>
  <si>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</si>
  <si>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</si>
  <si>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</si>
  <si>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</si>
  <si>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</si>
  <si>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</si>
  <si>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</si>
  <si>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</si>
  <si>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</si>
  <si>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</si>
  <si>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</si>
  <si>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</si>
  <si>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</si>
  <si>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</si>
  <si>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</si>
  <si>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</si>
  <si>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</si>
  <si>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</si>
  <si>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</si>
  <si>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</si>
  <si>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</si>
  <si>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</si>
  <si>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</si>
  <si>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</si>
  <si>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</si>
  <si>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</si>
  <si>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</si>
  <si>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</si>
  <si>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</si>
  <si>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</si>
  <si>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</si>
  <si>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</si>
  <si>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</si>
  <si>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</si>
  <si>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</si>
  <si>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</si>
  <si>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</si>
  <si>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</si>
  <si>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</si>
  <si>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</si>
  <si>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</si>
  <si>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</si>
  <si>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</si>
  <si>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</si>
  <si>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</si>
  <si>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</si>
  <si>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</si>
  <si>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</si>
  <si>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</si>
  <si>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</si>
  <si>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</si>
  <si>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</si>
  <si>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</si>
  <si>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</si>
  <si>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</si>
  <si>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</si>
  <si>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</si>
  <si>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</si>
  <si>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</si>
  <si>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</si>
  <si>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</si>
  <si>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</si>
  <si>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</si>
  <si>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</si>
  <si>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</si>
  <si>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</si>
  <si>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</si>
  <si>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</si>
  <si>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</si>
  <si>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</si>
  <si>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</si>
  <si>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</si>
  <si>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</si>
  <si>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</si>
  <si>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</si>
  <si>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</si>
  <si>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</si>
  <si>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</si>
  <si>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</si>
  <si>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</si>
  <si>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</si>
  <si>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</si>
  <si>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</si>
  <si>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</si>
  <si>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</si>
  <si>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</si>
  <si>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</si>
  <si>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</si>
  <si>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</si>
  <si>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</si>
  <si>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</si>
  <si>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</si>
  <si>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</si>
  <si>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</si>
  <si>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</si>
  <si>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</si>
  <si>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</si>
  <si>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</si>
  <si>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</si>
  <si>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</si>
  <si>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</si>
  <si>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</si>
  <si>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</si>
  <si>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</si>
  <si>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</si>
  <si>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</si>
  <si>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</si>
  <si>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</si>
  <si>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</si>
  <si>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</si>
  <si>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</si>
  <si>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</si>
  <si>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</si>
  <si>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</si>
  <si>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</si>
  <si>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</si>
  <si>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</si>
  <si>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</si>
  <si>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</si>
  <si>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</si>
  <si>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</si>
  <si>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</si>
  <si>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</si>
  <si>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</si>
  <si>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</si>
  <si>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</si>
  <si>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</si>
  <si>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</si>
  <si>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</si>
  <si>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</si>
  <si>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</si>
  <si>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</si>
  <si>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</si>
  <si>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</si>
  <si>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</si>
  <si>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</si>
  <si>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</si>
  <si>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</si>
  <si>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</si>
  <si>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</si>
  <si>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</si>
  <si>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</si>
  <si>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</si>
  <si>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</si>
  <si>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</si>
  <si>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</si>
  <si>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</si>
  <si>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</si>
  <si>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</si>
  <si>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</si>
  <si>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</si>
  <si>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</si>
  <si>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</si>
  <si>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</si>
  <si>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</si>
  <si>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</si>
  <si>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</si>
  <si>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</si>
  <si>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</si>
  <si>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</si>
  <si>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</si>
  <si>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</si>
  <si>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</si>
  <si>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</si>
  <si>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</si>
  <si>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</si>
  <si>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</si>
  <si>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</si>
  <si>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</si>
  <si>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</si>
  <si>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</si>
  <si>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</si>
  <si>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</si>
  <si>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</si>
  <si>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</si>
  <si>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</si>
  <si>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</si>
  <si>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</si>
  <si>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</si>
  <si>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</si>
  <si>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</si>
  <si>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</si>
  <si>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</si>
  <si>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</si>
  <si>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</si>
  <si>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</si>
  <si>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</si>
  <si>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</si>
  <si>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</si>
  <si>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</si>
  <si>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</si>
  <si>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</si>
  <si>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</si>
  <si>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</si>
  <si>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</si>
  <si>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</si>
  <si>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</si>
  <si>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</si>
  <si>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</si>
  <si>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</si>
  <si>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</si>
  <si>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</si>
  <si>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</si>
  <si>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</si>
  <si>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</si>
  <si>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</si>
  <si>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</si>
  <si>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</si>
  <si>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</si>
  <si>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</si>
  <si>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</si>
  <si>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</si>
  <si>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</si>
  <si>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</si>
  <si>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</si>
  <si>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</si>
  <si>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</si>
  <si>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</si>
  <si>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</si>
  <si>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</si>
  <si>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</si>
  <si>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</si>
  <si>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</si>
  <si>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</si>
  <si>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</si>
  <si>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</si>
  <si>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</si>
  <si>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</si>
  <si>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</si>
  <si>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</si>
  <si>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</si>
  <si>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</si>
  <si>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</si>
  <si>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</si>
  <si>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</si>
  <si>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</si>
  <si>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</si>
  <si>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</si>
  <si>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</si>
  <si>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</si>
  <si>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</si>
  <si>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</si>
  <si>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</si>
  <si>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</si>
  <si>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</si>
  <si>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</si>
  <si>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</si>
  <si>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</si>
  <si>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</si>
  <si>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</si>
  <si>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</si>
  <si>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</si>
  <si>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</si>
  <si>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</si>
  <si>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</si>
  <si>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</si>
  <si>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</si>
  <si>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</si>
  <si>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</si>
  <si>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</si>
  <si>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</si>
  <si>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</si>
  <si>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</si>
  <si>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</si>
  <si>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</si>
  <si>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</si>
  <si>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</si>
  <si>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</si>
  <si>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</si>
  <si>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</si>
  <si>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</si>
  <si>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</si>
  <si>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</si>
  <si>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</si>
  <si>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</si>
  <si>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</si>
  <si>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</si>
  <si>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</si>
  <si>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</si>
  <si>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</si>
  <si>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</si>
  <si>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</si>
  <si>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</si>
  <si>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</si>
  <si>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</si>
  <si>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</si>
  <si>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</si>
  <si>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</si>
  <si>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</si>
  <si>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</si>
  <si>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</si>
  <si>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</si>
  <si>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</si>
  <si>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</si>
  <si>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</si>
  <si>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</si>
  <si>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</si>
  <si>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</si>
  <si>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</si>
  <si>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</si>
  <si>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</si>
  <si>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</si>
  <si>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</si>
  <si>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</si>
  <si>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</si>
  <si>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</si>
  <si>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</si>
  <si>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</si>
  <si>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</si>
  <si>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</si>
  <si>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</si>
  <si>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</si>
  <si>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</si>
  <si>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</si>
  <si>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</si>
  <si>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</si>
  <si>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</si>
  <si>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</si>
  <si>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</si>
  <si>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</si>
  <si>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</si>
  <si>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</si>
  <si>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</si>
  <si>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</si>
  <si>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</si>
  <si>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</si>
  <si>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</si>
  <si>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</si>
  <si>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</si>
  <si>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</si>
  <si>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</si>
  <si>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</si>
  <si>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</si>
  <si>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</si>
  <si>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</si>
  <si>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</si>
  <si>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</si>
  <si>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</si>
  <si>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</si>
  <si>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</si>
  <si>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</si>
  <si>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</si>
  <si>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</si>
  <si>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</si>
  <si>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</si>
  <si>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</si>
  <si>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</si>
  <si>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</si>
  <si>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</si>
  <si>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</si>
  <si>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</si>
  <si>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</si>
  <si>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</si>
  <si>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</si>
  <si>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</si>
  <si>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</si>
  <si>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</si>
  <si>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</si>
  <si>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</si>
  <si>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</si>
  <si>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</si>
  <si>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</si>
  <si>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</si>
  <si>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</si>
  <si>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</si>
  <si>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</si>
  <si>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</si>
  <si>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</si>
  <si>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</si>
  <si>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</si>
  <si>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</si>
  <si>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</si>
  <si>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</si>
  <si>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</si>
  <si>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</si>
  <si>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</si>
  <si>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</si>
  <si>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</si>
  <si>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</si>
  <si>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</si>
  <si>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</si>
  <si>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</si>
  <si>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</si>
  <si>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</si>
  <si>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</si>
  <si>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</si>
  <si>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</si>
  <si>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</si>
  <si>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</si>
  <si>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</si>
  <si>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</si>
  <si>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</si>
  <si>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</si>
  <si>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</si>
  <si>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</si>
  <si>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</si>
  <si>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</si>
  <si>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</si>
  <si>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</si>
  <si>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</si>
  <si>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</si>
  <si>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</si>
  <si>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</si>
  <si>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</si>
  <si>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</si>
  <si>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</si>
  <si>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</si>
  <si>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</si>
  <si>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</si>
  <si>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</si>
  <si>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</si>
  <si>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</si>
  <si>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</si>
  <si>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</si>
  <si>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</si>
  <si>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</si>
  <si>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</si>
  <si>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</si>
  <si>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</si>
  <si>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</si>
  <si>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</si>
  <si>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</si>
  <si>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</si>
  <si>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</si>
  <si>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</si>
  <si>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</si>
  <si>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</si>
  <si>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</si>
  <si>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</si>
  <si>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</si>
  <si>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</si>
  <si>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</si>
  <si>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</si>
  <si>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</si>
  <si>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</si>
  <si>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</si>
  <si>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</si>
  <si>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</si>
  <si>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</si>
  <si>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</si>
  <si>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</si>
  <si>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</si>
  <si>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</si>
  <si>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</si>
  <si>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</si>
  <si>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</si>
  <si>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</si>
  <si>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</si>
  <si>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</si>
  <si>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</si>
  <si>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</si>
  <si>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</si>
  <si>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</si>
  <si>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</si>
  <si>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</si>
  <si>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</si>
  <si>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</si>
  <si>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</si>
  <si>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</si>
  <si>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</si>
  <si>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</si>
  <si>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</si>
  <si>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</si>
  <si>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</si>
  <si>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</si>
  <si>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</si>
  <si>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</si>
  <si>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</si>
  <si>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</si>
  <si>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</si>
  <si>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</si>
  <si>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</si>
  <si>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</si>
  <si>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</si>
  <si>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</si>
  <si>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</si>
  <si>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</si>
  <si>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</si>
  <si>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</si>
  <si>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</si>
  <si>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</si>
  <si>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</si>
  <si>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</si>
  <si>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</si>
  <si>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</si>
  <si>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</si>
  <si>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</si>
  <si>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</si>
  <si>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</si>
  <si>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</si>
  <si>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</si>
  <si>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</si>
  <si>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</si>
  <si>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</si>
  <si>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</si>
  <si>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</si>
  <si>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</si>
  <si>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</si>
  <si>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</si>
  <si>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</si>
  <si>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</si>
  <si>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</si>
  <si>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</si>
  <si>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</si>
  <si>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</si>
  <si>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</si>
  <si>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</si>
  <si>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</si>
  <si>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</si>
  <si>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</si>
  <si>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</si>
  <si>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</si>
  <si>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</si>
  <si>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</si>
  <si>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</si>
  <si>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</si>
  <si>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</si>
  <si>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</si>
  <si>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</si>
  <si>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</si>
  <si>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</si>
  <si>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</si>
  <si>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</si>
  <si>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</si>
  <si>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</si>
  <si>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</si>
  <si>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</si>
  <si>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</si>
  <si>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</si>
  <si>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</si>
  <si>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</si>
  <si>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</si>
  <si>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</si>
  <si>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</si>
  <si>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</si>
  <si>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</si>
  <si>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</si>
  <si>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</si>
  <si>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</si>
  <si>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</si>
  <si>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</si>
  <si>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</si>
  <si>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</si>
  <si>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</si>
  <si>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</si>
  <si>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</si>
  <si>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</si>
  <si>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</si>
  <si>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</si>
  <si>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</si>
  <si>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</si>
  <si>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</si>
  <si>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</si>
  <si>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</si>
  <si>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</si>
  <si>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</si>
  <si>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</si>
  <si>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</si>
  <si>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</si>
  <si>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</si>
  <si>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</si>
  <si>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</si>
  <si>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</si>
  <si>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</si>
  <si>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</si>
  <si>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</si>
  <si>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</si>
  <si>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</si>
  <si>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</si>
  <si>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</si>
  <si>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</si>
  <si>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</si>
  <si>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</si>
  <si>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</si>
  <si>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</si>
  <si>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</si>
  <si>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</si>
  <si>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</si>
  <si>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</si>
  <si>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</si>
  <si>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</si>
  <si>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</si>
  <si>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</si>
  <si>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</si>
  <si>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</si>
  <si>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</si>
  <si>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</si>
  <si>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</si>
  <si>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</si>
  <si>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</si>
  <si>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</si>
  <si>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</si>
  <si>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</si>
  <si>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</si>
  <si>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</si>
  <si>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</si>
  <si>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</si>
  <si>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</si>
  <si>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</si>
  <si>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</si>
  <si>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</si>
  <si>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</si>
  <si>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</si>
  <si>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</si>
  <si>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</si>
  <si>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</si>
  <si>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</si>
  <si>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</si>
  <si>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</si>
  <si>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</si>
  <si>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</si>
  <si>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</si>
  <si>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</si>
  <si>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</si>
  <si>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</si>
  <si>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</si>
  <si>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</si>
  <si>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</si>
  <si>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</si>
  <si>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</si>
  <si>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</si>
  <si>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</si>
  <si>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</si>
  <si>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</si>
  <si>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</si>
  <si>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</si>
  <si>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</si>
  <si>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</si>
  <si>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</si>
  <si>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</si>
  <si>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</si>
  <si>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</si>
  <si>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</si>
  <si>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</si>
  <si>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</si>
  <si>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</si>
  <si>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</si>
  <si>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</si>
  <si>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</si>
  <si>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</si>
  <si>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</si>
  <si>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</si>
  <si>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</si>
  <si>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</si>
  <si>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</si>
  <si>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</si>
  <si>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</si>
  <si>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</si>
  <si>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</si>
  <si>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</si>
  <si>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</si>
  <si>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</si>
  <si>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</si>
  <si>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</si>
  <si>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</si>
  <si>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</si>
  <si>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</si>
  <si>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</si>
  <si>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</si>
  <si>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</si>
  <si>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</si>
  <si>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</si>
  <si>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</si>
  <si>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</si>
  <si>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</si>
  <si>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</si>
  <si>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</si>
  <si>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</si>
  <si>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</si>
  <si>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</si>
  <si>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</si>
  <si>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</si>
  <si>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</si>
  <si>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</si>
  <si>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</si>
  <si>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</si>
  <si>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</si>
  <si>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</si>
  <si>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</si>
  <si>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</si>
  <si>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</si>
  <si>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</si>
  <si>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</si>
  <si>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</si>
  <si>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</si>
  <si>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</si>
  <si>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</si>
  <si>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</si>
  <si>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</si>
  <si>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</si>
  <si>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</si>
  <si>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</si>
  <si>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</si>
  <si>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</si>
  <si>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</si>
  <si>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</si>
  <si>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</si>
  <si>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</si>
  <si>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</si>
  <si>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</si>
  <si>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</si>
  <si>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</si>
  <si>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</si>
  <si>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</si>
  <si>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</si>
  <si>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</si>
  <si>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</si>
  <si>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</si>
  <si>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</si>
  <si>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</si>
  <si>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</si>
  <si>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</si>
  <si>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</si>
  <si>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</si>
  <si>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</si>
  <si>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</si>
  <si>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</si>
  <si>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</si>
  <si>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</si>
  <si>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</si>
  <si>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</si>
  <si>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</si>
  <si>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</si>
  <si>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</si>
  <si>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</si>
  <si>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</si>
  <si>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</si>
  <si>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</si>
  <si>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</si>
  <si>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</si>
  <si>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</si>
  <si>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</si>
  <si>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</si>
  <si>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</si>
  <si>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</si>
  <si>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</si>
  <si>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</si>
  <si>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</si>
  <si>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</si>
  <si>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</si>
  <si>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</si>
  <si>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</si>
  <si>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</si>
  <si>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</si>
  <si>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</si>
  <si>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</si>
  <si>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</si>
  <si>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</si>
  <si>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</si>
  <si>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</si>
  <si>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</si>
  <si>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</si>
  <si>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</si>
  <si>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</si>
  <si>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</si>
  <si>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</si>
  <si>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</si>
  <si>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</si>
  <si>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</si>
  <si>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</si>
  <si>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</si>
  <si>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</si>
  <si>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</si>
  <si>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</si>
  <si>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</si>
  <si>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</si>
  <si>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</si>
  <si>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</si>
  <si>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</si>
  <si>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</si>
  <si>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</si>
  <si>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</si>
  <si>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</si>
  <si>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</si>
  <si>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</si>
  <si>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</si>
  <si>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</si>
  <si>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</si>
  <si>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</si>
  <si>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</si>
  <si>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</si>
  <si>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</si>
  <si>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</si>
  <si>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</si>
  <si>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</si>
  <si>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</si>
  <si>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</si>
  <si>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</si>
  <si>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</si>
  <si>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</si>
  <si>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</si>
  <si>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</si>
  <si>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</si>
  <si>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</si>
  <si>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</si>
  <si>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</si>
  <si>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</si>
  <si>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</si>
  <si>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</si>
  <si>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</si>
  <si>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</si>
  <si>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</si>
  <si>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</si>
  <si>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</si>
  <si>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</si>
  <si>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</si>
  <si>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</si>
  <si>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</si>
  <si>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</si>
  <si>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</si>
  <si>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</si>
  <si>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</si>
  <si>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</si>
  <si>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</si>
  <si>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</si>
  <si>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</si>
  <si>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</si>
  <si>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</si>
  <si>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</si>
  <si>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</si>
  <si>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</si>
  <si>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</si>
  <si>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</si>
  <si>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</si>
  <si>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</si>
  <si>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</si>
  <si>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</si>
  <si>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</si>
  <si>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</si>
  <si>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</si>
  <si>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</si>
  <si>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</si>
  <si>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</si>
  <si>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</si>
  <si>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</si>
  <si>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</si>
  <si>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</si>
  <si>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</si>
  <si>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</si>
  <si>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</si>
  <si>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</si>
  <si>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</si>
  <si>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</si>
  <si>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</si>
  <si>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</si>
  <si>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</si>
  <si>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</si>
  <si>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</si>
  <si>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</si>
  <si>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</si>
  <si>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</si>
  <si>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</si>
  <si>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</si>
  <si>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</si>
  <si>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</si>
  <si>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</si>
  <si>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</si>
  <si>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</si>
  <si>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</si>
  <si>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</si>
  <si>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</si>
  <si>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</si>
  <si>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</si>
  <si>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</si>
  <si>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</si>
  <si>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</si>
  <si>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</si>
  <si>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</si>
  <si>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</si>
  <si>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</si>
  <si>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</si>
  <si>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</si>
  <si>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</si>
  <si>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</si>
  <si>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</si>
  <si>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</si>
  <si>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</si>
  <si>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</si>
  <si>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</si>
  <si>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</si>
  <si>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</si>
  <si>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</si>
  <si>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</si>
  <si>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</si>
  <si>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</si>
  <si>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</si>
  <si>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</si>
  <si>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</si>
  <si>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</si>
  <si>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</si>
  <si>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</si>
  <si>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</si>
  <si>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</si>
  <si>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</si>
  <si>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</si>
  <si>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</si>
  <si>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</si>
  <si>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</si>
  <si>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</si>
  <si>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</si>
  <si>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</si>
  <si>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</si>
  <si>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</si>
  <si>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</si>
  <si>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</si>
  <si>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</si>
  <si>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</si>
  <si>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</si>
  <si>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</si>
  <si>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</si>
  <si>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</si>
  <si>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</si>
  <si>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</si>
  <si>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</si>
  <si>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</si>
  <si>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</si>
  <si>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</si>
  <si>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</si>
  <si>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</si>
  <si>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</si>
  <si>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</si>
  <si>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</si>
  <si>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</si>
  <si>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</si>
  <si>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</si>
  <si>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</si>
  <si>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</si>
  <si>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</si>
  <si>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</si>
  <si>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</si>
  <si>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</si>
  <si>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</si>
  <si>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</si>
  <si>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</si>
  <si>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</si>
  <si>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</si>
  <si>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</si>
  <si>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</si>
  <si>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</si>
  <si>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</si>
  <si>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</si>
  <si>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</si>
  <si>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</si>
  <si>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</si>
  <si>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</si>
  <si>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</si>
  <si>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</si>
  <si>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</si>
  <si>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</si>
  <si>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</si>
  <si>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</si>
  <si>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</si>
  <si>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</si>
  <si>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</si>
  <si>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</si>
  <si>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</si>
  <si>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</si>
  <si>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</si>
  <si>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</si>
  <si>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</si>
  <si>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</si>
  <si>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</si>
  <si>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</si>
  <si>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</si>
  <si>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</si>
  <si>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</si>
  <si>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</si>
  <si>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</si>
  <si>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</si>
  <si>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</si>
  <si>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</si>
  <si>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</si>
  <si>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</si>
  <si>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</si>
  <si>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</si>
  <si>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</si>
  <si>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</si>
  <si>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</si>
  <si>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</si>
  <si>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</si>
  <si>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</si>
  <si>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</si>
  <si>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</si>
  <si>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</si>
  <si>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</si>
  <si>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</si>
  <si>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</si>
  <si>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</si>
  <si>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</si>
  <si>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</si>
  <si>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</si>
  <si>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</si>
  <si>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</si>
  <si>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</si>
  <si>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</si>
  <si>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</si>
  <si>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</si>
  <si>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</si>
  <si>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</si>
  <si>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</si>
  <si>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</si>
  <si>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</si>
  <si>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</si>
  <si>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</si>
  <si>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</si>
  <si>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</si>
  <si>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</si>
  <si>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</si>
  <si>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</si>
  <si>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</si>
  <si>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</si>
  <si>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</si>
  <si>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</si>
  <si>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</si>
  <si>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</si>
  <si>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</si>
  <si>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</si>
  <si>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</si>
  <si>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</si>
  <si>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</si>
  <si>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</si>
  <si>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</si>
  <si>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</si>
  <si>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</si>
  <si>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</si>
  <si>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</si>
  <si>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</si>
  <si>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</si>
  <si>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</si>
  <si>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</si>
  <si>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</si>
  <si>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</si>
  <si>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</si>
  <si>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</si>
  <si>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</si>
  <si>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</si>
  <si>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</si>
  <si>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</si>
  <si>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</si>
  <si>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</si>
  <si>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</si>
  <si>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</si>
  <si>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</si>
  <si>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</si>
  <si>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</si>
  <si>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</si>
  <si>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</si>
  <si>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</si>
  <si>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</si>
  <si>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</si>
  <si>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</si>
  <si>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</si>
  <si>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</si>
  <si>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</si>
  <si>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</si>
  <si>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</si>
  <si>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</si>
  <si>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</si>
  <si>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</si>
  <si>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</si>
  <si>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</si>
  <si>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</si>
  <si>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</si>
  <si>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</si>
  <si>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</si>
  <si>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</si>
  <si>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</si>
  <si>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</si>
  <si>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</si>
  <si>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</si>
  <si>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</si>
  <si>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</si>
  <si>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</si>
  <si>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</si>
  <si>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</si>
  <si>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</si>
  <si>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</si>
  <si>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</si>
  <si>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</si>
  <si>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</si>
  <si>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</si>
  <si>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</si>
  <si>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</si>
  <si>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</si>
  <si>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</si>
  <si>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</si>
  <si>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</si>
  <si>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</si>
  <si>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</si>
  <si>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</si>
  <si>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</si>
  <si>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</si>
  <si>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</si>
  <si>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</si>
  <si>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</si>
  <si>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</si>
  <si>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</si>
  <si>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</si>
  <si>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</si>
  <si>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</si>
  <si>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</si>
  <si>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</si>
  <si>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</si>
  <si>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</si>
  <si>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</si>
  <si>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</si>
  <si>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</si>
  <si>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</si>
  <si>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</si>
  <si>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</si>
  <si>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</si>
  <si>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</si>
  <si>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</si>
  <si>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</si>
  <si>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</si>
  <si>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</si>
  <si>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</si>
  <si>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</si>
  <si>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</si>
  <si>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</si>
  <si>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</si>
  <si>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</si>
  <si>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</si>
  <si>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</si>
  <si>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</si>
  <si>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</si>
  <si>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</si>
  <si>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</si>
  <si>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</si>
  <si>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</si>
  <si>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</si>
  <si>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</si>
  <si>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</si>
  <si>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</si>
  <si>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</si>
  <si>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</si>
  <si>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</si>
  <si>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</si>
  <si>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</si>
  <si>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</si>
  <si>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</si>
  <si>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</si>
  <si>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</si>
  <si>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</si>
  <si>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</si>
  <si>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</si>
  <si>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</si>
  <si>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</si>
  <si>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</si>
  <si>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</si>
  <si>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</si>
  <si>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</si>
  <si>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</si>
  <si>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</si>
  <si>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</si>
  <si>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</si>
  <si>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</si>
  <si>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</si>
  <si>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</si>
  <si>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</si>
  <si>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</si>
  <si>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</si>
  <si>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</si>
  <si>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</si>
  <si>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</si>
  <si>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</si>
  <si>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</si>
  <si>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</si>
  <si>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</si>
  <si>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</si>
  <si>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</si>
  <si>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</si>
  <si>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</si>
  <si>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</si>
  <si>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</si>
  <si>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</si>
  <si>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</si>
  <si>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</si>
  <si>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</si>
  <si>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</si>
  <si>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</si>
  <si>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</si>
  <si>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</si>
  <si>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</si>
  <si>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</si>
  <si>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</si>
  <si>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</si>
  <si>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</si>
  <si>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</si>
  <si>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</si>
  <si>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</si>
  <si>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</si>
  <si>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</si>
  <si>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</si>
  <si>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</si>
  <si>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</si>
  <si>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</si>
  <si>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</si>
  <si>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</si>
  <si>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</si>
  <si>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</si>
  <si>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</si>
  <si>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</si>
  <si>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</si>
  <si>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</si>
  <si>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</si>
  <si>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</si>
  <si>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</si>
  <si>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</si>
  <si>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</si>
  <si>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</si>
  <si>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</si>
  <si>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</si>
  <si>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</si>
  <si>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</si>
  <si>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</si>
  <si>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</si>
  <si>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</si>
  <si>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</si>
  <si>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</si>
  <si>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</si>
  <si>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</si>
  <si>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</si>
  <si>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</si>
  <si>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</si>
  <si>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</si>
  <si>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</si>
  <si>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</si>
  <si>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</si>
  <si>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</si>
  <si>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</si>
  <si>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</si>
  <si>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</si>
  <si>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</si>
  <si>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</si>
  <si>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</si>
  <si>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</si>
  <si>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</si>
  <si>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</si>
  <si>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</si>
  <si>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</si>
  <si>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</si>
  <si>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</si>
  <si>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</si>
  <si>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</si>
  <si>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</si>
  <si>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</si>
  <si>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</si>
  <si>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</si>
  <si>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</si>
  <si>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</si>
  <si>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</si>
  <si>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</si>
  <si>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</si>
  <si>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</si>
  <si>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</si>
  <si>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</si>
  <si>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</si>
  <si>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</si>
  <si>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</si>
  <si>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</si>
  <si>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</si>
  <si>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</si>
  <si>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</si>
  <si>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</si>
  <si>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</si>
  <si>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</si>
  <si>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</si>
  <si>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</si>
  <si>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</si>
  <si>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</si>
  <si>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</si>
  <si>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</si>
  <si>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</si>
  <si>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</si>
  <si>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</si>
  <si>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</si>
  <si>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</si>
  <si>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</si>
  <si>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</si>
  <si>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</si>
  <si>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</si>
  <si>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</si>
  <si>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</si>
  <si>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</si>
  <si>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</si>
  <si>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</si>
  <si>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</si>
  <si>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</si>
  <si>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</si>
  <si>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</si>
  <si>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</si>
  <si>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</si>
  <si>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</si>
  <si>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</si>
  <si>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</si>
  <si>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</si>
  <si>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</si>
  <si>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</si>
  <si>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</si>
  <si>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</si>
  <si>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</si>
  <si>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</si>
  <si>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</si>
  <si>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</si>
  <si>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</si>
  <si>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</si>
  <si>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</si>
  <si>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</si>
  <si>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</si>
  <si>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</si>
  <si>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</si>
  <si>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</si>
  <si>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</si>
  <si>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</si>
  <si>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</si>
  <si>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</si>
  <si>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</si>
  <si>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</si>
  <si>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</si>
  <si>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</si>
  <si>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</si>
  <si>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</si>
  <si>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</si>
  <si>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</si>
  <si>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</si>
  <si>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</si>
  <si>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</si>
  <si>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</si>
  <si>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</si>
  <si>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</si>
  <si>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</si>
  <si>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</si>
  <si>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</si>
  <si>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</si>
  <si>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</si>
  <si>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</si>
  <si>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</si>
  <si>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</si>
  <si>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</si>
  <si>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</si>
  <si>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</si>
  <si>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</si>
  <si>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</si>
  <si>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</si>
  <si>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</si>
  <si>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</si>
  <si>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</si>
  <si>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</si>
  <si>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</si>
  <si>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</si>
  <si>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</si>
  <si>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</si>
  <si>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</si>
  <si>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</si>
  <si>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</si>
  <si>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</si>
  <si>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</si>
  <si>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</si>
  <si>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</si>
  <si>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</si>
  <si>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</si>
  <si>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</si>
  <si>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</si>
  <si>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</si>
  <si>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</si>
  <si>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</si>
  <si>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</si>
  <si>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</si>
  <si>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</si>
  <si>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</si>
  <si>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</si>
  <si>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</si>
  <si>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</si>
  <si>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</si>
  <si>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</si>
  <si>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</si>
  <si>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</si>
  <si>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</si>
  <si>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</si>
  <si>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</si>
  <si>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</si>
  <si>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</si>
  <si>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</si>
  <si>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</si>
  <si>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</si>
  <si>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</si>
  <si>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</si>
  <si>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</si>
  <si>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</si>
  <si>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</si>
  <si>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</si>
  <si>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</si>
  <si>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</si>
  <si>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</si>
  <si>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</si>
  <si>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</si>
  <si>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</si>
  <si>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</si>
  <si>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</si>
  <si>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</si>
  <si>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</si>
  <si>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</si>
  <si>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</si>
  <si>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</si>
  <si>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</si>
  <si>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</si>
  <si>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</si>
  <si>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</si>
  <si>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</si>
  <si>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</si>
  <si>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</si>
  <si>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</si>
  <si>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</si>
  <si>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</si>
  <si>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</si>
  <si>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</si>
  <si>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</si>
  <si>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</si>
  <si>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</si>
  <si>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</si>
  <si>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</si>
  <si>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</si>
  <si>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</si>
  <si>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</si>
  <si>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</si>
  <si>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</si>
  <si>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</si>
  <si>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</si>
  <si>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</si>
  <si>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</si>
  <si>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</si>
  <si>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</si>
  <si>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</si>
  <si>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</si>
  <si>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</si>
  <si>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</si>
  <si>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</si>
  <si>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</si>
  <si>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</si>
  <si>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</si>
  <si>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</si>
  <si>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</si>
  <si>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</si>
  <si>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</si>
  <si>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</si>
  <si>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</si>
  <si>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</si>
  <si>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</si>
  <si>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</si>
  <si>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</si>
  <si>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</si>
  <si>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</si>
  <si>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</si>
  <si>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</si>
  <si>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</si>
  <si>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</si>
  <si>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</si>
  <si>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</si>
  <si>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</si>
  <si>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</si>
  <si>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</si>
  <si>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</si>
  <si>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</si>
  <si>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</si>
  <si>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</si>
  <si>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</si>
  <si>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</si>
  <si>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</si>
  <si>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</si>
  <si>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</si>
  <si>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</si>
  <si>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</si>
  <si>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</si>
  <si>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</si>
  <si>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</si>
  <si>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</si>
  <si>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</si>
  <si>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</si>
  <si>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</si>
  <si>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</si>
  <si>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</si>
  <si>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</si>
  <si>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</si>
  <si>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</si>
  <si>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</si>
  <si>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</si>
  <si>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</si>
  <si>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</si>
  <si>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</si>
  <si>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</si>
  <si>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</si>
  <si>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</si>
  <si>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</si>
  <si>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</si>
  <si>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</si>
  <si>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</si>
  <si>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</si>
  <si>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</si>
  <si>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</si>
  <si>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</si>
  <si>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</si>
  <si>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</si>
  <si>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</si>
  <si>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</si>
  <si>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</si>
  <si>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</si>
  <si>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</si>
  <si>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</si>
  <si>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</si>
  <si>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</si>
  <si>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</si>
  <si>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</si>
  <si>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</si>
  <si>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</si>
  <si>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</si>
  <si>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</si>
  <si>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</si>
  <si>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</si>
  <si>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</si>
  <si>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</si>
  <si>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</si>
  <si>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</si>
  <si>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</si>
  <si>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</si>
  <si>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</si>
  <si>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</si>
  <si>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</si>
  <si>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</si>
  <si>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</si>
  <si>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</si>
  <si>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</si>
  <si>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</si>
  <si>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</si>
  <si>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</si>
  <si>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</si>
  <si>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</si>
  <si>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</si>
  <si>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</si>
  <si>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</si>
  <si>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</si>
  <si>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</si>
  <si>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</si>
  <si>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</si>
  <si>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</si>
  <si>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</si>
  <si>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</si>
  <si>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</si>
  <si>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</si>
  <si>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</si>
  <si>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</si>
  <si>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</si>
  <si>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</si>
  <si>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</si>
  <si>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</si>
  <si>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</si>
  <si>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</si>
  <si>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</si>
  <si>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</si>
  <si>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</si>
  <si>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</si>
  <si>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</si>
  <si>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</si>
  <si>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</si>
  <si>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</si>
  <si>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</si>
  <si>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</si>
  <si>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</si>
  <si>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</si>
  <si>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</si>
  <si>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</si>
  <si>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</si>
  <si>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</si>
  <si>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</si>
  <si>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</si>
  <si>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</si>
  <si>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</si>
  <si>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</si>
  <si>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</si>
  <si>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</si>
  <si>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</si>
  <si>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</si>
  <si>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</si>
  <si>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</si>
  <si>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</si>
  <si>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</si>
  <si>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</si>
  <si>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</si>
  <si>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</si>
  <si>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</si>
  <si>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</si>
  <si>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</si>
  <si>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</si>
  <si>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</si>
  <si>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</si>
  <si>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</si>
  <si>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</si>
  <si>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</si>
  <si>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</si>
  <si>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</si>
  <si>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</si>
  <si>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</si>
  <si>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</si>
  <si>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</si>
  <si>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</si>
  <si>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</si>
  <si>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</si>
  <si>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</si>
  <si>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</si>
  <si>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</si>
  <si>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</si>
  <si>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</si>
  <si>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</si>
  <si>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</si>
  <si>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</si>
  <si>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</si>
  <si>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</si>
  <si>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</si>
  <si>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</si>
  <si>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</si>
  <si>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</si>
  <si>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</si>
  <si>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</si>
  <si>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</si>
  <si>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</si>
  <si>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</si>
  <si>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</si>
  <si>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</si>
  <si>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</si>
  <si>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</si>
  <si>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</si>
  <si>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</si>
  <si>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</si>
  <si>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</si>
  <si>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</si>
  <si>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</si>
  <si>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</si>
  <si>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</si>
  <si>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</si>
  <si>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</si>
  <si>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</si>
  <si>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</si>
  <si>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</si>
  <si>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</si>
  <si>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</si>
  <si>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</si>
  <si>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</si>
  <si>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</si>
  <si>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</si>
  <si>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</si>
  <si>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</si>
  <si>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</si>
  <si>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</si>
  <si>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</si>
  <si>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</si>
  <si>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</si>
  <si>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</si>
  <si>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</si>
  <si>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</si>
  <si>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</si>
  <si>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</si>
  <si>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</si>
  <si>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</si>
  <si>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</si>
  <si>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</si>
  <si>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</si>
  <si>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</si>
  <si>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</si>
  <si>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</si>
  <si>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</si>
  <si>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</si>
  <si>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</si>
  <si>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</si>
  <si>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</si>
  <si>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</si>
  <si>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</si>
  <si>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</si>
  <si>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</si>
  <si>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</si>
  <si>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</si>
  <si>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</si>
  <si>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</si>
  <si>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</si>
  <si>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</si>
  <si>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</si>
  <si>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</si>
  <si>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</si>
  <si>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</si>
  <si>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</si>
  <si>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</si>
  <si>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</si>
  <si>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</si>
  <si>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</si>
  <si>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</si>
  <si>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</si>
  <si>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</si>
  <si>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</si>
  <si>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</si>
  <si>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</si>
  <si>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</si>
  <si>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</si>
  <si>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</si>
  <si>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</si>
  <si>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</si>
  <si>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</si>
  <si>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</si>
  <si>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</si>
  <si>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</si>
  <si>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</si>
  <si>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</si>
  <si>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</si>
  <si>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</si>
  <si>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</si>
  <si>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</si>
  <si>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</si>
  <si>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</si>
  <si>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</si>
  <si>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</si>
  <si>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</si>
  <si>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</si>
  <si>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</si>
  <si>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</si>
  <si>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</si>
  <si>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</si>
  <si>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</si>
  <si>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</si>
  <si>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</si>
  <si>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</si>
  <si>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</si>
  <si>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</si>
  <si>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</si>
  <si>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</si>
  <si>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</si>
  <si>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</si>
  <si>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</si>
  <si>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</si>
  <si>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</si>
  <si>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</si>
  <si>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</si>
  <si>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</si>
  <si>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</si>
  <si>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</si>
  <si>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</si>
  <si>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</si>
  <si>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</si>
  <si>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</si>
  <si>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</si>
  <si>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</si>
  <si>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</si>
  <si>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</si>
  <si>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</si>
  <si>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</si>
  <si>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</si>
  <si>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</si>
  <si>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</si>
  <si>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</si>
  <si>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</si>
  <si>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</si>
  <si>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</si>
  <si>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</si>
  <si>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</si>
  <si>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</si>
  <si>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</si>
  <si>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</si>
  <si>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</si>
  <si>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</si>
  <si>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</si>
  <si>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</si>
  <si>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</si>
  <si>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</si>
  <si>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</si>
  <si>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</si>
  <si>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</si>
  <si>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</si>
  <si>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</si>
  <si>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</si>
  <si>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</si>
  <si>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</si>
  <si>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</si>
  <si>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</si>
  <si>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</si>
  <si>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</si>
  <si>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</si>
  <si>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</si>
  <si>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</si>
  <si>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</si>
  <si>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</si>
  <si>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</si>
  <si>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</si>
  <si>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</si>
  <si>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</si>
  <si>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</si>
  <si>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</si>
  <si>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</si>
  <si>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</si>
  <si>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</si>
  <si>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</si>
  <si>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</si>
  <si>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</si>
  <si>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</si>
  <si>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</si>
  <si>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</si>
  <si>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</si>
  <si>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</si>
  <si>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</si>
  <si>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</si>
  <si>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</si>
  <si>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</si>
  <si>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</si>
  <si>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</si>
  <si>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</si>
  <si>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</si>
  <si>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</si>
  <si>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</si>
  <si>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</si>
  <si>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</si>
  <si>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</si>
  <si>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</si>
  <si>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</si>
  <si>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</si>
  <si>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</si>
  <si>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</si>
  <si>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</si>
  <si>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</si>
  <si>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</si>
  <si>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</si>
  <si>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</si>
  <si>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</si>
  <si>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</si>
  <si>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</si>
  <si>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</si>
  <si>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</si>
  <si>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</si>
  <si>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</si>
  <si>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</si>
  <si>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</si>
  <si>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</si>
  <si>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</si>
  <si>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</si>
  <si>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</si>
  <si>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</si>
  <si>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</si>
  <si>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</si>
  <si>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</si>
  <si>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</si>
  <si>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</si>
  <si>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</si>
  <si>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</si>
  <si>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</si>
  <si>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</si>
  <si>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</si>
  <si>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</si>
  <si>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</si>
  <si>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</si>
  <si>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</si>
  <si>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</si>
  <si>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</si>
  <si>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</si>
  <si>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</si>
  <si>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</si>
  <si>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</si>
  <si>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</si>
  <si>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</si>
  <si>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</si>
  <si>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</si>
  <si>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</si>
  <si>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</si>
  <si>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</si>
  <si>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</si>
  <si>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</si>
  <si>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</si>
  <si>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</si>
  <si>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</si>
  <si>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</si>
  <si>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</si>
  <si>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</si>
  <si>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</si>
  <si>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</si>
  <si>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</si>
  <si>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</si>
  <si>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</si>
  <si>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</si>
  <si>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</si>
  <si>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</si>
  <si>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</si>
  <si>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</si>
  <si>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</si>
  <si>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</si>
  <si>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</si>
  <si>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</si>
  <si>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</si>
  <si>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</si>
  <si>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</si>
  <si>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</si>
  <si>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</si>
  <si>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</si>
  <si>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</si>
  <si>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</si>
  <si>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</si>
  <si>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</si>
  <si>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</si>
  <si>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</si>
  <si>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</si>
  <si>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</si>
  <si>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</si>
  <si>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</si>
  <si>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</si>
  <si>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</si>
  <si>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</si>
  <si>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</si>
  <si>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</si>
  <si>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</si>
  <si>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</si>
  <si>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</si>
  <si>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</si>
  <si>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</si>
  <si>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</si>
  <si>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</si>
  <si>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</si>
  <si>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</si>
  <si>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</si>
  <si>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</si>
  <si>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</si>
  <si>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</si>
  <si>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</si>
  <si>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</si>
  <si>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</si>
  <si>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</si>
  <si>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</si>
  <si>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</si>
  <si>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</si>
  <si>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</si>
  <si>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</si>
  <si>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</si>
  <si>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</si>
  <si>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</si>
  <si>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</si>
  <si>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</si>
  <si>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</si>
  <si>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</si>
  <si>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</si>
  <si>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</si>
  <si>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</si>
  <si>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</si>
  <si>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</si>
  <si>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</si>
  <si>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</si>
  <si>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</si>
  <si>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</si>
  <si>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</si>
  <si>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</si>
  <si>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</si>
  <si>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</si>
  <si>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</si>
  <si>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</si>
  <si>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</si>
  <si>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</si>
  <si>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r>
      <t>A</t>
    </r>
    <r>
      <rPr>
        <sz val="11"/>
        <color theme="1"/>
        <rFont val="宋体"/>
        <family val="3"/>
        <charset val="134"/>
        <scheme val="minor"/>
      </rPr>
      <t>1</t>
    </r>
    <phoneticPr fontId="135" type="noConversion"/>
  </si>
  <si>
    <r>
      <t>A</t>
    </r>
    <r>
      <rPr>
        <sz val="11"/>
        <color theme="1"/>
        <rFont val="宋体"/>
        <family val="3"/>
        <charset val="134"/>
        <scheme val="minor"/>
      </rPr>
      <t>2</t>
    </r>
    <r>
      <rPr>
        <sz val="11"/>
        <color theme="1"/>
        <rFont val="宋体"/>
        <family val="2"/>
        <scheme val="minor"/>
      </rPr>
      <t/>
    </r>
  </si>
  <si>
    <r>
      <t>A</t>
    </r>
    <r>
      <rPr>
        <sz val="11"/>
        <color theme="1"/>
        <rFont val="宋体"/>
        <family val="3"/>
        <charset val="134"/>
        <scheme val="minor"/>
      </rPr>
      <t>3</t>
    </r>
    <r>
      <rPr>
        <sz val="11"/>
        <color theme="1"/>
        <rFont val="宋体"/>
        <family val="2"/>
        <scheme val="minor"/>
      </rPr>
      <t/>
    </r>
  </si>
  <si>
    <r>
      <t>A</t>
    </r>
    <r>
      <rPr>
        <sz val="11"/>
        <color theme="1"/>
        <rFont val="宋体"/>
        <family val="3"/>
        <charset val="134"/>
        <scheme val="minor"/>
      </rPr>
      <t>4</t>
    </r>
    <r>
      <rPr>
        <sz val="11"/>
        <color theme="1"/>
        <rFont val="宋体"/>
        <family val="2"/>
        <scheme val="minor"/>
      </rPr>
      <t/>
    </r>
  </si>
  <si>
    <r>
      <t>A</t>
    </r>
    <r>
      <rPr>
        <sz val="11"/>
        <color theme="1"/>
        <rFont val="宋体"/>
        <family val="3"/>
        <charset val="134"/>
        <scheme val="minor"/>
      </rPr>
      <t>5</t>
    </r>
    <r>
      <rPr>
        <sz val="11"/>
        <color theme="1"/>
        <rFont val="宋体"/>
        <family val="2"/>
        <scheme val="minor"/>
      </rPr>
      <t/>
    </r>
  </si>
  <si>
    <r>
      <t>A</t>
    </r>
    <r>
      <rPr>
        <sz val="11"/>
        <color theme="1"/>
        <rFont val="宋体"/>
        <family val="3"/>
        <charset val="134"/>
        <scheme val="minor"/>
      </rPr>
      <t>6</t>
    </r>
    <r>
      <rPr>
        <sz val="11"/>
        <color theme="1"/>
        <rFont val="宋体"/>
        <family val="2"/>
        <scheme val="minor"/>
      </rPr>
      <t/>
    </r>
  </si>
  <si>
    <r>
      <t>A</t>
    </r>
    <r>
      <rPr>
        <sz val="11"/>
        <color theme="1"/>
        <rFont val="宋体"/>
        <family val="3"/>
        <charset val="134"/>
        <scheme val="minor"/>
      </rPr>
      <t>7</t>
    </r>
    <r>
      <rPr>
        <sz val="11"/>
        <color theme="1"/>
        <rFont val="宋体"/>
        <family val="2"/>
        <scheme val="minor"/>
      </rPr>
      <t/>
    </r>
  </si>
  <si>
    <r>
      <t>A</t>
    </r>
    <r>
      <rPr>
        <sz val="11"/>
        <color theme="1"/>
        <rFont val="宋体"/>
        <family val="3"/>
        <charset val="134"/>
        <scheme val="minor"/>
      </rPr>
      <t>8</t>
    </r>
    <r>
      <rPr>
        <sz val="11"/>
        <color theme="1"/>
        <rFont val="宋体"/>
        <family val="2"/>
        <scheme val="minor"/>
      </rPr>
      <t/>
    </r>
  </si>
  <si>
    <r>
      <t>A</t>
    </r>
    <r>
      <rPr>
        <sz val="11"/>
        <color theme="1"/>
        <rFont val="宋体"/>
        <family val="3"/>
        <charset val="134"/>
        <scheme val="minor"/>
      </rPr>
      <t>9</t>
    </r>
    <r>
      <rPr>
        <sz val="11"/>
        <color theme="1"/>
        <rFont val="宋体"/>
        <family val="2"/>
        <scheme val="minor"/>
      </rPr>
      <t/>
    </r>
  </si>
  <si>
    <t>层数</t>
    <phoneticPr fontId="135" type="noConversion"/>
  </si>
  <si>
    <t>B1</t>
    <phoneticPr fontId="135" type="noConversion"/>
  </si>
  <si>
    <t>B2</t>
  </si>
  <si>
    <t>B3</t>
  </si>
  <si>
    <t>B4</t>
  </si>
  <si>
    <t>地下车库</t>
    <phoneticPr fontId="135" type="noConversion"/>
  </si>
  <si>
    <t>总面积</t>
    <phoneticPr fontId="135" type="noConversion"/>
  </si>
  <si>
    <t>1层</t>
    <phoneticPr fontId="135" type="noConversion"/>
  </si>
  <si>
    <t>2层</t>
    <phoneticPr fontId="135" type="noConversion"/>
  </si>
  <si>
    <t>3层</t>
  </si>
  <si>
    <t>4层</t>
  </si>
  <si>
    <t>5层</t>
  </si>
  <si>
    <t>6层</t>
  </si>
  <si>
    <t>附属用房</t>
    <phoneticPr fontId="135" type="noConversion"/>
  </si>
  <si>
    <t>抵押</t>
  </si>
  <si>
    <t>房地产抵押价值</t>
  </si>
  <si>
    <t>北京市</t>
  </si>
  <si>
    <t>企业</t>
  </si>
  <si>
    <t>地上</t>
  </si>
  <si>
    <t>地下</t>
  </si>
  <si>
    <t>工业</t>
    <phoneticPr fontId="8" type="noConversion"/>
  </si>
  <si>
    <t>是</t>
  </si>
  <si>
    <t>成新度</t>
  </si>
  <si>
    <t>Ⅷ-通州环保园</t>
  </si>
  <si>
    <t>估价对象容积率</t>
  </si>
  <si>
    <t>与级别开发程度一致</t>
  </si>
  <si>
    <t>较好</t>
  </si>
  <si>
    <t>一般</t>
  </si>
  <si>
    <t>未包含在土地购买价格中</t>
  </si>
  <si>
    <t>全部缴纳</t>
  </si>
  <si>
    <t>已包含在土地取得成本中</t>
  </si>
  <si>
    <t>出租</t>
  </si>
  <si>
    <t>出租</t>
    <phoneticPr fontId="4" type="noConversion"/>
  </si>
  <si>
    <t>自用</t>
  </si>
  <si>
    <t>自用</t>
    <phoneticPr fontId="4" type="noConversion"/>
  </si>
  <si>
    <t>空置</t>
  </si>
  <si>
    <t>空置</t>
    <phoneticPr fontId="4" type="noConversion"/>
  </si>
  <si>
    <t>收益法</t>
  </si>
  <si>
    <t>钢混</t>
  </si>
  <si>
    <t>非生产用房</t>
  </si>
  <si>
    <t>否</t>
  </si>
  <si>
    <t>押一</t>
  </si>
  <si>
    <t>成本法</t>
  </si>
  <si>
    <t>车位</t>
    <phoneticPr fontId="135" type="noConversion"/>
  </si>
  <si>
    <t>出租面积</t>
    <phoneticPr fontId="135" type="noConversion"/>
  </si>
  <si>
    <t>项目模式</t>
  </si>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</sst>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pplyAlignment="1">
      <alignment horizontal="left" vertical="center"/>
    </xf>
    <xf numFmtId="0" fontId="78" fillId="0" borderId="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0" fillId="15" borderId="1" xfId="0" applyFill="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16</xdr:col>
      <xdr:colOff>28575</xdr:colOff>
      <xdr:row>29</xdr:row>
      <xdr:rowOff>24759</xdr:rowOff>
    </xdr:to>
    <xdr:pic>
      <xdr:nvPicPr>
        <xdr:cNvPr id="3" name="图片 2">
          <a:extLst>
            <a:ext uri="{FF2B5EF4-FFF2-40B4-BE49-F238E27FC236}">
              <a16:creationId xmlns:a16="http://schemas.microsoft.com/office/drawing/2014/main" id="{D110FC94-D321-86D8-D99E-499878148FD5}"/>
            </a:ext>
          </a:extLst>
        </xdr:cNvPr>
        <xdr:cNvPicPr>
          <a:picLocks noChangeAspect="1"/>
        </xdr:cNvPicPr>
      </xdr:nvPicPr>
      <xdr:blipFill>
        <a:blip xmlns:r="http://schemas.openxmlformats.org/officeDocument/2006/relationships" r:embed="rId1"/>
        <a:stretch>
          <a:fillRect/>
        </a:stretch>
      </xdr:blipFill>
      <xdr:spPr>
        <a:xfrm>
          <a:off x="0" y="1"/>
          <a:ext cx="11001375" cy="4996808"/>
        </a:xfrm>
        <a:prstGeom prst="rect">
          <a:avLst/>
        </a:prstGeom>
      </xdr:spPr>
    </xdr:pic>
    <xdr:clientData/>
  </xdr:twoCellAnchor>
  <xdr:twoCellAnchor editAs="oneCell">
    <xdr:from>
      <xdr:col>0</xdr:col>
      <xdr:colOff>0</xdr:colOff>
      <xdr:row>29</xdr:row>
      <xdr:rowOff>152400</xdr:rowOff>
    </xdr:from>
    <xdr:to>
      <xdr:col>16</xdr:col>
      <xdr:colOff>44136</xdr:colOff>
      <xdr:row>57</xdr:row>
      <xdr:rowOff>18400</xdr:rowOff>
    </xdr:to>
    <xdr:pic>
      <xdr:nvPicPr>
        <xdr:cNvPr id="4" name="图片 3">
          <a:extLst>
            <a:ext uri="{FF2B5EF4-FFF2-40B4-BE49-F238E27FC236}">
              <a16:creationId xmlns:a16="http://schemas.microsoft.com/office/drawing/2014/main" id="{69417314-C2AE-9AD8-A6D8-79FAB6473498}"/>
            </a:ext>
          </a:extLst>
        </xdr:cNvPr>
        <xdr:cNvPicPr>
          <a:picLocks noChangeAspect="1"/>
        </xdr:cNvPicPr>
      </xdr:nvPicPr>
      <xdr:blipFill>
        <a:blip xmlns:r="http://schemas.openxmlformats.org/officeDocument/2006/relationships" r:embed="rId2"/>
        <a:stretch>
          <a:fillRect/>
        </a:stretch>
      </xdr:blipFill>
      <xdr:spPr>
        <a:xfrm>
          <a:off x="0" y="5124450"/>
          <a:ext cx="11016936" cy="4666600"/>
        </a:xfrm>
        <a:prstGeom prst="rect">
          <a:avLst/>
        </a:prstGeom>
      </xdr:spPr>
    </xdr:pic>
    <xdr:clientData/>
  </xdr:twoCellAnchor>
  <xdr:twoCellAnchor editAs="oneCell">
    <xdr:from>
      <xdr:col>0</xdr:col>
      <xdr:colOff>0</xdr:colOff>
      <xdr:row>58</xdr:row>
      <xdr:rowOff>48205</xdr:rowOff>
    </xdr:from>
    <xdr:to>
      <xdr:col>16</xdr:col>
      <xdr:colOff>28575</xdr:colOff>
      <xdr:row>83</xdr:row>
      <xdr:rowOff>113684</xdr:rowOff>
    </xdr:to>
    <xdr:pic>
      <xdr:nvPicPr>
        <xdr:cNvPr id="5" name="图片 4">
          <a:extLst>
            <a:ext uri="{FF2B5EF4-FFF2-40B4-BE49-F238E27FC236}">
              <a16:creationId xmlns:a16="http://schemas.microsoft.com/office/drawing/2014/main" id="{C78FFD29-1372-BD05-A1C7-10C10A51EDD8}"/>
            </a:ext>
          </a:extLst>
        </xdr:cNvPr>
        <xdr:cNvPicPr>
          <a:picLocks noChangeAspect="1"/>
        </xdr:cNvPicPr>
      </xdr:nvPicPr>
      <xdr:blipFill>
        <a:blip xmlns:r="http://schemas.openxmlformats.org/officeDocument/2006/relationships" r:embed="rId3"/>
        <a:stretch>
          <a:fillRect/>
        </a:stretch>
      </xdr:blipFill>
      <xdr:spPr>
        <a:xfrm>
          <a:off x="0" y="9992305"/>
          <a:ext cx="11001375" cy="4351729"/>
        </a:xfrm>
        <a:prstGeom prst="rect">
          <a:avLst/>
        </a:prstGeom>
      </xdr:spPr>
    </xdr:pic>
    <xdr:clientData/>
  </xdr:twoCellAnchor>
  <xdr:twoCellAnchor editAs="oneCell">
    <xdr:from>
      <xdr:col>0</xdr:col>
      <xdr:colOff>0</xdr:colOff>
      <xdr:row>91</xdr:row>
      <xdr:rowOff>95250</xdr:rowOff>
    </xdr:from>
    <xdr:to>
      <xdr:col>11</xdr:col>
      <xdr:colOff>618105</xdr:colOff>
      <xdr:row>112</xdr:row>
      <xdr:rowOff>113848</xdr:rowOff>
    </xdr:to>
    <xdr:pic>
      <xdr:nvPicPr>
        <xdr:cNvPr id="6" name="图片 5">
          <a:extLst>
            <a:ext uri="{FF2B5EF4-FFF2-40B4-BE49-F238E27FC236}">
              <a16:creationId xmlns:a16="http://schemas.microsoft.com/office/drawing/2014/main" id="{FEDC2684-93A7-C6D1-318D-AAE88442A346}"/>
            </a:ext>
          </a:extLst>
        </xdr:cNvPr>
        <xdr:cNvPicPr>
          <a:picLocks noChangeAspect="1"/>
        </xdr:cNvPicPr>
      </xdr:nvPicPr>
      <xdr:blipFill>
        <a:blip xmlns:r="http://schemas.openxmlformats.org/officeDocument/2006/relationships" r:embed="rId4"/>
        <a:stretch>
          <a:fillRect/>
        </a:stretch>
      </xdr:blipFill>
      <xdr:spPr>
        <a:xfrm>
          <a:off x="0" y="15697200"/>
          <a:ext cx="8161905" cy="3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估价对象为北京市房地产，为所有。根据《国有土地使用证》[]，估价对象（分摊）出让国有建设用地使用权面积为13333.33平方米，建筑面积为33594.3平方米。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估价对象为北京市房地产,属开发建设的，该项目尚在开发建设中。根据《国有土地使用证》[]，估价对象（分摊）出让国有建设用地使用权面积为13333.33平方米，规划建筑面积为33594.3平方米。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2025年4月29日（评估专业人员实地查勘之日）</v>
      </c>
    </row>
    <row r="13" spans="1:2">
      <c r="A13" s="1119" t="s">
        <v>529</v>
      </c>
      <c r="B13" s="1120" t="str">
        <f>'预评函-1'!A18</f>
        <v>本次估价的“房地产价值”是指在正常市场情况下，在价值时点2025年4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33594.299999999996</v>
      </c>
    </row>
    <row r="44" spans="1:2" ht="31.2">
      <c r="A44" s="1119" t="s">
        <v>575</v>
      </c>
      <c r="B44" s="1120" t="str">
        <f>'预评函-3'!C2</f>
        <v>(分摊)土地面积</v>
      </c>
    </row>
    <row r="45" spans="1:2">
      <c r="A45" s="1119" t="s">
        <v>547</v>
      </c>
      <c r="B45" s="1120">
        <f>'预评函-3'!C4</f>
        <v>13333.33</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8" t="s">
        <v>2571</v>
      </c>
      <c r="J2" s="3208"/>
      <c r="K2" s="3208"/>
      <c r="L2" s="3208"/>
      <c r="M2" s="3208"/>
      <c r="N2" s="3208"/>
      <c r="O2" s="3208"/>
      <c r="P2" s="3208"/>
      <c r="Q2" s="3208"/>
      <c r="R2" s="3208"/>
    </row>
    <row r="3" spans="1:18">
      <c r="A3" s="2763" t="s">
        <v>2492</v>
      </c>
      <c r="B3" s="2764">
        <f>项目基本情况!D3</f>
        <v>45776</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1.64</v>
      </c>
      <c r="D5" s="2768">
        <f>IF(ISERROR(ROUND(POWER(1+E5,A5-C5)*(POWER(1+E5,C5)-1)/(POWER(1+E5,A5)-1),3)),0,ROUND(POWER(1+E5,A5-C5)*(POWER(1+E5,C5)-1)/(POWER(1+E5,A5)-1),4))</f>
        <v>7.8700000000000006E-2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11.64</v>
      </c>
      <c r="D6" s="2768">
        <f>IF(ISERROR(ROUND(POWER(1+E6,A6-C6)*(POWER(1+E6,C6)-1)/(POWER(1+E6,A6)-1),3)),0,ROUND(POWER(1+E6,A6-C6)*(POWER(1+E6,C6)-1)/(POWER(1+E6,A6)-1),4))</f>
        <v>0.42649999999999999</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31.66</v>
      </c>
      <c r="D7" s="2768">
        <f>IF(ISERROR(ROUND(POWER(1+E7,A7-C7)*(POWER(1+E7,C7)-1)/(POWER(1+E7,A7)-1),3)),0,ROUND(POWER(1+E7,A7-C7)*(POWER(1+E7,C7)-1)/(POWER(1+E7,A7)-1),4))</f>
        <v>0.75990000000000002</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5" thickBot="1">
      <c r="A18" s="2773" t="s">
        <v>2507</v>
      </c>
      <c r="B18" s="2774">
        <f>ROUND(B17*F11/F12,2)</f>
        <v>5541.87</v>
      </c>
      <c r="C18" s="2774">
        <f>ROUND(F11/F12,4)</f>
        <v>1.1521999999999999</v>
      </c>
      <c r="D18" s="2775"/>
      <c r="E18" s="2775"/>
      <c r="F18" s="2776"/>
    </row>
    <row r="19" spans="1:14" ht="15" thickBot="1"/>
    <row r="20" spans="1:14" s="2809" customFormat="1" ht="1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8" zoomScaleNormal="100" zoomScaleSheetLayoutView="100" workbookViewId="0">
      <selection activeCell="H13" sqref="H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45776</v>
      </c>
      <c r="C3" s="2186" t="s">
        <v>2171</v>
      </c>
      <c r="D3" s="2185">
        <f>B3</f>
        <v>45776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3426</v>
      </c>
      <c r="C8" s="2201"/>
      <c r="D8" s="3212" t="s">
        <v>2177</v>
      </c>
      <c r="E8" s="2202" t="s">
        <v>3427</v>
      </c>
      <c r="F8" s="2203"/>
      <c r="G8" s="2442"/>
      <c r="H8" s="2442"/>
      <c r="I8" s="2442"/>
      <c r="J8" s="2245"/>
      <c r="K8" s="2400"/>
      <c r="L8" s="2399"/>
      <c r="M8" s="2399"/>
      <c r="N8" s="2245"/>
      <c r="O8" s="1670"/>
      <c r="P8" s="2245"/>
      <c r="Q8" s="2245"/>
      <c r="R8" s="2245"/>
    </row>
    <row r="9" spans="1:30" ht="13.8" thickBot="1">
      <c r="A9" s="2204" t="s">
        <v>2178</v>
      </c>
      <c r="B9" s="2205" t="s">
        <v>3427</v>
      </c>
      <c r="C9" s="2206"/>
      <c r="D9" s="3213"/>
      <c r="E9" s="2205" t="s">
        <v>43</v>
      </c>
      <c r="F9" s="2207"/>
      <c r="G9" s="2443"/>
      <c r="H9" s="2443"/>
      <c r="I9" s="2443"/>
      <c r="J9" s="2245"/>
      <c r="K9" s="2402"/>
      <c r="L9" s="2399"/>
      <c r="M9" s="2399"/>
      <c r="N9" s="2245"/>
      <c r="O9" s="1670"/>
      <c r="P9" s="2245"/>
      <c r="Q9" s="2245"/>
      <c r="R9" s="2245"/>
    </row>
    <row r="10" spans="1:30" ht="13.8" thickTop="1">
      <c r="A10" s="2208" t="s">
        <v>2179</v>
      </c>
      <c r="B10" s="2209" t="s">
        <v>3428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59218</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36.82</v>
      </c>
      <c r="I15" s="2221" t="str">
        <f>IF(A13="出让",IF(I13="","",ROUNDDOWN(MIN((I13-$D$3)/365,I14),2)),I14)</f>
        <v/>
      </c>
      <c r="J15" s="2805"/>
      <c r="K15" s="1670"/>
      <c r="L15" s="1670"/>
      <c r="M15" s="2245"/>
      <c r="N15" s="1670"/>
      <c r="O15" s="2245"/>
      <c r="P15" s="2245"/>
      <c r="Q15" s="2245"/>
      <c r="AD15" s="1618"/>
    </row>
    <row r="16" spans="1:30">
      <c r="A16" s="2211" t="s">
        <v>2193</v>
      </c>
      <c r="B16" s="3219"/>
      <c r="C16" s="3220"/>
      <c r="D16" s="3221"/>
      <c r="E16" s="2222" t="s">
        <v>2194</v>
      </c>
      <c r="F16" s="3222"/>
      <c r="G16" s="3223"/>
      <c r="H16" s="3223"/>
      <c r="I16" s="3224"/>
      <c r="J16" s="2245"/>
      <c r="K16" s="2403"/>
      <c r="L16" s="1670"/>
      <c r="M16" s="1670"/>
      <c r="N16" s="2245"/>
      <c r="O16" s="1670"/>
      <c r="P16" s="2245"/>
      <c r="Q16" s="2245"/>
      <c r="R16" s="2245"/>
    </row>
    <row r="17" spans="1:28">
      <c r="A17" s="305" t="s">
        <v>2195</v>
      </c>
      <c r="B17" s="294" t="s">
        <v>2196</v>
      </c>
      <c r="C17" s="8">
        <f>'数据-汇总表'!E3</f>
        <v>33594.299999999996</v>
      </c>
      <c r="D17" s="1256" t="s">
        <v>2197</v>
      </c>
      <c r="E17" s="3225" t="s">
        <v>2198</v>
      </c>
      <c r="F17" s="3226"/>
      <c r="G17" s="3226"/>
      <c r="H17" s="3226"/>
      <c r="I17" s="3227"/>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13333.33</v>
      </c>
      <c r="D18" s="1029" t="s">
        <v>2201</v>
      </c>
      <c r="E18" s="3228" t="s">
        <v>2202</v>
      </c>
      <c r="F18" s="3229"/>
      <c r="G18" s="3229"/>
      <c r="H18" s="3229"/>
      <c r="I18" s="3230"/>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5" t="s">
        <v>2206</v>
      </c>
      <c r="C20" s="3216"/>
      <c r="D20" s="3217" t="s">
        <v>2207</v>
      </c>
      <c r="E20" s="3218"/>
      <c r="F20" s="2430" t="s">
        <v>1056</v>
      </c>
      <c r="G20" s="2442"/>
      <c r="H20" s="2442"/>
      <c r="I20" s="2442"/>
      <c r="J20" s="2245"/>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3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3"/>
      <c r="B30" s="294" t="s">
        <v>2218</v>
      </c>
      <c r="C30" s="3234"/>
      <c r="D30" s="3235"/>
      <c r="E30" s="2442"/>
      <c r="F30" s="2442"/>
      <c r="G30" s="2442"/>
      <c r="H30" s="2442"/>
      <c r="I30" s="2442"/>
      <c r="J30" s="2245"/>
      <c r="K30" s="2402"/>
      <c r="L30" s="2399"/>
      <c r="M30" s="2399"/>
      <c r="N30" s="2245"/>
      <c r="O30" s="1670"/>
      <c r="P30" s="2245"/>
      <c r="Q30" s="2245"/>
      <c r="R30" s="2245"/>
      <c r="S30" s="2245"/>
      <c r="T30" s="2245"/>
      <c r="U30" s="2245"/>
      <c r="V30" s="2245"/>
    </row>
    <row r="31" spans="1:28">
      <c r="A31" s="323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1" t="s">
        <v>2228</v>
      </c>
      <c r="T34" s="315" t="str">
        <f>NUMBERSTRING(7-K34,1)&amp;"通"</f>
        <v>七通</v>
      </c>
      <c r="U34" s="2245"/>
      <c r="V34" s="2245"/>
    </row>
    <row r="35" spans="1:30">
      <c r="A35" s="2236"/>
      <c r="B35" s="3231" t="s">
        <v>2229</v>
      </c>
      <c r="C35" s="3231"/>
      <c r="D35" s="3231"/>
      <c r="E35" s="323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27" thickBot="1">
      <c r="A38" s="2416" t="s">
        <v>2231</v>
      </c>
      <c r="B38" s="2238"/>
      <c r="C38" s="2238"/>
      <c r="D38" s="2238"/>
      <c r="E38" s="2238" t="s">
        <v>3435</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E1C9E-B200-4257-9728-5A004A6A7B23}">
  <dimension ref="A3:O22"/>
  <sheetViews>
    <sheetView workbookViewId="0">
      <selection activeCell="F22" sqref="F22"/>
    </sheetView>
  </sheetViews>
  <sheetFormatPr defaultColWidth="9" defaultRowHeight="14.4"/>
  <cols>
    <col min="1" max="5" width="9" style="2814"/>
    <col min="6" max="6" width="10.5546875" style="2814" bestFit="1" customWidth="1"/>
    <col min="7" max="16384" width="9" style="2814"/>
  </cols>
  <sheetData>
    <row r="3" spans="1:15">
      <c r="D3" s="3163"/>
      <c r="E3" s="1429" t="s">
        <v>3412</v>
      </c>
      <c r="F3" s="1429" t="s">
        <v>3418</v>
      </c>
      <c r="G3" s="1429" t="s">
        <v>3419</v>
      </c>
      <c r="H3" s="1429" t="s">
        <v>3420</v>
      </c>
      <c r="I3" s="1429" t="s">
        <v>3421</v>
      </c>
      <c r="J3" s="1429" t="s">
        <v>3422</v>
      </c>
      <c r="K3" s="1429" t="s">
        <v>3423</v>
      </c>
      <c r="L3" s="1429" t="s">
        <v>3424</v>
      </c>
      <c r="M3" s="1429" t="s">
        <v>3425</v>
      </c>
      <c r="N3" s="1421" t="s">
        <v>654</v>
      </c>
    </row>
    <row r="4" spans="1:15">
      <c r="C4" s="2814" t="s">
        <v>3445</v>
      </c>
      <c r="D4" s="1429" t="s">
        <v>3403</v>
      </c>
      <c r="E4" s="3163">
        <v>6</v>
      </c>
      <c r="F4" s="3166">
        <f>SUM(G4:M4)</f>
        <v>3619.7099999999996</v>
      </c>
      <c r="G4" s="3163">
        <v>621.17999999999995</v>
      </c>
      <c r="H4" s="3163">
        <v>549.5</v>
      </c>
      <c r="I4" s="3163">
        <v>621.17999999999995</v>
      </c>
      <c r="J4" s="3163">
        <v>621.17999999999995</v>
      </c>
      <c r="K4" s="3163">
        <v>621.17999999999995</v>
      </c>
      <c r="L4" s="3163">
        <v>563.96</v>
      </c>
      <c r="M4" s="3163">
        <v>21.53</v>
      </c>
      <c r="N4" s="2814">
        <v>1.8</v>
      </c>
      <c r="O4" s="2814">
        <f>F4*N4</f>
        <v>6515.4779999999992</v>
      </c>
    </row>
    <row r="5" spans="1:15">
      <c r="A5" s="1421" t="s">
        <v>654</v>
      </c>
      <c r="B5" s="1421" t="s">
        <v>3456</v>
      </c>
      <c r="C5" s="2814" t="s">
        <v>3443</v>
      </c>
      <c r="D5" s="1429" t="s">
        <v>3404</v>
      </c>
      <c r="E5" s="3163">
        <v>6</v>
      </c>
      <c r="F5" s="3166">
        <f t="shared" ref="F5:F16" si="0">SUM(G5:M5)</f>
        <v>2852.3799999999997</v>
      </c>
      <c r="G5" s="3163">
        <v>477.77</v>
      </c>
      <c r="H5" s="3163">
        <v>477.77</v>
      </c>
      <c r="I5" s="3163">
        <v>477.77</v>
      </c>
      <c r="J5" s="3163">
        <v>477.77</v>
      </c>
      <c r="K5" s="3163">
        <v>477.77</v>
      </c>
      <c r="L5" s="3163">
        <v>442.7</v>
      </c>
      <c r="M5" s="3163">
        <v>20.83</v>
      </c>
      <c r="N5" s="2814">
        <f>N4</f>
        <v>1.8</v>
      </c>
      <c r="O5" s="2814">
        <f t="shared" ref="O5:O18" si="1">F5*N5</f>
        <v>5134.2839999999997</v>
      </c>
    </row>
    <row r="6" spans="1:15">
      <c r="A6" s="2814">
        <f>1300/365/B6*10000</f>
        <v>1.8705002463700624</v>
      </c>
      <c r="B6" s="2814">
        <f>F17-F4-F15-F16</f>
        <v>19041.129999999997</v>
      </c>
      <c r="C6" s="2814" t="s">
        <v>3443</v>
      </c>
      <c r="D6" s="1429" t="s">
        <v>3405</v>
      </c>
      <c r="E6" s="3163">
        <v>5</v>
      </c>
      <c r="F6" s="3166">
        <f t="shared" si="0"/>
        <v>1708.23</v>
      </c>
      <c r="G6" s="3163">
        <v>338.25</v>
      </c>
      <c r="H6" s="3163">
        <v>338.25</v>
      </c>
      <c r="I6" s="3163">
        <v>338.25</v>
      </c>
      <c r="J6" s="3163">
        <v>338.25</v>
      </c>
      <c r="K6" s="3163">
        <v>338.25</v>
      </c>
      <c r="L6" s="3163"/>
      <c r="M6" s="3163">
        <v>16.98</v>
      </c>
      <c r="N6" s="2814">
        <f t="shared" ref="N6:N16" si="2">N5</f>
        <v>1.8</v>
      </c>
      <c r="O6" s="2814">
        <f t="shared" si="1"/>
        <v>3074.8140000000003</v>
      </c>
    </row>
    <row r="7" spans="1:15">
      <c r="C7" s="2814" t="s">
        <v>3443</v>
      </c>
      <c r="D7" s="1429" t="s">
        <v>3406</v>
      </c>
      <c r="E7" s="3163">
        <v>4</v>
      </c>
      <c r="F7" s="3166">
        <f t="shared" si="0"/>
        <v>934.2</v>
      </c>
      <c r="G7" s="3163">
        <v>233.55</v>
      </c>
      <c r="H7" s="3163">
        <v>233.55</v>
      </c>
      <c r="I7" s="3163">
        <v>233.55</v>
      </c>
      <c r="J7" s="3163">
        <v>233.55</v>
      </c>
      <c r="K7" s="3163"/>
      <c r="L7" s="3163"/>
      <c r="M7" s="3163"/>
      <c r="N7" s="2814">
        <f t="shared" si="2"/>
        <v>1.8</v>
      </c>
      <c r="O7" s="2814">
        <f t="shared" si="1"/>
        <v>1681.5600000000002</v>
      </c>
    </row>
    <row r="8" spans="1:15">
      <c r="C8" s="2814" t="s">
        <v>3443</v>
      </c>
      <c r="D8" s="1429" t="s">
        <v>3407</v>
      </c>
      <c r="E8" s="3163">
        <v>6</v>
      </c>
      <c r="F8" s="3166">
        <f t="shared" si="0"/>
        <v>1802.81</v>
      </c>
      <c r="G8" s="3163">
        <v>304.14999999999998</v>
      </c>
      <c r="H8" s="3163">
        <v>304.14999999999998</v>
      </c>
      <c r="I8" s="3163">
        <v>304.14999999999998</v>
      </c>
      <c r="J8" s="3163">
        <v>304.14999999999998</v>
      </c>
      <c r="K8" s="3163">
        <v>304.14999999999998</v>
      </c>
      <c r="L8" s="3163">
        <v>232.75</v>
      </c>
      <c r="M8" s="3163">
        <v>49.31</v>
      </c>
      <c r="N8" s="2814">
        <f t="shared" si="2"/>
        <v>1.8</v>
      </c>
      <c r="O8" s="2814">
        <f t="shared" si="1"/>
        <v>3245.058</v>
      </c>
    </row>
    <row r="9" spans="1:15">
      <c r="C9" s="2814" t="s">
        <v>3443</v>
      </c>
      <c r="D9" s="1429" t="s">
        <v>3408</v>
      </c>
      <c r="E9" s="3163">
        <v>6</v>
      </c>
      <c r="F9" s="3166">
        <f t="shared" si="0"/>
        <v>1554.4899999999998</v>
      </c>
      <c r="G9" s="3163">
        <v>269.27</v>
      </c>
      <c r="H9" s="3163">
        <v>269.27</v>
      </c>
      <c r="I9" s="3163">
        <v>269.27</v>
      </c>
      <c r="J9" s="3163">
        <v>269.27</v>
      </c>
      <c r="K9" s="3163">
        <v>269.27</v>
      </c>
      <c r="L9" s="3163">
        <v>208.14</v>
      </c>
      <c r="M9" s="3163"/>
      <c r="N9" s="2814">
        <f t="shared" si="2"/>
        <v>1.8</v>
      </c>
      <c r="O9" s="2814">
        <f t="shared" si="1"/>
        <v>2798.0819999999999</v>
      </c>
    </row>
    <row r="10" spans="1:15">
      <c r="C10" s="2814" t="s">
        <v>3443</v>
      </c>
      <c r="D10" s="1429" t="s">
        <v>3409</v>
      </c>
      <c r="E10" s="3163">
        <v>4</v>
      </c>
      <c r="F10" s="3166">
        <f t="shared" si="0"/>
        <v>2503.52</v>
      </c>
      <c r="G10" s="3163">
        <v>621.65</v>
      </c>
      <c r="H10" s="3163">
        <v>621.65</v>
      </c>
      <c r="I10" s="3163">
        <v>621.65</v>
      </c>
      <c r="J10" s="3163">
        <v>621.65</v>
      </c>
      <c r="K10" s="3163"/>
      <c r="L10" s="3163"/>
      <c r="M10" s="3163">
        <v>16.920000000000002</v>
      </c>
      <c r="N10" s="2814">
        <f t="shared" si="2"/>
        <v>1.8</v>
      </c>
      <c r="O10" s="2814">
        <f t="shared" si="1"/>
        <v>4506.3360000000002</v>
      </c>
    </row>
    <row r="11" spans="1:15">
      <c r="C11" s="2814" t="s">
        <v>3443</v>
      </c>
      <c r="D11" s="1429" t="s">
        <v>3410</v>
      </c>
      <c r="E11" s="3163">
        <v>4</v>
      </c>
      <c r="F11" s="3166">
        <f t="shared" si="0"/>
        <v>1854.08</v>
      </c>
      <c r="G11" s="3163">
        <v>451.69</v>
      </c>
      <c r="H11" s="3163">
        <v>470.62</v>
      </c>
      <c r="I11" s="3163">
        <v>470.62</v>
      </c>
      <c r="J11" s="3163">
        <v>461.15</v>
      </c>
      <c r="K11" s="3163"/>
      <c r="L11" s="3163"/>
      <c r="M11" s="3163"/>
      <c r="N11" s="2814">
        <f t="shared" si="2"/>
        <v>1.8</v>
      </c>
      <c r="O11" s="2814">
        <f t="shared" si="1"/>
        <v>3337.3440000000001</v>
      </c>
    </row>
    <row r="12" spans="1:15">
      <c r="C12" s="2814" t="s">
        <v>3443</v>
      </c>
      <c r="D12" s="1429" t="s">
        <v>3411</v>
      </c>
      <c r="E12" s="3163">
        <v>6</v>
      </c>
      <c r="F12" s="3166">
        <f t="shared" si="0"/>
        <v>2481.52</v>
      </c>
      <c r="G12" s="3163">
        <v>450.65</v>
      </c>
      <c r="H12" s="3163">
        <v>469.58</v>
      </c>
      <c r="I12" s="3163">
        <v>469.58</v>
      </c>
      <c r="J12" s="3163">
        <v>469.58</v>
      </c>
      <c r="K12" s="3163">
        <v>460.11</v>
      </c>
      <c r="L12" s="3163">
        <v>162.02000000000001</v>
      </c>
      <c r="M12" s="3163"/>
      <c r="N12" s="2814">
        <f t="shared" si="2"/>
        <v>1.8</v>
      </c>
      <c r="O12" s="2814">
        <f t="shared" si="1"/>
        <v>4466.7359999999999</v>
      </c>
    </row>
    <row r="13" spans="1:15">
      <c r="C13" s="2814" t="s">
        <v>3443</v>
      </c>
      <c r="D13" s="1429" t="s">
        <v>3413</v>
      </c>
      <c r="E13" s="3163">
        <v>5</v>
      </c>
      <c r="F13" s="3166">
        <f t="shared" si="0"/>
        <v>1399.6000000000001</v>
      </c>
      <c r="G13" s="3163">
        <v>279.92</v>
      </c>
      <c r="H13" s="3163">
        <v>279.92</v>
      </c>
      <c r="I13" s="3163">
        <v>279.92</v>
      </c>
      <c r="J13" s="3163">
        <v>279.92</v>
      </c>
      <c r="K13" s="3163">
        <v>279.92</v>
      </c>
      <c r="L13" s="3163"/>
      <c r="M13" s="3163"/>
      <c r="N13" s="2814">
        <f t="shared" si="2"/>
        <v>1.8</v>
      </c>
      <c r="O13" s="2814">
        <f t="shared" si="1"/>
        <v>2519.2800000000002</v>
      </c>
    </row>
    <row r="14" spans="1:15">
      <c r="C14" s="2814" t="s">
        <v>3443</v>
      </c>
      <c r="D14" s="1429" t="s">
        <v>3414</v>
      </c>
      <c r="E14" s="3163">
        <v>5</v>
      </c>
      <c r="F14" s="3166">
        <f t="shared" si="0"/>
        <v>1950.3</v>
      </c>
      <c r="G14" s="3163">
        <v>390.06</v>
      </c>
      <c r="H14" s="3163">
        <v>390.06</v>
      </c>
      <c r="I14" s="3163">
        <v>390.06</v>
      </c>
      <c r="J14" s="3163">
        <v>390.06</v>
      </c>
      <c r="K14" s="3163">
        <v>390.06</v>
      </c>
      <c r="L14" s="3163"/>
      <c r="M14" s="3163"/>
      <c r="N14" s="2814">
        <f t="shared" si="2"/>
        <v>1.8</v>
      </c>
      <c r="O14" s="2814">
        <f t="shared" si="1"/>
        <v>3510.54</v>
      </c>
    </row>
    <row r="15" spans="1:15">
      <c r="C15" s="2814" t="s">
        <v>3447</v>
      </c>
      <c r="D15" s="1429" t="s">
        <v>3415</v>
      </c>
      <c r="E15" s="3163">
        <v>5</v>
      </c>
      <c r="F15" s="3166">
        <f t="shared" si="0"/>
        <v>1450</v>
      </c>
      <c r="G15" s="3163">
        <v>290</v>
      </c>
      <c r="H15" s="3163">
        <v>290</v>
      </c>
      <c r="I15" s="3163">
        <v>290</v>
      </c>
      <c r="J15" s="3163">
        <v>290</v>
      </c>
      <c r="K15" s="3163">
        <v>290</v>
      </c>
      <c r="L15" s="3163"/>
      <c r="M15" s="3163"/>
      <c r="N15" s="2814">
        <f t="shared" si="2"/>
        <v>1.8</v>
      </c>
      <c r="O15" s="2814">
        <f t="shared" si="1"/>
        <v>2610</v>
      </c>
    </row>
    <row r="16" spans="1:15">
      <c r="C16" s="2814" t="s">
        <v>3447</v>
      </c>
      <c r="D16" s="1429" t="s">
        <v>3416</v>
      </c>
      <c r="E16" s="3163">
        <v>5</v>
      </c>
      <c r="F16" s="3166">
        <f t="shared" si="0"/>
        <v>1394.4499999999998</v>
      </c>
      <c r="G16" s="3163">
        <v>278.89</v>
      </c>
      <c r="H16" s="3163">
        <v>278.89</v>
      </c>
      <c r="I16" s="3163">
        <v>278.89</v>
      </c>
      <c r="J16" s="3163">
        <v>278.89</v>
      </c>
      <c r="K16" s="3163">
        <v>278.89</v>
      </c>
      <c r="L16" s="3163"/>
      <c r="M16" s="3163"/>
      <c r="N16" s="2814">
        <f t="shared" si="2"/>
        <v>1.8</v>
      </c>
      <c r="O16" s="2814">
        <f t="shared" si="1"/>
        <v>2510.0099999999998</v>
      </c>
    </row>
    <row r="17" spans="4:15">
      <c r="D17" s="3163"/>
      <c r="E17" s="3163"/>
      <c r="F17" s="3166">
        <f>SUM(F4:F16)</f>
        <v>25505.289999999997</v>
      </c>
      <c r="G17" s="3163"/>
      <c r="H17" s="3163"/>
      <c r="I17" s="3163"/>
      <c r="J17" s="3163"/>
      <c r="K17" s="3163"/>
      <c r="L17" s="3163"/>
      <c r="M17" s="3163"/>
      <c r="O17" s="2814">
        <f t="shared" si="1"/>
        <v>0</v>
      </c>
    </row>
    <row r="18" spans="4:15">
      <c r="D18" s="1429" t="s">
        <v>3417</v>
      </c>
      <c r="E18" s="3163"/>
      <c r="F18" s="3166">
        <v>8089.01</v>
      </c>
      <c r="G18" s="3163"/>
      <c r="H18" s="3163"/>
      <c r="I18" s="3163"/>
      <c r="J18" s="3163"/>
      <c r="K18" s="3163"/>
      <c r="L18" s="3163">
        <f>F18/35</f>
        <v>231.11457142857142</v>
      </c>
      <c r="M18" s="1429" t="s">
        <v>3455</v>
      </c>
      <c r="O18" s="2814">
        <f t="shared" si="1"/>
        <v>0</v>
      </c>
    </row>
    <row r="19" spans="4:15">
      <c r="F19" s="2814">
        <f>F17+F18</f>
        <v>33594.299999999996</v>
      </c>
      <c r="N19" s="2814">
        <f>O19/F19</f>
        <v>1.3665866530929356</v>
      </c>
      <c r="O19" s="2814">
        <f>SUM(O4:O18)</f>
        <v>45909.521999999997</v>
      </c>
    </row>
    <row r="21" spans="4:15">
      <c r="F21" s="2814">
        <v>9000</v>
      </c>
    </row>
    <row r="22" spans="4:15">
      <c r="F22" s="2814">
        <f>F17*F21</f>
        <v>229547609.99999997</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13333.33</v>
      </c>
      <c r="B3" s="11">
        <f>IF(C3="否",G5-AT5,G5)</f>
        <v>33594.299999999996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33594.299999999996</v>
      </c>
      <c r="H5" s="13">
        <f t="shared" ref="H5:AT5" si="0">SUM(H13:H656)</f>
        <v>33594.299999999996</v>
      </c>
      <c r="I5" s="13">
        <f t="shared" si="0"/>
        <v>25505.289999999997</v>
      </c>
      <c r="J5" s="13">
        <f t="shared" si="0"/>
        <v>0</v>
      </c>
      <c r="K5" s="13">
        <f t="shared" si="0"/>
        <v>8089.01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33594.299999999996</v>
      </c>
      <c r="BA5" s="15">
        <f t="shared" si="1"/>
        <v>33594.299999999996</v>
      </c>
      <c r="BB5" s="15">
        <f t="shared" si="1"/>
        <v>25505.289999999997</v>
      </c>
      <c r="BC5" s="15">
        <f t="shared" si="1"/>
        <v>8089.01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13333.33</v>
      </c>
      <c r="F6" s="13" t="s">
        <v>0</v>
      </c>
      <c r="G6" s="13" t="s">
        <v>1</v>
      </c>
      <c r="H6" s="17">
        <f>SUMIF(I$12:AB$12,"总值",I6:AB6)</f>
        <v>13333.33</v>
      </c>
      <c r="I6" s="13">
        <f t="shared" ref="I6:AB6" si="2">ROUND($A$3*I5/$B$3,2)</f>
        <v>10122.86</v>
      </c>
      <c r="J6" s="13">
        <f t="shared" si="2"/>
        <v>0</v>
      </c>
      <c r="K6" s="13">
        <f t="shared" si="2"/>
        <v>3210.47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13333.33</v>
      </c>
      <c r="AZ6" s="13" t="s">
        <v>2</v>
      </c>
      <c r="BA6" s="13">
        <f>ROUND($AY$6*BA5/$AZ$5,2)</f>
        <v>13333.33</v>
      </c>
      <c r="BB6" s="13">
        <f>ROUND($AY$6*BB5/$AZ$5,2)</f>
        <v>10122.86</v>
      </c>
      <c r="BC6" s="13">
        <f t="shared" ref="BC6:BH6" si="4">ROUND($AY$6*BC5/$AZ$5,2)</f>
        <v>3210.47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3430</v>
      </c>
      <c r="J9" s="761"/>
      <c r="K9" s="1491" t="s">
        <v>3431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t="s">
        <v>3324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64" t="s">
        <v>3446</v>
      </c>
      <c r="C13" s="628" t="str">
        <f>Sheet1!D4</f>
        <v>A1</v>
      </c>
      <c r="D13" s="1513" t="s">
        <v>3433</v>
      </c>
      <c r="E13" s="13">
        <f>IF($C$3="是",ROUND($A$3*G13/$B$3,2),ROUND($A$3*(G13-AT13)/$B$3,2))</f>
        <v>1436.64</v>
      </c>
      <c r="F13" s="29"/>
      <c r="G13" s="30">
        <f>H13+AC13+AT13</f>
        <v>3619.7099999999996</v>
      </c>
      <c r="H13" s="17">
        <f>SUMIF(I$12:AB$12,"总值",I13:AB13)</f>
        <v>3619.7099999999996</v>
      </c>
      <c r="I13" s="1514">
        <f>Sheet1!F4</f>
        <v>3619.7099999999996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自用</v>
      </c>
      <c r="AX13" s="8" t="str">
        <f t="shared" si="6"/>
        <v>A1</v>
      </c>
      <c r="AY13" s="1260">
        <f>ROUND($AY$6*AZ13/$AZ$5,2)</f>
        <v>1436.64</v>
      </c>
      <c r="AZ13" s="13">
        <f>BA13+BL13</f>
        <v>3619.7099999999996</v>
      </c>
      <c r="BA13" s="13">
        <f>SUM(BB13:BK13)</f>
        <v>3619.7099999999996</v>
      </c>
      <c r="BB13" s="13">
        <f>IF($D13="是",I13-J13,0)</f>
        <v>3619.7099999999996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64" t="s">
        <v>3444</v>
      </c>
      <c r="C14" s="628" t="str">
        <f>Sheet1!D5</f>
        <v>A2</v>
      </c>
      <c r="D14" s="1513" t="s">
        <v>3433</v>
      </c>
      <c r="E14" s="13">
        <f>IF($C$3="是",ROUND($A$3*G14/$B$3,2),ROUND($A$3*(G14-AT14)/$B$3,2))</f>
        <v>1132.0899999999999</v>
      </c>
      <c r="F14" s="29"/>
      <c r="G14" s="30">
        <f>H14+AC14+AT14</f>
        <v>2852.3799999999997</v>
      </c>
      <c r="H14" s="17">
        <f>SUMIF(I$12:AB$12,"总值",I14:AB14)</f>
        <v>2852.3799999999997</v>
      </c>
      <c r="I14" s="1514">
        <f>Sheet1!F5</f>
        <v>2852.3799999999997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t="str">
        <f t="shared" si="6"/>
        <v>出租</v>
      </c>
      <c r="AX14" s="8" t="str">
        <f t="shared" si="6"/>
        <v>A2</v>
      </c>
      <c r="AY14" s="1260">
        <f>ROUND($AY$6*AZ14/$AZ$5,2)</f>
        <v>1132.0899999999999</v>
      </c>
      <c r="AZ14" s="13">
        <f>BA14+BL14</f>
        <v>2852.3799999999997</v>
      </c>
      <c r="BA14" s="13">
        <f>SUM(BB14:BK14)</f>
        <v>2852.3799999999997</v>
      </c>
      <c r="BB14" s="13">
        <f>IF($D14="是",I14-J14,0)</f>
        <v>2852.3799999999997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64" t="s">
        <v>3444</v>
      </c>
      <c r="C15" s="628" t="str">
        <f>Sheet1!D6</f>
        <v>A3</v>
      </c>
      <c r="D15" s="1513" t="s">
        <v>3433</v>
      </c>
      <c r="E15" s="13">
        <f>IF($C$3="是",ROUND($A$3*G15/$B$3,2),ROUND($A$3*(G15-AT15)/$B$3,2))</f>
        <v>677.98</v>
      </c>
      <c r="F15" s="29"/>
      <c r="G15" s="30">
        <f>H15+AC15+AT15</f>
        <v>1708.23</v>
      </c>
      <c r="H15" s="17">
        <f>SUMIF(I$12:AB$12,"总值",I15:AB15)</f>
        <v>1708.23</v>
      </c>
      <c r="I15" s="1514">
        <f>Sheet1!F6</f>
        <v>1708.23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t="str">
        <f t="shared" si="6"/>
        <v>出租</v>
      </c>
      <c r="AX15" s="8" t="str">
        <f t="shared" si="6"/>
        <v>A3</v>
      </c>
      <c r="AY15" s="1260">
        <f>ROUND($AY$6*AZ15/$AZ$5,2)</f>
        <v>677.98</v>
      </c>
      <c r="AZ15" s="13">
        <f>BA15+BL15</f>
        <v>1708.23</v>
      </c>
      <c r="BA15" s="13">
        <f>SUM(BB15:BK15)</f>
        <v>1708.23</v>
      </c>
      <c r="BB15" s="13">
        <f>IF($D15="是",I15-J15,0)</f>
        <v>1708.23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64" t="s">
        <v>3444</v>
      </c>
      <c r="C16" s="628" t="str">
        <f>Sheet1!D7</f>
        <v>A4</v>
      </c>
      <c r="D16" s="1513" t="s">
        <v>3433</v>
      </c>
      <c r="E16" s="13">
        <f>IF($C$3="是",ROUND($A$3*G16/$B$3,2),ROUND($A$3*(G16-AT16)/$B$3,2))</f>
        <v>370.78</v>
      </c>
      <c r="F16" s="29"/>
      <c r="G16" s="30">
        <f>H16+AC16+AT16</f>
        <v>934.2</v>
      </c>
      <c r="H16" s="17">
        <f>SUMIF(I$12:AB$12,"总值",I16:AB16)</f>
        <v>934.2</v>
      </c>
      <c r="I16" s="1514">
        <f>Sheet1!F7</f>
        <v>934.2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t="str">
        <f t="shared" si="6"/>
        <v>出租</v>
      </c>
      <c r="AX16" s="8" t="str">
        <f t="shared" si="6"/>
        <v>A4</v>
      </c>
      <c r="AY16" s="1260">
        <f>ROUND($AY$6*AZ16/$AZ$5,2)</f>
        <v>370.78</v>
      </c>
      <c r="AZ16" s="13">
        <f>BA16+BL16</f>
        <v>934.2</v>
      </c>
      <c r="BA16" s="13">
        <f>SUM(BB16:BK16)</f>
        <v>934.2</v>
      </c>
      <c r="BB16" s="13">
        <f>IF($D16="是",I16-J16,0)</f>
        <v>934.2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64" t="s">
        <v>3444</v>
      </c>
      <c r="C17" s="628" t="str">
        <f>Sheet1!D8</f>
        <v>A5</v>
      </c>
      <c r="D17" s="1513" t="s">
        <v>3433</v>
      </c>
      <c r="E17" s="13">
        <f>IF($C$3="是",ROUND($A$3*G17/$B$3,2),ROUND($A$3*(G17-AT17)/$B$3,2))</f>
        <v>715.52</v>
      </c>
      <c r="F17" s="29"/>
      <c r="G17" s="30">
        <f>H17+AC17+AT17</f>
        <v>1802.81</v>
      </c>
      <c r="H17" s="17">
        <f>SUMIF(I$12:AB$12,"总值",I17:AB17)</f>
        <v>1802.81</v>
      </c>
      <c r="I17" s="1514">
        <f>Sheet1!F8</f>
        <v>1802.81</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t="str">
        <f t="shared" si="6"/>
        <v>出租</v>
      </c>
      <c r="AX17" s="8" t="str">
        <f t="shared" si="6"/>
        <v>A5</v>
      </c>
      <c r="AY17" s="1260">
        <f>ROUND($AY$6*AZ17/$AZ$5,2)</f>
        <v>715.52</v>
      </c>
      <c r="AZ17" s="13">
        <f>BA17+BL17</f>
        <v>1802.81</v>
      </c>
      <c r="BA17" s="13">
        <f>SUM(BB17:BK17)</f>
        <v>1802.81</v>
      </c>
      <c r="BB17" s="13">
        <f>IF($D17="是",I17-J17,0)</f>
        <v>1802.81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64" t="s">
        <v>3444</v>
      </c>
      <c r="C18" s="628" t="str">
        <f>Sheet1!D9</f>
        <v>A6</v>
      </c>
      <c r="D18" s="1513" t="s">
        <v>3433</v>
      </c>
      <c r="E18" s="32">
        <f t="shared" ref="E18:E112" si="7">IF($C$3="是",ROUND($A$3*G18/$B$3,2),ROUND($A$3*(G18-AT18)/$B$3,2))</f>
        <v>616.97</v>
      </c>
      <c r="F18" s="33"/>
      <c r="G18" s="34">
        <f t="shared" ref="G18:G109" si="8">H18+AC18+AT18</f>
        <v>1554.4899999999998</v>
      </c>
      <c r="H18" s="35">
        <f t="shared" ref="H18:H109" si="9">SUMIF(I$12:AB$12,"总值",I18:AB18)</f>
        <v>1554.4899999999998</v>
      </c>
      <c r="I18" s="1514">
        <f>Sheet1!F9</f>
        <v>1554.4899999999998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t="str">
        <f t="shared" ref="AW18:AW112" si="12">B18</f>
        <v>出租</v>
      </c>
      <c r="AX18" s="530" t="str">
        <f t="shared" ref="AX18:AX112" si="13">C18</f>
        <v>A6</v>
      </c>
      <c r="AY18" s="38">
        <f t="shared" ref="AY18:AY109" si="14">ROUND($AY$6*AZ18/$AZ$5,2)</f>
        <v>616.97</v>
      </c>
      <c r="AZ18" s="32">
        <f t="shared" ref="AZ18:AZ109" si="15">BA18+BL18</f>
        <v>1554.4899999999998</v>
      </c>
      <c r="BA18" s="32">
        <f t="shared" ref="BA18:BA109" si="16">SUM(BB18:BK18)</f>
        <v>1554.4899999999998</v>
      </c>
      <c r="BB18" s="32">
        <f t="shared" ref="BB18:BB109" si="17">IF($D18="是",I18-J18,0)</f>
        <v>1554.4899999999998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64" t="s">
        <v>3444</v>
      </c>
      <c r="C19" s="628" t="str">
        <f>Sheet1!D10</f>
        <v>A7</v>
      </c>
      <c r="D19" s="1513" t="s">
        <v>3433</v>
      </c>
      <c r="E19" s="32">
        <f t="shared" si="7"/>
        <v>993.63</v>
      </c>
      <c r="F19" s="33"/>
      <c r="G19" s="34">
        <f t="shared" si="8"/>
        <v>2503.52</v>
      </c>
      <c r="H19" s="35">
        <f t="shared" si="9"/>
        <v>2503.52</v>
      </c>
      <c r="I19" s="1514">
        <f>Sheet1!F10</f>
        <v>2503.52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t="str">
        <f t="shared" si="12"/>
        <v>出租</v>
      </c>
      <c r="AX19" s="530" t="str">
        <f t="shared" si="13"/>
        <v>A7</v>
      </c>
      <c r="AY19" s="38">
        <f t="shared" si="14"/>
        <v>993.63</v>
      </c>
      <c r="AZ19" s="32">
        <f t="shared" si="15"/>
        <v>2503.52</v>
      </c>
      <c r="BA19" s="32">
        <f t="shared" si="16"/>
        <v>2503.52</v>
      </c>
      <c r="BB19" s="32">
        <f t="shared" si="17"/>
        <v>2503.52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64" t="s">
        <v>3444</v>
      </c>
      <c r="C20" s="628" t="str">
        <f>Sheet1!D11</f>
        <v>A8</v>
      </c>
      <c r="D20" s="1513" t="s">
        <v>3433</v>
      </c>
      <c r="E20" s="32">
        <f t="shared" si="7"/>
        <v>735.87</v>
      </c>
      <c r="F20" s="33"/>
      <c r="G20" s="34">
        <f t="shared" si="8"/>
        <v>1854.08</v>
      </c>
      <c r="H20" s="35">
        <f t="shared" si="9"/>
        <v>1854.08</v>
      </c>
      <c r="I20" s="1514">
        <f>Sheet1!F11</f>
        <v>1854.08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t="str">
        <f t="shared" si="12"/>
        <v>出租</v>
      </c>
      <c r="AX20" s="530" t="str">
        <f t="shared" si="13"/>
        <v>A8</v>
      </c>
      <c r="AY20" s="38">
        <f t="shared" si="14"/>
        <v>735.87</v>
      </c>
      <c r="AZ20" s="32">
        <f t="shared" si="15"/>
        <v>1854.08</v>
      </c>
      <c r="BA20" s="32">
        <f t="shared" si="16"/>
        <v>1854.08</v>
      </c>
      <c r="BB20" s="32">
        <f t="shared" si="17"/>
        <v>1854.08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64" t="s">
        <v>3444</v>
      </c>
      <c r="C21" s="628" t="str">
        <f>Sheet1!D12</f>
        <v>A9</v>
      </c>
      <c r="D21" s="1513" t="s">
        <v>3433</v>
      </c>
      <c r="E21" s="32">
        <f t="shared" si="7"/>
        <v>984.9</v>
      </c>
      <c r="F21" s="33"/>
      <c r="G21" s="34">
        <f t="shared" si="8"/>
        <v>2481.52</v>
      </c>
      <c r="H21" s="35">
        <f t="shared" si="9"/>
        <v>2481.52</v>
      </c>
      <c r="I21" s="1514">
        <f>Sheet1!F12</f>
        <v>2481.52</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t="str">
        <f t="shared" si="12"/>
        <v>出租</v>
      </c>
      <c r="AX21" s="530" t="str">
        <f t="shared" si="13"/>
        <v>A9</v>
      </c>
      <c r="AY21" s="38">
        <f t="shared" si="14"/>
        <v>984.9</v>
      </c>
      <c r="AZ21" s="32">
        <f t="shared" si="15"/>
        <v>2481.52</v>
      </c>
      <c r="BA21" s="32">
        <f t="shared" si="16"/>
        <v>2481.52</v>
      </c>
      <c r="BB21" s="32">
        <f t="shared" si="17"/>
        <v>2481.52</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64" t="s">
        <v>3444</v>
      </c>
      <c r="C22" s="628" t="str">
        <f>Sheet1!D13</f>
        <v>B1</v>
      </c>
      <c r="D22" s="1513" t="s">
        <v>3433</v>
      </c>
      <c r="E22" s="32">
        <f t="shared" si="7"/>
        <v>555.49</v>
      </c>
      <c r="F22" s="33"/>
      <c r="G22" s="34">
        <f t="shared" si="8"/>
        <v>1399.6000000000001</v>
      </c>
      <c r="H22" s="35">
        <f t="shared" si="9"/>
        <v>1399.6000000000001</v>
      </c>
      <c r="I22" s="1514">
        <f>Sheet1!F13</f>
        <v>1399.6000000000001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t="str">
        <f t="shared" si="12"/>
        <v>出租</v>
      </c>
      <c r="AX22" s="530" t="str">
        <f t="shared" si="13"/>
        <v>B1</v>
      </c>
      <c r="AY22" s="38">
        <f t="shared" si="14"/>
        <v>555.49</v>
      </c>
      <c r="AZ22" s="32">
        <f t="shared" si="15"/>
        <v>1399.6000000000001</v>
      </c>
      <c r="BA22" s="32">
        <f t="shared" si="16"/>
        <v>1399.6000000000001</v>
      </c>
      <c r="BB22" s="32">
        <f t="shared" si="17"/>
        <v>1399.6000000000001</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64" t="s">
        <v>3444</v>
      </c>
      <c r="C23" s="628" t="str">
        <f>Sheet1!D14</f>
        <v>B2</v>
      </c>
      <c r="D23" s="1513" t="s">
        <v>3433</v>
      </c>
      <c r="E23" s="32">
        <f t="shared" si="7"/>
        <v>774.06</v>
      </c>
      <c r="F23" s="33"/>
      <c r="G23" s="34">
        <f t="shared" si="8"/>
        <v>1950.3</v>
      </c>
      <c r="H23" s="35">
        <f t="shared" si="9"/>
        <v>1950.3</v>
      </c>
      <c r="I23" s="1514">
        <f>Sheet1!F14</f>
        <v>1950.3</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t="str">
        <f t="shared" si="12"/>
        <v>出租</v>
      </c>
      <c r="AX23" s="530" t="str">
        <f t="shared" si="13"/>
        <v>B2</v>
      </c>
      <c r="AY23" s="38">
        <f t="shared" si="14"/>
        <v>774.06</v>
      </c>
      <c r="AZ23" s="32">
        <f t="shared" si="15"/>
        <v>1950.3</v>
      </c>
      <c r="BA23" s="32">
        <f t="shared" si="16"/>
        <v>1950.3</v>
      </c>
      <c r="BB23" s="32">
        <f t="shared" si="17"/>
        <v>1950.3</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14.4">
      <c r="A24" s="6"/>
      <c r="B24" s="3165" t="s">
        <v>3448</v>
      </c>
      <c r="C24" s="628" t="str">
        <f>Sheet1!D15</f>
        <v>B3</v>
      </c>
      <c r="D24" s="1513" t="s">
        <v>3433</v>
      </c>
      <c r="E24" s="32">
        <f t="shared" si="7"/>
        <v>575.49</v>
      </c>
      <c r="F24" s="33"/>
      <c r="G24" s="34">
        <f t="shared" si="8"/>
        <v>1450</v>
      </c>
      <c r="H24" s="35">
        <f t="shared" si="9"/>
        <v>1450</v>
      </c>
      <c r="I24" s="1514">
        <f>Sheet1!F15</f>
        <v>1450</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t="str">
        <f t="shared" si="12"/>
        <v>空置</v>
      </c>
      <c r="AX24" s="530" t="str">
        <f t="shared" si="13"/>
        <v>B3</v>
      </c>
      <c r="AY24" s="38">
        <f t="shared" si="14"/>
        <v>575.49</v>
      </c>
      <c r="AZ24" s="32">
        <f t="shared" si="15"/>
        <v>1450</v>
      </c>
      <c r="BA24" s="32">
        <f t="shared" si="16"/>
        <v>1450</v>
      </c>
      <c r="BB24" s="32">
        <f t="shared" si="17"/>
        <v>1450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14.4">
      <c r="A25" s="6"/>
      <c r="B25" s="3165" t="s">
        <v>3448</v>
      </c>
      <c r="C25" s="628" t="str">
        <f>Sheet1!D16</f>
        <v>B4</v>
      </c>
      <c r="D25" s="1513" t="s">
        <v>3433</v>
      </c>
      <c r="E25" s="32">
        <f t="shared" si="7"/>
        <v>553.45000000000005</v>
      </c>
      <c r="F25" s="33"/>
      <c r="G25" s="34">
        <f t="shared" si="8"/>
        <v>1394.4499999999998</v>
      </c>
      <c r="H25" s="35">
        <f t="shared" si="9"/>
        <v>1394.4499999999998</v>
      </c>
      <c r="I25" s="1514">
        <f>Sheet1!F16</f>
        <v>1394.4499999999998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t="str">
        <f t="shared" si="12"/>
        <v>空置</v>
      </c>
      <c r="AX25" s="530" t="str">
        <f t="shared" si="13"/>
        <v>B4</v>
      </c>
      <c r="AY25" s="38">
        <f t="shared" si="14"/>
        <v>553.45000000000005</v>
      </c>
      <c r="AZ25" s="32">
        <f t="shared" si="15"/>
        <v>1394.4499999999998</v>
      </c>
      <c r="BA25" s="32">
        <f t="shared" si="16"/>
        <v>1394.4499999999998</v>
      </c>
      <c r="BB25" s="32">
        <f t="shared" si="17"/>
        <v>1394.4499999999998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t="str">
        <f>Sheet1!D18</f>
        <v>地下车库</v>
      </c>
      <c r="D26" s="1513" t="s">
        <v>3433</v>
      </c>
      <c r="E26" s="32">
        <f t="shared" si="7"/>
        <v>3210.47</v>
      </c>
      <c r="F26" s="33"/>
      <c r="G26" s="34">
        <f t="shared" si="8"/>
        <v>8089.01</v>
      </c>
      <c r="H26" s="35">
        <f t="shared" si="9"/>
        <v>8089.01</v>
      </c>
      <c r="I26" s="36"/>
      <c r="J26" s="36"/>
      <c r="K26" s="36">
        <f>Sheet1!F18</f>
        <v>8089.01</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t="str">
        <f t="shared" si="13"/>
        <v>地下车库</v>
      </c>
      <c r="AY26" s="38">
        <f t="shared" si="14"/>
        <v>3210.47</v>
      </c>
      <c r="AZ26" s="32">
        <f t="shared" si="15"/>
        <v>8089.01</v>
      </c>
      <c r="BA26" s="32">
        <f t="shared" si="16"/>
        <v>8089.01</v>
      </c>
      <c r="BB26" s="32">
        <f t="shared" si="17"/>
        <v>0</v>
      </c>
      <c r="BC26" s="32">
        <f t="shared" si="18"/>
        <v>8089.01</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9"/>
      <c r="G2" s="2432"/>
      <c r="H2" s="2433"/>
      <c r="I2" s="2146" t="s">
        <v>1132</v>
      </c>
      <c r="J2" s="2439"/>
      <c r="K2" s="2439"/>
      <c r="L2" s="2439"/>
      <c r="M2" s="2439"/>
      <c r="N2" s="2440"/>
      <c r="O2" s="2439"/>
      <c r="P2" s="2439"/>
    </row>
    <row r="3" spans="1:16" ht="15" thickBot="1">
      <c r="A3" s="3248" t="s">
        <v>1105</v>
      </c>
      <c r="B3" s="3248"/>
      <c r="C3" s="3248"/>
      <c r="D3" s="41">
        <f>'数据-基础表'!AY6</f>
        <v>13333.33</v>
      </c>
      <c r="E3" s="41">
        <f>'数据-基础表'!AZ5</f>
        <v>33594.299999999996</v>
      </c>
      <c r="F3" s="2439"/>
      <c r="G3" s="42"/>
      <c r="H3" s="43" t="s">
        <v>1106</v>
      </c>
      <c r="I3" s="802">
        <f>ROUND('数据-基础表'!B3/'数据-基础表'!A3,2)</f>
        <v>2.52</v>
      </c>
      <c r="J3" s="2439"/>
      <c r="K3" s="2439"/>
      <c r="L3" s="2439"/>
      <c r="M3" s="2439"/>
      <c r="N3" s="2440"/>
      <c r="O3" s="2439"/>
      <c r="P3" s="2439"/>
    </row>
    <row r="4" spans="1:16" ht="14.4">
      <c r="A4" s="3249"/>
      <c r="B4" s="3250"/>
      <c r="C4" s="3251"/>
      <c r="D4" s="1524" t="s">
        <v>1107</v>
      </c>
      <c r="E4" s="1525" t="s">
        <v>1108</v>
      </c>
      <c r="F4" s="2439"/>
      <c r="G4" s="2434" t="s">
        <v>1133</v>
      </c>
      <c r="H4" s="43" t="s">
        <v>1113</v>
      </c>
      <c r="I4" s="802">
        <f>ROUND(SUMIF('数据-基础表'!I9:AS9,"地上",'数据-基础表'!I5:AS5)/'数据-基础表'!A3,2)</f>
        <v>1.91</v>
      </c>
      <c r="J4" s="2439"/>
      <c r="K4" s="2439"/>
      <c r="L4" s="2439"/>
      <c r="M4" s="2439"/>
      <c r="N4" s="2440"/>
      <c r="O4" s="2439"/>
      <c r="P4" s="2439"/>
    </row>
    <row r="5" spans="1:16" ht="14.4">
      <c r="A5" s="42" t="s">
        <v>1109</v>
      </c>
      <c r="B5" s="3252" t="s">
        <v>1110</v>
      </c>
      <c r="C5" s="3252"/>
      <c r="D5" s="43">
        <f>ROUND($D$3*E5/$E$3,2)</f>
        <v>0</v>
      </c>
      <c r="E5" s="44">
        <f>SUMIF('数据-基础表'!$11:$11,"住宅",'数据-基础表'!$5:$5)</f>
        <v>0</v>
      </c>
      <c r="F5" s="2439"/>
      <c r="G5" s="42"/>
      <c r="H5" s="43" t="s">
        <v>1106</v>
      </c>
      <c r="I5" s="802">
        <f>ROUND(E31/D31,2)</f>
        <v>2.52</v>
      </c>
      <c r="J5" s="2439"/>
      <c r="K5" s="2439"/>
      <c r="L5" s="2439"/>
      <c r="M5" s="2439"/>
      <c r="N5" s="2439"/>
      <c r="O5" s="2439"/>
      <c r="P5" s="2439"/>
    </row>
    <row r="6" spans="1:16" ht="15" thickBot="1">
      <c r="A6" s="1527"/>
      <c r="B6" s="3252" t="s">
        <v>1111</v>
      </c>
      <c r="C6" s="3252"/>
      <c r="D6" s="43">
        <f>ROUND($D$3*E6/$E$3,2)</f>
        <v>13333.33</v>
      </c>
      <c r="E6" s="44">
        <f>E3-E5</f>
        <v>33594.299999999996</v>
      </c>
      <c r="F6" s="2439"/>
      <c r="G6" s="1529" t="s">
        <v>1112</v>
      </c>
      <c r="H6" s="45" t="s">
        <v>1113</v>
      </c>
      <c r="I6" s="2435">
        <f>ROUND(F31/D31,2)</f>
        <v>1.91</v>
      </c>
      <c r="J6" s="2439"/>
      <c r="K6" s="2439"/>
      <c r="L6" s="2439"/>
      <c r="M6" s="2439"/>
      <c r="N6" s="2439"/>
      <c r="O6" s="2439"/>
      <c r="P6" s="2439"/>
    </row>
    <row r="7" spans="1:16" ht="15" thickBot="1">
      <c r="A7" s="3244"/>
      <c r="B7" s="3245"/>
      <c r="C7" s="3246"/>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10122.86</v>
      </c>
      <c r="E8" s="46">
        <f>SUMIF('数据-基础表'!BB10:BK10,"地上",'数据-基础表'!BB5:BK5)</f>
        <v>25505.289999999997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3210.47</v>
      </c>
      <c r="E13" s="46">
        <f>SUMPRODUCT(('数据-基础表'!BB10:BK10="地下")*('数据-基础表'!BB11:BK11="车库")*('数据-基础表'!BB5:BK5))</f>
        <v>8089.01</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13333.33</v>
      </c>
      <c r="E16" s="48">
        <f>SUM(E8:E15)</f>
        <v>33594.299999999996</v>
      </c>
      <c r="F16" s="2439"/>
      <c r="G16" s="2439"/>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3432</v>
      </c>
      <c r="D19" s="43">
        <f>ROUND($D$3*E19/$E$3,2)</f>
        <v>13333.33</v>
      </c>
      <c r="E19" s="51">
        <f t="shared" ref="E19:E26" si="1">SUM(F19:G19)</f>
        <v>33594.299999999996</v>
      </c>
      <c r="F19" s="2558">
        <f>'数据-基础表'!I5</f>
        <v>25505.289999999997</v>
      </c>
      <c r="G19" s="1243">
        <f>'数据-基础表'!K5</f>
        <v>8089.01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13333.33</v>
      </c>
      <c r="S19" s="51">
        <f t="shared" si="5"/>
        <v>33594.299999999996</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13333.33</v>
      </c>
      <c r="E27" s="1073">
        <f>IF(SUM(E19:E26)='数据-基础表'!BA5,SUM(E19:E26),IF(F27="地上面积有误","面积有误","地下面积有误"))</f>
        <v>33594.299999999996</v>
      </c>
      <c r="F27" s="1072">
        <f>IF(SUM(F19:F26)=E8,SUM(F19:F26),"地上面积有误")</f>
        <v>25505.289999999997</v>
      </c>
      <c r="G27" s="1074">
        <f>SUM(G19:G26)</f>
        <v>8089.01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13333.33</v>
      </c>
      <c r="S27" s="43">
        <f>IF(SUM(S19:S26)=$E$3,SUM(S19:S26),SUM(S19:S26)&amp;"误差"&amp;ROUND(SUM(S19:S26)-E3,2))</f>
        <v>33594.299999999996</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13333.33</v>
      </c>
      <c r="E31" s="643">
        <f>E27+E30</f>
        <v>33594.299999999996</v>
      </c>
      <c r="F31" s="644">
        <f>F27+F30</f>
        <v>25505.289999999997</v>
      </c>
      <c r="G31" s="645">
        <f>G27+G30</f>
        <v>8089.01</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S12" activePane="bottomRight" state="frozen"/>
      <selection activeCell="C50" sqref="C50"/>
      <selection pane="topRight" activeCell="C50" sqref="C50"/>
      <selection pane="bottomLeft" activeCell="C50" sqref="C50"/>
      <selection pane="bottomRight" activeCell="Z28" sqref="Z2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45776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59218</v>
      </c>
      <c r="F6" s="61">
        <f>SUMIF(项目基本情况!C$12:I$12,C6,项目基本情况!C$15:I$15)</f>
        <v>36.82</v>
      </c>
      <c r="G6" s="62">
        <f>IF(ISERROR(ROUND(POWER(1+H6,D6-F6)*(POWER(1+H6,F6)-1)/(POWER(1+H6,D6)-1),3)),0,ROUND(POWER(1+H6,D6-F6)*(POWER(1+H6,F6)-1)/(POWER(1+H6,D6)-1),3))</f>
        <v>0.90200000000000002</v>
      </c>
      <c r="H6" s="691">
        <v>4.4999999999999998E-2</v>
      </c>
      <c r="I6" s="691">
        <v>0.05</v>
      </c>
      <c r="J6" s="63">
        <v>7.0000000000000007E-2</v>
      </c>
      <c r="K6" s="970">
        <f>SUMIF('数据-汇总表'!C$19:C$33,A6,'数据-汇总表'!E$19:E$33)</f>
        <v>33594.299999999996</v>
      </c>
      <c r="L6" s="692">
        <v>3500</v>
      </c>
      <c r="M6" s="64">
        <f t="shared" ref="M6:M14" si="0">ROUND(K6*L6/10000,0)</f>
        <v>11758</v>
      </c>
      <c r="N6" s="690">
        <f>ROUND(1-(1-0%)*(2025-2016)/60,2)</f>
        <v>0.85</v>
      </c>
      <c r="O6" s="64" t="str">
        <f>IF($N$5="成新度","——",ROUND(M6*N6,0))</f>
        <v>——</v>
      </c>
      <c r="P6" s="65" t="str">
        <f>IF($N$5="成新度","——",M6-O6)</f>
        <v>——</v>
      </c>
      <c r="Q6" s="693">
        <v>0.1</v>
      </c>
      <c r="R6" s="66">
        <f ca="1">SUMIF('数据-汇总表'!C$19:C$33,A6,'数据-汇总表'!R$19:R$27)</f>
        <v>13333.33</v>
      </c>
      <c r="S6" s="49">
        <f>IF('数据-汇总表'!$I$17="按面积比例",SUMIF('数据-汇总表'!C$19:C$33,A6,'数据-汇总表'!K$19:K$33),SUMIF('数据-汇总表'!C$19:C$33,A6,'数据-汇总表'!N$19:N$33))</f>
        <v>0</v>
      </c>
      <c r="T6" s="1092">
        <f>ROUND($L$14*S6/10000,0)</f>
        <v>0</v>
      </c>
      <c r="U6" s="3127">
        <f>Sheet1!N19</f>
        <v>1.3665866530929356</v>
      </c>
      <c r="V6" s="67">
        <v>0.02</v>
      </c>
      <c r="W6" s="67">
        <v>0.15</v>
      </c>
      <c r="X6" s="979"/>
      <c r="Y6" s="68">
        <f>N6</f>
        <v>0.85</v>
      </c>
      <c r="Z6" s="69"/>
      <c r="AA6" s="63"/>
      <c r="AB6" s="63"/>
      <c r="AC6" s="979"/>
      <c r="AD6" s="70"/>
      <c r="AE6" s="980">
        <f ca="1">IF(AN6="",0,SUMIF(INDIRECT("'"&amp;AN6&amp;"'"&amp;"!E:E"),$AE$5,INDIRECT("'"&amp;AN6&amp;"'"&amp;"!F:F")))</f>
        <v>36.82</v>
      </c>
      <c r="AF6" s="74"/>
      <c r="AG6" s="130">
        <f>IF(AF6="",0,AE6-AF6)</f>
        <v>0</v>
      </c>
      <c r="AH6" s="71"/>
      <c r="AI6" s="73">
        <v>365</v>
      </c>
      <c r="AJ6" s="74"/>
      <c r="AK6" s="75">
        <v>2E-3</v>
      </c>
      <c r="AL6" s="76">
        <v>1E-3</v>
      </c>
      <c r="AM6" s="77">
        <v>5.0000000000000001E-3</v>
      </c>
      <c r="AN6" s="1589" t="s">
        <v>3449</v>
      </c>
      <c r="AO6" s="50">
        <f ca="1">SUMIF(INDIRECT("'"&amp;AN6&amp;"'"&amp;"!A:A"),"总价",INDIRECT("'"&amp;AN6&amp;"'"&amp;"!B:B"))</f>
        <v>25145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0.90200000000000002</v>
      </c>
      <c r="H16" s="84">
        <f>ROUND(SUMPRODUCT(H6:H13,K6:K13)/SUMPRODUCT((H6:H13&gt;0)*(K6:K13)),3)</f>
        <v>4.4999999999999998E-2</v>
      </c>
      <c r="I16" s="85"/>
      <c r="J16" s="85"/>
      <c r="K16" s="86">
        <f>SUM(K6:K15)</f>
        <v>33594.299999999996</v>
      </c>
      <c r="L16" s="87">
        <f>ROUND(M16*10000/SUM(K6:K14),0)</f>
        <v>3500</v>
      </c>
      <c r="M16" s="87">
        <f>SUM(M6:M14)</f>
        <v>11758</v>
      </c>
      <c r="N16" s="88">
        <f>ROUND(SUMPRODUCT(M6:M14,N6:N14)/M16,3)</f>
        <v>0.85</v>
      </c>
      <c r="O16" s="87">
        <f>SUM(O6:O14)</f>
        <v>0</v>
      </c>
      <c r="P16" s="87">
        <f>SUM(P6:P14)</f>
        <v>0</v>
      </c>
      <c r="Q16" s="89">
        <f>ROUND(SUMPRODUCT(Q6:Q13,K6:K13)/SUMPRODUCT((Q6:Q13&gt;0)*(K6:K13)),2)</f>
        <v>0.1</v>
      </c>
      <c r="R16" s="974">
        <f ca="1">SUM(R6:R13)</f>
        <v>13333.33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v>672</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3" t="s">
        <v>2277</v>
      </c>
      <c r="B1" s="3254"/>
      <c r="C1" s="3254"/>
      <c r="D1" s="3254"/>
      <c r="E1" s="3254"/>
      <c r="F1" s="3254"/>
      <c r="G1" s="325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4.4"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4.4"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2278</v>
      </c>
      <c r="B13" s="2280"/>
      <c r="C13" s="2280"/>
      <c r="D13" s="2279"/>
      <c r="E13" s="2280"/>
      <c r="F13" s="2280"/>
      <c r="G13" s="2280"/>
    </row>
    <row r="14" spans="1:29" ht="14.4"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4.4"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4.4"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33594.299999999996</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45776</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22401</v>
      </c>
      <c r="C5" s="2300">
        <f ca="1">IF(B5=D14,结果表!H102,ROUND(B5*10000/$B$1,0))</f>
        <v>0</v>
      </c>
      <c r="D5" s="2300" t="e">
        <f ca="1">ROUND(B5*10000/$B$2,0)</f>
        <v>#DIV/0!</v>
      </c>
      <c r="E5" s="2462"/>
      <c r="F5" s="2463"/>
      <c r="G5" s="2463"/>
      <c r="H5" s="2463"/>
      <c r="I5" s="2463"/>
      <c r="J5" s="2463"/>
      <c r="K5" s="2463"/>
    </row>
    <row r="6" spans="1:11" ht="15.6">
      <c r="A6" s="2300" t="s">
        <v>656</v>
      </c>
      <c r="B6" s="2300">
        <f ca="1">SUM(G14:G23)</f>
        <v>22401</v>
      </c>
      <c r="C6" s="2300">
        <f ca="1">IF(B6=G14,结果表!H108,ROUND(B6*10000/$B$1,0))</f>
        <v>0</v>
      </c>
      <c r="D6" s="2300" t="e">
        <f ca="1">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3347</v>
      </c>
      <c r="D10" s="2300" t="s">
        <v>3348</v>
      </c>
      <c r="E10" s="3137"/>
      <c r="F10" s="3141" t="s">
        <v>3349</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'数据-汇总表'!E3</f>
        <v>33594.299999999996</v>
      </c>
      <c r="C14" s="2306"/>
      <c r="D14" s="2306">
        <f ca="1">结果表!G19</f>
        <v>22401</v>
      </c>
      <c r="E14" s="2306">
        <f ca="1">ROUND(D14*10000/B14,0)</f>
        <v>6668</v>
      </c>
      <c r="F14" s="2306" t="e">
        <f ca="1">ROUND(D14*10000/C14,0)</f>
        <v>#DIV/0!</v>
      </c>
      <c r="G14" s="2306">
        <f ca="1">D14</f>
        <v>22401</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SheetLayoutView="100" zoomScalePageLayoutView="80" workbookViewId="0">
      <selection activeCell="J12" sqref="J1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4" t="s">
        <v>1265</v>
      </c>
      <c r="B4" s="1625" t="s">
        <v>1266</v>
      </c>
      <c r="C4" s="1626" t="s">
        <v>3454</v>
      </c>
      <c r="D4" s="1626" t="s">
        <v>3449</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0" t="s">
        <v>1268</v>
      </c>
      <c r="B5" s="3325">
        <v>25</v>
      </c>
      <c r="C5" s="3328"/>
      <c r="D5" s="3316"/>
      <c r="E5" s="123" t="s">
        <v>1269</v>
      </c>
      <c r="F5" s="1627"/>
      <c r="G5" s="1627"/>
      <c r="H5" s="1627"/>
      <c r="I5" s="1281"/>
    </row>
    <row r="6" spans="1:12" ht="13.2">
      <c r="A6" s="3270"/>
      <c r="B6" s="3325"/>
      <c r="C6" s="3330"/>
      <c r="D6" s="3316"/>
      <c r="E6" s="123" t="s">
        <v>1270</v>
      </c>
      <c r="F6" s="1627"/>
      <c r="G6" s="1627"/>
      <c r="H6" s="1627"/>
      <c r="I6" s="1281"/>
    </row>
    <row r="7" spans="1:12" ht="13.2">
      <c r="A7" s="3270"/>
      <c r="B7" s="3325"/>
      <c r="C7" s="3329"/>
      <c r="D7" s="3316"/>
      <c r="E7" s="123" t="s">
        <v>1271</v>
      </c>
      <c r="F7" s="1627"/>
      <c r="G7" s="1627"/>
      <c r="H7" s="1627"/>
      <c r="I7" s="1281"/>
    </row>
    <row r="8" spans="1:12" ht="13.2">
      <c r="A8" s="3270" t="s">
        <v>1272</v>
      </c>
      <c r="B8" s="3325">
        <v>15</v>
      </c>
      <c r="C8" s="3328"/>
      <c r="D8" s="3316"/>
      <c r="E8" s="123" t="s">
        <v>1273</v>
      </c>
      <c r="F8" s="1627"/>
      <c r="G8" s="1627"/>
      <c r="H8" s="1627"/>
      <c r="I8" s="1281"/>
    </row>
    <row r="9" spans="1:12" ht="13.2">
      <c r="A9" s="3270"/>
      <c r="B9" s="3325"/>
      <c r="C9" s="3329"/>
      <c r="D9" s="3316"/>
      <c r="E9" s="123" t="s">
        <v>1274</v>
      </c>
      <c r="F9" s="1627"/>
      <c r="G9" s="1627"/>
      <c r="H9" s="1627"/>
      <c r="I9" s="1281"/>
    </row>
    <row r="10" spans="1:12" ht="13.2">
      <c r="A10" s="3270" t="s">
        <v>1275</v>
      </c>
      <c r="B10" s="3325">
        <v>15</v>
      </c>
      <c r="C10" s="3328"/>
      <c r="D10" s="3316"/>
      <c r="E10" s="123" t="s">
        <v>1276</v>
      </c>
      <c r="F10" s="1627"/>
      <c r="G10" s="1627"/>
      <c r="H10" s="1627"/>
      <c r="I10" s="1281"/>
    </row>
    <row r="11" spans="1:12" ht="13.2">
      <c r="A11" s="3270"/>
      <c r="B11" s="3325"/>
      <c r="C11" s="3329"/>
      <c r="D11" s="3316"/>
      <c r="E11" s="123" t="s">
        <v>1277</v>
      </c>
      <c r="F11" s="1627"/>
      <c r="G11" s="1627"/>
      <c r="H11" s="1627"/>
      <c r="I11" s="1281"/>
    </row>
    <row r="12" spans="1:12" ht="13.2">
      <c r="A12" s="3270" t="s">
        <v>1278</v>
      </c>
      <c r="B12" s="3325">
        <v>15</v>
      </c>
      <c r="C12" s="3328"/>
      <c r="D12" s="3316"/>
      <c r="E12" s="123" t="s">
        <v>1279</v>
      </c>
      <c r="F12" s="1627"/>
      <c r="G12" s="1627"/>
      <c r="H12" s="1627"/>
      <c r="I12" s="1281"/>
    </row>
    <row r="13" spans="1:12" ht="13.2">
      <c r="A13" s="3270"/>
      <c r="B13" s="3325"/>
      <c r="C13" s="3329"/>
      <c r="D13" s="3316"/>
      <c r="E13" s="123" t="s">
        <v>1280</v>
      </c>
      <c r="F13" s="1627"/>
      <c r="G13" s="1627"/>
      <c r="H13" s="1627"/>
      <c r="I13" s="1281"/>
    </row>
    <row r="14" spans="1:12" ht="13.2">
      <c r="A14" s="3270" t="s">
        <v>1281</v>
      </c>
      <c r="B14" s="3325">
        <v>30</v>
      </c>
      <c r="C14" s="3328">
        <v>4</v>
      </c>
      <c r="D14" s="3316">
        <v>6</v>
      </c>
      <c r="E14" s="123" t="s">
        <v>1282</v>
      </c>
      <c r="F14" s="1627"/>
      <c r="G14" s="1627"/>
      <c r="H14" s="1627"/>
      <c r="I14" s="1281"/>
    </row>
    <row r="15" spans="1:12" ht="13.2">
      <c r="A15" s="3270"/>
      <c r="B15" s="3325"/>
      <c r="C15" s="3330"/>
      <c r="D15" s="3316"/>
      <c r="E15" s="123" t="s">
        <v>1283</v>
      </c>
      <c r="F15" s="1627"/>
      <c r="G15" s="1627"/>
      <c r="H15" s="1627"/>
      <c r="I15" s="1281"/>
    </row>
    <row r="16" spans="1:12" ht="13.2">
      <c r="A16" s="3270"/>
      <c r="B16" s="3325"/>
      <c r="C16" s="3329"/>
      <c r="D16" s="3316"/>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47" t="s">
        <v>2131</v>
      </c>
      <c r="F18" s="3348"/>
      <c r="G18" s="3348"/>
      <c r="H18" s="3348"/>
      <c r="I18" s="3348"/>
      <c r="K18" s="294" t="s">
        <v>1289</v>
      </c>
      <c r="L18" s="294">
        <f>IF(C1="",'数据-汇总表'!E3,SUMIF(项目类型,C1,'数据-汇总表'!E17:E26)+SUMIF(项目类型,C1,'数据-汇总表'!I17:I26))</f>
        <v>33594.299999999996</v>
      </c>
      <c r="M18" s="294">
        <f>IF(C1="",'数据-汇总表'!E3,SUMIF(项目类型,C1,'数据-汇总表'!E17:E26))</f>
        <v>33594.299999999996</v>
      </c>
    </row>
    <row r="19" spans="1:36" ht="14.4">
      <c r="A19" s="1630" t="s">
        <v>1290</v>
      </c>
      <c r="B19" s="1631" t="s">
        <v>1291</v>
      </c>
      <c r="C19" s="126">
        <f ca="1">SUMIF(INDIRECT("'"&amp;C4&amp;"'"&amp;"!A:A"),结果表!B19,INDIRECT("'"&amp;C4&amp;"'"&amp;"!B:B"))</f>
        <v>18284</v>
      </c>
      <c r="D19" s="127">
        <f ca="1">SUMIF(INDIRECT("'"&amp;D4&amp;"'"&amp;"!A:A"),结果表!B19,INDIRECT("'"&amp;D4&amp;"'"&amp;"!B:B"))</f>
        <v>25145</v>
      </c>
      <c r="E19" s="1630" t="s">
        <v>1292</v>
      </c>
      <c r="F19" s="1631" t="s">
        <v>1291</v>
      </c>
      <c r="G19" s="128">
        <f ca="1">ROUND(C19*$C$18+D19*$D$18,0)</f>
        <v>22401</v>
      </c>
      <c r="H19" s="1632" t="s">
        <v>1293</v>
      </c>
      <c r="I19" s="121"/>
      <c r="K19" s="294" t="s">
        <v>1294</v>
      </c>
      <c r="L19" s="294">
        <f>IF(C1="",'数据-汇总表'!D3,SUMIF(项目类型,C1,'数据-汇总表'!D17:D26)+SUMIF(项目类型,C1,'数据-汇总表'!H17:H27))</f>
        <v>13333.33</v>
      </c>
      <c r="M19" s="294">
        <f>IF(C1="",'数据-汇总表'!D3,SUMIF(项目类型,C1,'数据-汇总表'!D17:D26))</f>
        <v>13333.33</v>
      </c>
    </row>
    <row r="20" spans="1:36" ht="14.4">
      <c r="A20" s="1633"/>
      <c r="B20" s="43" t="s">
        <v>1295</v>
      </c>
      <c r="C20" s="129">
        <f ca="1">SUMIF(INDIRECT("'"&amp;C4&amp;"'"&amp;"!A:A"),结果表!B20,INDIRECT("'"&amp;C4&amp;"'"&amp;"!B:B"))</f>
        <v>5443</v>
      </c>
      <c r="D20" s="130">
        <f ca="1">SUMIF(INDIRECT("'"&amp;D4&amp;"'"&amp;"!A:A"),结果表!B20,INDIRECT("'"&amp;D4&amp;"'"&amp;"!B:B"))</f>
        <v>7485</v>
      </c>
      <c r="E20" s="1633"/>
      <c r="F20" s="43" t="s">
        <v>1295</v>
      </c>
      <c r="G20" s="131">
        <f ca="1">ROUND(C20*$C$18+D20*$D$18,0)</f>
        <v>6668</v>
      </c>
      <c r="H20" s="760" t="s">
        <v>1296</v>
      </c>
      <c r="I20" s="121">
        <f ca="1">G19/'数据-汇总表'!F19</f>
        <v>0.87828838644845841</v>
      </c>
    </row>
    <row r="21" spans="1:36" ht="15" customHeight="1" thickBot="1">
      <c r="A21" s="449"/>
      <c r="B21" s="93" t="s">
        <v>1297</v>
      </c>
      <c r="C21" s="678">
        <f ca="1">ROUND(C19*10000/L19,0)</f>
        <v>13713</v>
      </c>
      <c r="D21" s="679">
        <f ca="1">ROUND(D19*10000/L19,0)</f>
        <v>18859</v>
      </c>
      <c r="E21" s="449"/>
      <c r="F21" s="93" t="s">
        <v>1297</v>
      </c>
      <c r="G21" s="132">
        <f ca="1">ROUND(G19*10000/L19,0)</f>
        <v>16801</v>
      </c>
      <c r="H21" s="1634" t="s">
        <v>1296</v>
      </c>
      <c r="I21" s="121"/>
    </row>
    <row r="22" spans="1:36" ht="15" thickBot="1">
      <c r="A22" s="1564" t="s">
        <v>1298</v>
      </c>
      <c r="B22" s="1635"/>
      <c r="C22" s="1636"/>
      <c r="D22" s="680">
        <f ca="1">IF(C19&lt;D19,D19/C19-1,C19/D19-1)</f>
        <v>0.37524611682345221</v>
      </c>
      <c r="E22" s="121"/>
      <c r="F22" s="121"/>
      <c r="G22" s="121"/>
      <c r="H22" s="121"/>
      <c r="I22" s="121"/>
    </row>
    <row r="23" spans="1:36" ht="13.8" thickBot="1">
      <c r="A23" s="646"/>
      <c r="B23" s="646"/>
      <c r="C23" s="646"/>
      <c r="D23" s="646"/>
      <c r="E23" s="121"/>
      <c r="F23" s="121"/>
      <c r="G23" s="121"/>
      <c r="H23" s="121"/>
      <c r="I23" s="121"/>
    </row>
    <row r="24" spans="1:36" ht="14.4">
      <c r="A24" s="3340" t="s">
        <v>1299</v>
      </c>
      <c r="B24" s="1631" t="s">
        <v>1291</v>
      </c>
      <c r="C24" s="128">
        <f>IF(B30=0,0,D30)</f>
        <v>0</v>
      </c>
      <c r="D24" s="1637"/>
      <c r="E24" s="121"/>
      <c r="F24" s="121"/>
      <c r="G24" s="121"/>
      <c r="H24" s="121"/>
      <c r="I24" s="121"/>
    </row>
    <row r="25" spans="1:36" ht="14.4">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6668</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10">
        <v>1</v>
      </c>
      <c r="K46" s="3258" t="s">
        <v>1331</v>
      </c>
      <c r="L46" s="3258"/>
      <c r="M46" s="3259"/>
      <c r="N46" s="3259"/>
      <c r="O46" s="3259"/>
    </row>
    <row r="47" spans="1:15" ht="12" customHeight="1">
      <c r="A47" s="152" t="s">
        <v>1332</v>
      </c>
      <c r="B47" s="153"/>
      <c r="C47" s="154"/>
      <c r="D47" s="1024" t="s">
        <v>1333</v>
      </c>
      <c r="E47" s="294" t="s">
        <v>1334</v>
      </c>
      <c r="F47" s="155" t="s">
        <v>1335</v>
      </c>
      <c r="G47" s="2333" t="s">
        <v>1336</v>
      </c>
      <c r="H47" s="2334"/>
      <c r="I47" s="151"/>
      <c r="J47" s="2310">
        <v>2</v>
      </c>
      <c r="K47" s="3258" t="s">
        <v>1337</v>
      </c>
      <c r="L47" s="3258"/>
      <c r="M47" s="3260">
        <f>'数据-取费表'!B2</f>
        <v>45776</v>
      </c>
      <c r="N47" s="3260"/>
      <c r="O47" s="3260"/>
    </row>
    <row r="48" spans="1:15" ht="26.4">
      <c r="A48" s="3320" t="s">
        <v>1338</v>
      </c>
      <c r="B48" s="3321"/>
      <c r="C48" s="3321"/>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58" t="s">
        <v>1340</v>
      </c>
      <c r="L48" s="3258"/>
      <c r="M48" s="3261" t="e">
        <f ca="1">H101</f>
        <v>#REF!</v>
      </c>
      <c r="N48" s="3261"/>
      <c r="O48" s="3261"/>
    </row>
    <row r="49" spans="1:35" ht="25.5" customHeight="1">
      <c r="A49" s="2152" t="s">
        <v>1341</v>
      </c>
      <c r="B49" s="3306" t="s">
        <v>1342</v>
      </c>
      <c r="C49" s="3306"/>
      <c r="D49" s="1478">
        <v>0</v>
      </c>
      <c r="E49" s="316" t="s">
        <v>1343</v>
      </c>
      <c r="F49" s="2233" t="s">
        <v>28</v>
      </c>
      <c r="G49" s="3289"/>
      <c r="H49" s="2134" t="s">
        <v>2134</v>
      </c>
      <c r="I49" s="2135"/>
      <c r="J49" s="2310">
        <v>4</v>
      </c>
      <c r="K49" s="3258" t="str">
        <f>IF(项目基本情况!E8="房地产抵押价值","房地产抵押价值","抵押担保权已注销时的房地产抵押价值")</f>
        <v>房地产抵押价值</v>
      </c>
      <c r="L49" s="3258"/>
      <c r="M49" s="3261" t="str">
        <f ca="1">IF(项目基本情况!E8="房地产抵押价值",H107,H109)</f>
        <v>——</v>
      </c>
      <c r="N49" s="3261"/>
      <c r="O49" s="3261"/>
    </row>
    <row r="50" spans="1:35" ht="25.5" customHeight="1">
      <c r="A50" s="2338"/>
      <c r="B50" s="3306" t="s">
        <v>1344</v>
      </c>
      <c r="C50" s="3306"/>
      <c r="D50" s="2189"/>
      <c r="E50" s="323"/>
      <c r="F50" s="2233"/>
      <c r="G50" s="3290"/>
      <c r="H50" s="2136" t="s">
        <v>2135</v>
      </c>
      <c r="I50" s="2135"/>
      <c r="J50" s="3257" t="s">
        <v>1345</v>
      </c>
      <c r="K50" s="3257"/>
      <c r="L50" s="3257"/>
      <c r="M50" s="3257"/>
      <c r="N50" s="3257"/>
      <c r="O50" s="3257"/>
    </row>
    <row r="51" spans="1:35" ht="20.399999999999999" customHeight="1">
      <c r="A51" s="2339"/>
      <c r="B51" s="3306" t="s">
        <v>1346</v>
      </c>
      <c r="C51" s="3306"/>
      <c r="D51" s="1024"/>
      <c r="E51" s="319"/>
      <c r="F51" s="2233"/>
      <c r="G51" s="3291"/>
      <c r="H51" s="2136" t="s">
        <v>2136</v>
      </c>
      <c r="I51" s="2135"/>
      <c r="J51" s="2311" t="s">
        <v>1347</v>
      </c>
      <c r="K51" s="3258" t="s">
        <v>1348</v>
      </c>
      <c r="L51" s="3258"/>
      <c r="M51" s="2311" t="s">
        <v>1349</v>
      </c>
      <c r="N51" s="2311" t="s">
        <v>1350</v>
      </c>
      <c r="O51" s="2311" t="s">
        <v>1351</v>
      </c>
    </row>
    <row r="52" spans="1:35" ht="24" customHeight="1">
      <c r="A52" s="2153" t="s">
        <v>1352</v>
      </c>
      <c r="B52" s="3306" t="s">
        <v>1353</v>
      </c>
      <c r="C52" s="3306"/>
      <c r="D52" s="1024" t="e">
        <f ca="1">ROUND(D45*'数据-取费表'!B41/(1+'数据-取费表'!C42),0)</f>
        <v>#REF!</v>
      </c>
      <c r="E52" s="1256" t="s">
        <v>1354</v>
      </c>
      <c r="F52" s="2340">
        <f>'数据-取费表'!B41</f>
        <v>5.5000000000000007E-2</v>
      </c>
      <c r="G52" s="2341"/>
      <c r="H52" s="2331"/>
      <c r="I52" s="1669"/>
      <c r="J52" s="2310">
        <v>1</v>
      </c>
      <c r="K52" s="3283" t="s">
        <v>1355</v>
      </c>
      <c r="L52" s="3283"/>
      <c r="M52" s="2312" t="b">
        <f>D48</f>
        <v>0</v>
      </c>
      <c r="N52" s="2310" t="str">
        <f>E48</f>
        <v>销售额×税（费）率</v>
      </c>
      <c r="O52" s="2313">
        <f>F48</f>
        <v>5.5000000000000007E-2</v>
      </c>
    </row>
    <row r="53" spans="1:35" ht="12" customHeight="1">
      <c r="A53" s="2153" t="s">
        <v>1356</v>
      </c>
      <c r="B53" s="3307" t="s">
        <v>2282</v>
      </c>
      <c r="C53" s="3308"/>
      <c r="D53" s="1024" t="e">
        <f ca="1">ROUND(D45*'数据-取费表'!B41/(1+'数据-取费表'!C42),0)</f>
        <v>#REF!</v>
      </c>
      <c r="E53" s="1256" t="s">
        <v>1354</v>
      </c>
      <c r="F53" s="2340">
        <f>'数据-取费表'!B41</f>
        <v>5.5000000000000007E-2</v>
      </c>
      <c r="G53" s="2341"/>
      <c r="H53" s="2331"/>
      <c r="I53" s="1669"/>
      <c r="J53" s="2310">
        <v>2</v>
      </c>
      <c r="K53" s="3283" t="s">
        <v>1357</v>
      </c>
      <c r="L53" s="3283"/>
      <c r="M53" s="2312" t="e">
        <f t="shared" ref="M53:O54" ca="1" si="0">D55</f>
        <v>#REF!</v>
      </c>
      <c r="N53" s="2310" t="str">
        <f t="shared" si="0"/>
        <v>销售额×税（费）率</v>
      </c>
      <c r="O53" s="2313" t="str">
        <f t="shared" si="0"/>
        <v>免征</v>
      </c>
    </row>
    <row r="54" spans="1:35" ht="12" customHeight="1">
      <c r="A54" s="2153" t="s">
        <v>1358</v>
      </c>
      <c r="B54" s="3307" t="s">
        <v>2283</v>
      </c>
      <c r="C54" s="3308"/>
      <c r="D54" s="1024" t="e">
        <f ca="1">C68</f>
        <v>#REF!</v>
      </c>
      <c r="E54" s="319" t="s">
        <v>1359</v>
      </c>
      <c r="F54" s="2340">
        <f>'数据-取费表'!B41</f>
        <v>5.5000000000000007E-2</v>
      </c>
      <c r="G54" s="2341"/>
      <c r="H54" s="2342"/>
      <c r="I54" s="1669"/>
      <c r="J54" s="2310">
        <v>3</v>
      </c>
      <c r="K54" s="3283" t="s">
        <v>1360</v>
      </c>
      <c r="L54" s="3283"/>
      <c r="M54" s="2312" t="e">
        <f t="shared" ca="1" si="0"/>
        <v>#REF!</v>
      </c>
      <c r="N54" s="2310" t="str">
        <f t="shared" si="0"/>
        <v>增值额×税（费）率</v>
      </c>
      <c r="O54" s="2314" t="str">
        <f t="shared" si="0"/>
        <v>免征</v>
      </c>
    </row>
    <row r="55" spans="1:35" ht="24" customHeight="1">
      <c r="A55" s="3343" t="s">
        <v>1361</v>
      </c>
      <c r="B55" s="3321"/>
      <c r="C55" s="3321"/>
      <c r="D55" s="12" t="e">
        <f ca="1">IF(H55="个人住宅",0,ROUND(D45*I55,0))</f>
        <v>#REF!</v>
      </c>
      <c r="E55" s="1256" t="s">
        <v>1362</v>
      </c>
      <c r="F55" s="2340" t="str">
        <f>IF(H55="正常",I55,"免征")</f>
        <v>免征</v>
      </c>
      <c r="G55" s="2341"/>
      <c r="H55" s="2337"/>
      <c r="I55" s="157">
        <f>'数据-取费表'!B49</f>
        <v>5.0000000000000001E-4</v>
      </c>
      <c r="J55" s="2310">
        <f>IF(H59="非个人房产","",4)</f>
        <v>4</v>
      </c>
      <c r="K55" s="3283" t="str">
        <f>IF(H59="非个人房产","——","个人所得税")</f>
        <v>个人所得税</v>
      </c>
      <c r="L55" s="3283"/>
      <c r="M55" s="2315" t="e">
        <f ca="1">D59</f>
        <v>#REF!</v>
      </c>
      <c r="N55" s="1883" t="str">
        <f>E59</f>
        <v>差额计税</v>
      </c>
      <c r="O55" s="2316">
        <f>F59</f>
        <v>0.01</v>
      </c>
    </row>
    <row r="56" spans="1:35" ht="25.2">
      <c r="A56" s="3343" t="s">
        <v>1363</v>
      </c>
      <c r="B56" s="3321"/>
      <c r="C56" s="3321"/>
      <c r="D56" s="12" t="e">
        <f ca="1">IF(H56="个人住宅",D57,D58)</f>
        <v>#REF!</v>
      </c>
      <c r="E56" s="1256" t="s">
        <v>1364</v>
      </c>
      <c r="F56" s="2340" t="str">
        <f>IF(H56="正常",F58,"免征")</f>
        <v>免征</v>
      </c>
      <c r="G56" s="2343" t="s">
        <v>1365</v>
      </c>
      <c r="H56" s="2344"/>
      <c r="I56" s="1670"/>
      <c r="J56" s="2310" t="str">
        <f>IF(项目基本情况!K6="上海银行",IF(J55="",4,J55+1),"")</f>
        <v/>
      </c>
      <c r="K56" s="3264" t="str">
        <f>IF(项目基本情况!K6="上海银行","其他处置费用","")</f>
        <v/>
      </c>
      <c r="L56" s="3265"/>
      <c r="M56" s="2312" t="str">
        <f>IF(项目基本情况!K6="上海银行",M69,"")</f>
        <v/>
      </c>
      <c r="N56" s="3264" t="str">
        <f>IF(项目基本情况!K6="上海银行","包含处置中涉及的律师、诉讼、拍卖、评估等费用","")</f>
        <v/>
      </c>
      <c r="O56" s="3267"/>
    </row>
    <row r="57" spans="1:35" ht="13.2">
      <c r="A57" s="2153" t="s">
        <v>1341</v>
      </c>
      <c r="B57" s="3307" t="s">
        <v>1366</v>
      </c>
      <c r="C57" s="3308"/>
      <c r="D57" s="1478">
        <v>0</v>
      </c>
      <c r="E57" s="316" t="s">
        <v>1343</v>
      </c>
      <c r="F57" s="294"/>
      <c r="G57" s="2341"/>
      <c r="H57" s="2345"/>
      <c r="I57" s="1670"/>
      <c r="J57" s="3283">
        <f>IF(AND(J55="",J56=""),4,IF(项目基本情况!K6="上海银行",结果表!J56+1,结果表!J55+1))</f>
        <v>5</v>
      </c>
      <c r="K57" s="3283" t="s">
        <v>1367</v>
      </c>
      <c r="L57" s="2317" t="s">
        <v>1368</v>
      </c>
      <c r="M57" s="2318"/>
      <c r="N57" s="2319">
        <f ca="1">SUMIF(M52:M56,"&lt;9e307")</f>
        <v>0</v>
      </c>
      <c r="O57" s="2320"/>
      <c r="P57" s="2465" t="e">
        <f ca="1">N57/M49</f>
        <v>#VALUE!</v>
      </c>
    </row>
    <row r="58" spans="1:35" ht="25.2">
      <c r="A58" s="2153" t="s">
        <v>1352</v>
      </c>
      <c r="B58" s="3307" t="s">
        <v>1369</v>
      </c>
      <c r="C58" s="3306"/>
      <c r="D58" s="12" t="e">
        <f ca="1">IF(H58="转让取得",C81,C97)</f>
        <v>#REF!</v>
      </c>
      <c r="E58" s="1256" t="s">
        <v>1364</v>
      </c>
      <c r="F58" s="294" t="s">
        <v>28</v>
      </c>
      <c r="G58" s="2341"/>
      <c r="H58" s="2344"/>
      <c r="I58" s="1670"/>
      <c r="J58" s="3283"/>
      <c r="K58" s="3283"/>
      <c r="L58" s="2317" t="s">
        <v>1370</v>
      </c>
      <c r="M58" s="2321"/>
      <c r="N58" s="2322" t="str">
        <f ca="1">NUMBERSTRING(INT(N57*10000),2)&amp;"元整"</f>
        <v>零元整</v>
      </c>
      <c r="O58" s="2323"/>
    </row>
    <row r="59" spans="1:35" ht="24.6" thickBot="1">
      <c r="A59" s="3287" t="s">
        <v>1371</v>
      </c>
      <c r="B59" s="3288"/>
      <c r="C59" s="328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5">
        <f>J57+1</f>
        <v>6</v>
      </c>
      <c r="K59" s="3283" t="s">
        <v>1372</v>
      </c>
      <c r="L59" s="2310" t="s">
        <v>1368</v>
      </c>
      <c r="M59" s="2324"/>
      <c r="N59" s="2325" t="e">
        <f ca="1">M49-N57</f>
        <v>#VALUE!</v>
      </c>
      <c r="O59" s="2326"/>
    </row>
    <row r="60" spans="1:35" ht="12" customHeight="1">
      <c r="A60" s="1671"/>
      <c r="B60" s="646"/>
      <c r="C60" s="646"/>
      <c r="D60" s="646"/>
      <c r="E60" s="1466"/>
      <c r="F60" s="1670"/>
      <c r="G60" s="1670"/>
      <c r="H60" s="151"/>
      <c r="I60" s="121"/>
      <c r="J60" s="3286"/>
      <c r="K60" s="3283"/>
      <c r="L60" s="2317" t="s">
        <v>1370</v>
      </c>
      <c r="M60" s="2321"/>
      <c r="N60" s="2322" t="e">
        <f ca="1">NUMBERSTRING(INT(N59*10000),2)&amp;"元整"</f>
        <v>#VALUE!</v>
      </c>
      <c r="O60" s="2323"/>
    </row>
    <row r="61" spans="1:35" ht="13.8" thickBot="1">
      <c r="A61" s="3342" t="s">
        <v>1373</v>
      </c>
      <c r="B61" s="3342"/>
      <c r="C61" s="3342"/>
      <c r="D61" s="3342"/>
      <c r="E61" s="3342"/>
      <c r="F61" s="1670"/>
      <c r="G61" s="1670"/>
      <c r="H61" s="151"/>
      <c r="I61" s="121"/>
      <c r="J61" s="2310">
        <f>J59+1</f>
        <v>7</v>
      </c>
      <c r="K61" s="3283" t="s">
        <v>1374</v>
      </c>
      <c r="L61" s="3283"/>
      <c r="M61" s="2327"/>
      <c r="N61" s="2328" t="e">
        <f ca="1">ROUND(N59*10000/'数据-汇总表'!E3,0)</f>
        <v>#VALUE!</v>
      </c>
      <c r="O61" s="2329"/>
    </row>
    <row r="62" spans="1:35" ht="13.2">
      <c r="A62" s="3302" t="s">
        <v>1375</v>
      </c>
      <c r="B62" s="3303"/>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266"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6"/>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6"/>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266"/>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6"/>
      <c r="K69" s="1245" t="s">
        <v>1393</v>
      </c>
      <c r="L69" s="1245"/>
      <c r="M69" s="294" t="e">
        <f ca="1">ROUND(SUM(M63:M68),0)</f>
        <v>#VALUE!</v>
      </c>
      <c r="N69" s="2332" t="e">
        <f ca="1">M69/M49</f>
        <v>#VALUE!</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68" t="s">
        <v>2129</v>
      </c>
      <c r="H90" s="3269"/>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9" t="s">
        <v>1422</v>
      </c>
      <c r="F92" s="3300"/>
      <c r="G92" s="3300"/>
      <c r="H92" s="3301"/>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4"/>
      <c r="E100" s="3250" t="s">
        <v>1429</v>
      </c>
      <c r="F100" s="3250"/>
      <c r="G100" s="3250"/>
      <c r="H100" s="3284"/>
      <c r="I100" s="121"/>
    </row>
    <row r="101" spans="1:35" ht="18.75" customHeight="1">
      <c r="A101" s="3292" t="s">
        <v>1430</v>
      </c>
      <c r="B101" s="3293"/>
      <c r="C101" s="2371" t="str">
        <f>C4</f>
        <v>成本法</v>
      </c>
      <c r="D101" s="2372" t="str">
        <f>D4</f>
        <v>收益法</v>
      </c>
      <c r="E101" s="3262" t="s">
        <v>1431</v>
      </c>
      <c r="F101" s="3263"/>
      <c r="G101" s="1687" t="s">
        <v>1432</v>
      </c>
      <c r="H101" s="2381" t="e">
        <f ca="1">H118</f>
        <v>#REF!</v>
      </c>
      <c r="I101" s="121"/>
    </row>
    <row r="102" spans="1:35" ht="18.75" customHeight="1">
      <c r="A102" s="3294" t="s">
        <v>1433</v>
      </c>
      <c r="B102" s="2370" t="s">
        <v>1432</v>
      </c>
      <c r="C102" s="2371">
        <f ca="1">IF(D32="楼面单价",ROUND(C19,0),C19)</f>
        <v>18284</v>
      </c>
      <c r="D102" s="2372">
        <f ca="1">IF(D32="楼面单价",ROUND(D19,0),D19)</f>
        <v>25145</v>
      </c>
      <c r="E102" s="3262"/>
      <c r="F102" s="3263"/>
      <c r="G102" s="1687" t="s">
        <v>1434</v>
      </c>
      <c r="H102" s="2341" t="e">
        <f ca="1">I118</f>
        <v>#REF!</v>
      </c>
      <c r="I102" s="121"/>
    </row>
    <row r="103" spans="1:35" ht="42.75" customHeight="1">
      <c r="A103" s="3294"/>
      <c r="B103" s="2370" t="s">
        <v>1434</v>
      </c>
      <c r="C103" s="2373">
        <f ca="1">C20</f>
        <v>5443</v>
      </c>
      <c r="D103" s="2374">
        <f ca="1">D20</f>
        <v>7485</v>
      </c>
      <c r="E103" s="3255" t="s">
        <v>1435</v>
      </c>
      <c r="F103" s="3256"/>
      <c r="G103" s="1688" t="s">
        <v>1436</v>
      </c>
      <c r="H103" s="2381">
        <f>IF(D36="正常操作",H104+H105+H106,H105+H106)</f>
        <v>0</v>
      </c>
      <c r="I103" s="121"/>
    </row>
    <row r="104" spans="1:35" ht="18.75" customHeight="1">
      <c r="A104" s="329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5" t="str">
        <f>IF(项目基本情况!E8="已注销","——","3.房地产抵押价值")</f>
        <v>3.房地产抵押价值</v>
      </c>
      <c r="F107" s="3263"/>
      <c r="G107" s="1687" t="s">
        <v>1432</v>
      </c>
      <c r="H107" s="2381" t="e">
        <f ca="1">IF(E107="——","——",H101-H103)</f>
        <v>#REF!</v>
      </c>
      <c r="I107" s="121"/>
    </row>
    <row r="108" spans="1:35" ht="18.75" customHeight="1">
      <c r="A108" s="121"/>
      <c r="B108" s="121"/>
      <c r="C108" s="121"/>
      <c r="D108" s="121"/>
      <c r="E108" s="3295"/>
      <c r="F108" s="3263"/>
      <c r="G108" s="1687" t="s">
        <v>1434</v>
      </c>
      <c r="H108" s="2341">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4" t="str">
        <f>IF(E109="——","——",H101-H105-H106)</f>
        <v>——</v>
      </c>
      <c r="I109" s="121"/>
    </row>
    <row r="110" spans="1:35" ht="18.75" customHeight="1">
      <c r="A110" s="121"/>
      <c r="B110" s="121"/>
      <c r="C110" s="121"/>
      <c r="D110" s="121"/>
      <c r="E110" s="3295"/>
      <c r="F110" s="3263"/>
      <c r="G110" s="1687" t="s">
        <v>1434</v>
      </c>
      <c r="H110" s="2341"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1" t="str">
        <f>IF(E111="——","——",N59)</f>
        <v>——</v>
      </c>
      <c r="I111" s="121"/>
    </row>
    <row r="112" spans="1:35" ht="18.75" customHeight="1" thickBot="1">
      <c r="A112" s="121"/>
      <c r="B112" s="121"/>
      <c r="C112" s="121"/>
      <c r="D112" s="121"/>
      <c r="E112" s="3297"/>
      <c r="F112" s="3298"/>
      <c r="G112" s="1690" t="s">
        <v>1434</v>
      </c>
      <c r="H112" s="2385"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33594.299999999996</v>
      </c>
      <c r="C118" s="2150">
        <f>M19</f>
        <v>13333.33</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FDDD7-DB17-4CA8-9609-093C57391BC4}">
  <dimension ref="A1"/>
  <sheetViews>
    <sheetView workbookViewId="0">
      <selection activeCell="O99" sqref="O99"/>
    </sheetView>
  </sheetViews>
  <sheetFormatPr defaultRowHeight="14.4"/>
  <sheetData/>
  <phoneticPr fontId="13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9" zoomScale="70" zoomScaleNormal="70" zoomScaleSheetLayoutView="70" workbookViewId="0">
      <selection activeCell="O36" sqref="O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18284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5443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3303</v>
      </c>
      <c r="D5" s="203" t="s">
        <v>1469</v>
      </c>
      <c r="E5" s="204" t="s">
        <v>1470</v>
      </c>
      <c r="F5" s="204" t="s">
        <v>1471</v>
      </c>
      <c r="G5" s="205"/>
    </row>
    <row r="6" spans="1:9" s="206" customFormat="1" ht="13.5" customHeight="1">
      <c r="A6" s="732" t="s">
        <v>1472</v>
      </c>
      <c r="B6" s="207" t="s">
        <v>1473</v>
      </c>
      <c r="C6" s="208">
        <f>基准地价修正!B2</f>
        <v>2553</v>
      </c>
      <c r="D6" s="209"/>
      <c r="E6" s="210"/>
      <c r="F6" s="210"/>
      <c r="G6" s="211"/>
    </row>
    <row r="7" spans="1:9" s="206" customFormat="1" ht="13.5" customHeight="1">
      <c r="A7" s="732" t="s">
        <v>1474</v>
      </c>
      <c r="B7" s="207" t="s">
        <v>1475</v>
      </c>
      <c r="C7" s="212">
        <f>ROUND(C6*F7,0)</f>
        <v>78</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672</v>
      </c>
      <c r="D8" s="214"/>
      <c r="E8" s="212"/>
      <c r="F8" s="213"/>
      <c r="G8" s="1714" t="s">
        <v>3440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3441</v>
      </c>
      <c r="H9" s="1070"/>
      <c r="I9" s="1716" t="s">
        <v>1479</v>
      </c>
    </row>
    <row r="10" spans="1:9" s="206" customFormat="1" ht="13.5" customHeight="1">
      <c r="A10" s="733" t="s">
        <v>356</v>
      </c>
      <c r="B10" s="216" t="s">
        <v>1480</v>
      </c>
      <c r="C10" s="217">
        <f ca="1">ROUND(D10*E10/10000,0)</f>
        <v>672</v>
      </c>
      <c r="D10" s="795">
        <f ca="1">IF(B1="",'数据-汇总表'!E6,IF(INDIRECT("'数据-取费表'!c"&amp;$G$1)="住宅",INDIRECT("'数据-取费表'!s"&amp;$G$1),INDIRECT("'数据-取费表'!k"&amp;$G$1)+INDIRECT("'数据-取费表'!s"&amp;$G$1)))</f>
        <v>33594.299999999996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33594.299999999996</v>
      </c>
      <c r="E19" s="203">
        <f>'数据-取费表'!B31</f>
        <v>200</v>
      </c>
      <c r="F19" s="223"/>
      <c r="G19" s="1714" t="s">
        <v>3442</v>
      </c>
    </row>
    <row r="20" spans="1:7" s="206" customFormat="1" ht="13.5" customHeight="1">
      <c r="A20" s="247" t="s">
        <v>1493</v>
      </c>
      <c r="B20" s="202" t="s">
        <v>1494</v>
      </c>
      <c r="C20" s="224">
        <f>ROUND((C5+C19)*F20,0)</f>
        <v>66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210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208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337</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337</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4234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13253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11758</v>
      </c>
      <c r="D34" s="209"/>
      <c r="E34" s="212"/>
      <c r="F34" s="249">
        <f ca="1">IF('数据-取费表'!B24=0,1,IF(B1="",'数据-取费表'!N16,INDIRECT("'数据-取费表'!n"&amp;$G$1)))</f>
        <v>1</v>
      </c>
      <c r="G34" s="211" t="s">
        <v>1526</v>
      </c>
    </row>
    <row r="35" spans="1:7" ht="13.5" customHeight="1">
      <c r="A35" s="734" t="s">
        <v>351</v>
      </c>
      <c r="B35" s="207" t="s">
        <v>1527</v>
      </c>
      <c r="C35" s="212">
        <f ca="1">ROUND(C34*F35,0)</f>
        <v>588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672</v>
      </c>
      <c r="D37" s="209">
        <f ca="1">D19</f>
        <v>33594.299999999996</v>
      </c>
      <c r="E37" s="241">
        <f>'数据-取费表'!B35</f>
        <v>200</v>
      </c>
      <c r="F37" s="251"/>
      <c r="G37" s="253" t="s">
        <v>1532</v>
      </c>
    </row>
    <row r="38" spans="1:7" ht="13.5" customHeight="1">
      <c r="A38" s="734" t="s">
        <v>354</v>
      </c>
      <c r="B38" s="207" t="s">
        <v>1533</v>
      </c>
      <c r="C38" s="212">
        <f ca="1">ROUND(C34*F38,0)</f>
        <v>235</v>
      </c>
      <c r="D38" s="212"/>
      <c r="E38" s="212"/>
      <c r="F38" s="251">
        <f>'数据-取费表'!B36</f>
        <v>0.02</v>
      </c>
      <c r="G38" s="211" t="s">
        <v>1528</v>
      </c>
    </row>
    <row r="39" spans="1:7" s="206" customFormat="1" ht="13.5" customHeight="1">
      <c r="A39" s="247" t="s">
        <v>1534</v>
      </c>
      <c r="B39" s="202" t="s">
        <v>1535</v>
      </c>
      <c r="C39" s="224">
        <f ca="1">ROUND(C33*F20,0)</f>
        <v>265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411</v>
      </c>
      <c r="D42" s="230"/>
      <c r="E42" s="230"/>
      <c r="F42" s="231"/>
      <c r="G42" s="3349" t="s">
        <v>1544</v>
      </c>
    </row>
    <row r="43" spans="1:7" ht="13.5" customHeight="1">
      <c r="A43" s="734" t="s">
        <v>347</v>
      </c>
      <c r="B43" s="207" t="s">
        <v>1545</v>
      </c>
      <c r="C43" s="230">
        <f ca="1">ROUND(IF('数据-取费表'!B22&lt;=1,C39*F22*'数据-取费表'!B21/2,C39*(POWER((1+F22),'数据-取费表'!B21/2)-1)),0)</f>
        <v>8</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1352</v>
      </c>
      <c r="D45" s="227">
        <f ca="1">C47</f>
        <v>2E-3</v>
      </c>
      <c r="E45" s="228" t="s">
        <v>1539</v>
      </c>
      <c r="F45" s="238">
        <f ca="1">F27</f>
        <v>0.1</v>
      </c>
      <c r="G45" s="239" t="s">
        <v>1548</v>
      </c>
    </row>
    <row r="46" spans="1:7" s="206" customFormat="1" ht="13.5" customHeight="1">
      <c r="A46" s="734" t="s">
        <v>346</v>
      </c>
      <c r="B46" s="240" t="s">
        <v>1549</v>
      </c>
      <c r="C46" s="241">
        <f ca="1">ROUND((C33+C39)*F27,0)</f>
        <v>1352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16529</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14050</v>
      </c>
      <c r="D51" s="224"/>
      <c r="E51" s="224"/>
      <c r="F51" s="256"/>
      <c r="G51" s="226" t="s">
        <v>1560</v>
      </c>
    </row>
    <row r="52" spans="1:7" s="200" customFormat="1" ht="16.8" thickBot="1">
      <c r="A52" s="257" t="s">
        <v>1561</v>
      </c>
      <c r="B52" s="258"/>
      <c r="C52" s="259">
        <f ca="1">C31+C51</f>
        <v>18284</v>
      </c>
      <c r="D52" s="258"/>
      <c r="E52" s="258"/>
      <c r="F52" s="258"/>
      <c r="G52" s="260"/>
    </row>
    <row r="55" spans="1:7" ht="15">
      <c r="B55" s="262" t="s">
        <v>1562</v>
      </c>
      <c r="C55" s="263"/>
    </row>
    <row r="56" spans="1:7">
      <c r="B56" s="265" t="s">
        <v>802</v>
      </c>
      <c r="C56" s="267">
        <f ca="1">1-C57</f>
        <v>0.23199999999999998</v>
      </c>
    </row>
    <row r="57" spans="1:7">
      <c r="B57" s="265" t="s">
        <v>803</v>
      </c>
      <c r="C57" s="266">
        <f ca="1">ROUND(C51/C52,3)</f>
        <v>0.76800000000000002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15771.556399999999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4695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6718860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6718860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6718860</v>
      </c>
      <c r="D10" s="795">
        <f ca="1">IF(B1="",'数据-汇总表'!E6,IF(INDIRECT("'数据-取费表'!c"&amp;$G$1)="住宅",INDIRECT("'数据-取费表'!s"&amp;$G$1),INDIRECT("'数据-取费表'!k"&amp;$G$1)+INDIRECT("'数据-取费表'!s"&amp;$G$1)))</f>
        <v>33594.299999999996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6718860</v>
      </c>
      <c r="D19" s="204">
        <f ca="1">D9+D10</f>
        <v>33594.299999999996</v>
      </c>
      <c r="E19" s="203">
        <f>'数据-取费表'!B31</f>
        <v>200</v>
      </c>
      <c r="F19" s="223"/>
      <c r="G19" s="1714"/>
    </row>
    <row r="20" spans="1:7" s="206" customFormat="1" ht="13.5" customHeight="1">
      <c r="A20" s="247" t="s">
        <v>1574</v>
      </c>
      <c r="B20" s="202" t="s">
        <v>1575</v>
      </c>
      <c r="C20" s="224">
        <f ca="1">ROUND((C5+C19)*F20,0)</f>
        <v>268754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854383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423026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423026</v>
      </c>
      <c r="D24" s="230"/>
      <c r="E24" s="230"/>
      <c r="F24" s="231"/>
      <c r="G24" s="232" t="s">
        <v>1586</v>
      </c>
    </row>
    <row r="25" spans="1:7" s="206" customFormat="1" ht="24">
      <c r="A25" s="734" t="s">
        <v>1476</v>
      </c>
      <c r="B25" s="207" t="s">
        <v>1587</v>
      </c>
      <c r="C25" s="230">
        <f ca="1">ROUND(IF('数据-取费表'!B22&lt;=1,C20*F22*'数据-取费表'!B22/2,C20*(POWER((1+F22),'数据-取费表'!B22/2)-1)),0)</f>
        <v>8331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1370647</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1370647</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17223248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132529514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117580050</v>
      </c>
      <c r="D34" s="209"/>
      <c r="E34" s="212"/>
      <c r="F34" s="249"/>
      <c r="G34" s="211"/>
    </row>
    <row r="35" spans="1:7" ht="13.5" customHeight="1">
      <c r="A35" s="734" t="s">
        <v>351</v>
      </c>
      <c r="B35" s="207" t="s">
        <v>1527</v>
      </c>
      <c r="C35" s="212">
        <f ca="1">ROUND(C34*F35,0)</f>
        <v>5879003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6718860</v>
      </c>
      <c r="D37" s="209">
        <f ca="1">D19</f>
        <v>33594.299999999996</v>
      </c>
      <c r="E37" s="241">
        <f>'数据-取费表'!B35</f>
        <v>200</v>
      </c>
      <c r="F37" s="251"/>
      <c r="G37" s="253"/>
    </row>
    <row r="38" spans="1:7" ht="13.5" customHeight="1">
      <c r="A38" s="734" t="s">
        <v>354</v>
      </c>
      <c r="B38" s="207" t="s">
        <v>1533</v>
      </c>
      <c r="C38" s="212">
        <f ca="1">ROUND(C34*F38,0)</f>
        <v>2351601</v>
      </c>
      <c r="D38" s="212"/>
      <c r="E38" s="212"/>
      <c r="F38" s="251">
        <f>'数据-取费表'!B36</f>
        <v>0.02</v>
      </c>
      <c r="G38" s="211" t="s">
        <v>1528</v>
      </c>
    </row>
    <row r="39" spans="1:7" s="206" customFormat="1" ht="13.5" customHeight="1">
      <c r="A39" s="247" t="s">
        <v>1534</v>
      </c>
      <c r="B39" s="202" t="s">
        <v>1535</v>
      </c>
      <c r="C39" s="224">
        <f ca="1">ROUND(C33*F20,0)</f>
        <v>2650590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4190583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4108415</v>
      </c>
      <c r="D42" s="230"/>
      <c r="E42" s="230"/>
      <c r="F42" s="231"/>
      <c r="G42" s="3349" t="s">
        <v>1591</v>
      </c>
    </row>
    <row r="43" spans="1:7" ht="13.5" customHeight="1">
      <c r="A43" s="734" t="s">
        <v>347</v>
      </c>
      <c r="B43" s="207" t="s">
        <v>1545</v>
      </c>
      <c r="C43" s="230">
        <f ca="1">ROUND(IF('数据-取费表'!B22&lt;=1,C39*F22*'数据-取费表'!B20/2,C39*(POWER((1+F22),'数据-取费表'!B20/2)-1)),0)</f>
        <v>82168</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13518010</v>
      </c>
      <c r="D45" s="227">
        <f ca="1">C47</f>
        <v>2E-3</v>
      </c>
      <c r="E45" s="228" t="s">
        <v>1539</v>
      </c>
      <c r="F45" s="238">
        <f ca="1">F27</f>
        <v>0.1</v>
      </c>
      <c r="G45" s="239" t="s">
        <v>1548</v>
      </c>
    </row>
    <row r="46" spans="1:7" s="206" customFormat="1" ht="13.5" customHeight="1">
      <c r="A46" s="734" t="s">
        <v>346</v>
      </c>
      <c r="B46" s="240" t="s">
        <v>1549</v>
      </c>
      <c r="C46" s="241">
        <f ca="1">ROUND((C33+C39)*F27,0)</f>
        <v>13518010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165285078</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140492316</v>
      </c>
      <c r="D51" s="224"/>
      <c r="E51" s="224"/>
      <c r="F51" s="256"/>
      <c r="G51" s="226" t="s">
        <v>1560</v>
      </c>
    </row>
    <row r="52" spans="1:7" s="200" customFormat="1" ht="16.8" thickBot="1">
      <c r="A52" s="257" t="s">
        <v>1561</v>
      </c>
      <c r="B52" s="258"/>
      <c r="C52" s="259">
        <f ca="1">C31+C51</f>
        <v>157715564</v>
      </c>
      <c r="D52" s="258"/>
      <c r="E52" s="258"/>
      <c r="F52" s="258"/>
      <c r="G52" s="260"/>
    </row>
    <row r="55" spans="1:7" ht="15">
      <c r="B55" s="262" t="s">
        <v>1562</v>
      </c>
      <c r="C55" s="263"/>
    </row>
    <row r="56" spans="1:7">
      <c r="B56" s="265" t="s">
        <v>802</v>
      </c>
      <c r="C56" s="267">
        <f ca="1">1-C57</f>
        <v>0.10899999999999999</v>
      </c>
    </row>
    <row r="57" spans="1:7">
      <c r="B57" s="265" t="s">
        <v>803</v>
      </c>
      <c r="C57" s="266">
        <f ca="1">ROUND(C51/C52,3)</f>
        <v>0.89100000000000001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33594.299999999996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33594.299999999996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672</v>
      </c>
      <c r="D20" s="796">
        <f ca="1">IF(C1="",'数据-汇总表'!E6,IF(INDIRECT("'数据-取费表'!c"&amp;$K$1)="住宅",INDIRECT("'数据-取费表'!s"&amp;$K$1),INDIRECT("'数据-取费表'!k"&amp;$K$1)+INDIRECT("'数据-取费表'!s"&amp;$K$1)))</f>
        <v>33594.299999999996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70" zoomScaleNormal="70" zoomScaleSheetLayoutView="70" workbookViewId="0">
      <selection activeCell="F19" sqref="F1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36.82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25145</v>
      </c>
      <c r="C2" s="1289" t="s">
        <v>805</v>
      </c>
      <c r="D2" s="1289"/>
      <c r="E2" s="1295"/>
      <c r="F2" s="1296"/>
      <c r="G2" s="2479"/>
      <c r="H2" s="2469"/>
      <c r="I2" s="2469"/>
      <c r="J2" s="2469"/>
      <c r="K2" s="2470"/>
      <c r="L2" s="2469"/>
      <c r="M2" s="2469"/>
    </row>
    <row r="3" spans="1:37" ht="18" customHeight="1" thickBot="1">
      <c r="A3" s="1297" t="s">
        <v>806</v>
      </c>
      <c r="B3" s="1298">
        <f ca="1">IF(ISERROR(B2*10000/F43),0,ROUND(B2*10000/F43,0))</f>
        <v>7485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1426</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1424</v>
      </c>
      <c r="D6" s="147" t="s">
        <v>2109</v>
      </c>
      <c r="E6" s="294" t="s">
        <v>696</v>
      </c>
      <c r="F6" s="295">
        <f ca="1">INDIRECT("'数据-取费表'!u"&amp;$G$1)</f>
        <v>1.3665866530929356</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33594.299999999996</v>
      </c>
      <c r="G7" s="1292"/>
      <c r="H7" s="296"/>
      <c r="I7" s="3355"/>
      <c r="J7" s="298"/>
      <c r="K7" s="299"/>
      <c r="L7" s="294" t="s">
        <v>697</v>
      </c>
      <c r="M7" s="295">
        <f ca="1">F7</f>
        <v>33594.299999999996</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0.15</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3453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14050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11758</v>
      </c>
      <c r="D14" s="1257" t="s">
        <v>708</v>
      </c>
      <c r="E14" s="1255"/>
      <c r="F14" s="311"/>
      <c r="G14" s="1292"/>
      <c r="H14" s="928" t="s">
        <v>398</v>
      </c>
      <c r="I14" s="294" t="s">
        <v>709</v>
      </c>
      <c r="J14" s="21">
        <f ca="1">C29</f>
        <v>16529</v>
      </c>
      <c r="K14" s="12"/>
      <c r="L14" s="759"/>
      <c r="M14" s="760"/>
    </row>
    <row r="15" spans="1:37" s="1304" customFormat="1" ht="18" customHeight="1" thickBot="1">
      <c r="A15" s="928" t="s">
        <v>399</v>
      </c>
      <c r="B15" s="294" t="s">
        <v>710</v>
      </c>
      <c r="C15" s="21">
        <f ca="1">ROUND(C14*F15,0)</f>
        <v>588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35</v>
      </c>
      <c r="K16" s="1024" t="s">
        <v>715</v>
      </c>
      <c r="L16" s="1025"/>
      <c r="M16" s="1009"/>
    </row>
    <row r="17" spans="1:37" s="1304" customFormat="1" ht="18" customHeight="1">
      <c r="A17" s="928" t="s">
        <v>681</v>
      </c>
      <c r="B17" s="294" t="s">
        <v>716</v>
      </c>
      <c r="C17" s="21">
        <f ca="1">ROUND(F17*(F43+INDIRECT("'数据-取费表'!S"&amp;$G$1))/10000,0)</f>
        <v>672</v>
      </c>
      <c r="D17" s="294" t="s">
        <v>717</v>
      </c>
      <c r="E17" s="294" t="s">
        <v>718</v>
      </c>
      <c r="F17" s="23">
        <f>'数据-取费表'!B35</f>
        <v>200</v>
      </c>
      <c r="G17" s="1303"/>
      <c r="H17" s="928" t="s">
        <v>398</v>
      </c>
      <c r="I17" s="294" t="s">
        <v>719</v>
      </c>
      <c r="J17" s="2140">
        <f ca="1">ROUND(IF(AND(项目基本情况!B11="自然人",项目基本情况!B10="北京市"),J6*M17/(1+'数据-取费表'!C42),J18+J19+J20),2)</f>
        <v>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13253</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265</v>
      </c>
      <c r="D20" s="315" t="s">
        <v>729</v>
      </c>
      <c r="E20" s="294" t="s">
        <v>712</v>
      </c>
      <c r="F20" s="314">
        <f>'数据-取费表'!B37</f>
        <v>0.02</v>
      </c>
      <c r="G20" s="1303"/>
      <c r="H20" s="928" t="s">
        <v>680</v>
      </c>
      <c r="I20" s="147" t="s">
        <v>730</v>
      </c>
      <c r="J20" s="22">
        <f ca="1">ROUND(M20*M21/10000,2)</f>
        <v>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13333.33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33.06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419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-35</v>
      </c>
      <c r="K25" s="1032" t="s">
        <v>753</v>
      </c>
      <c r="L25" s="1033"/>
      <c r="M25" s="1034"/>
    </row>
    <row r="26" spans="1:37">
      <c r="A26" s="928" t="s">
        <v>397</v>
      </c>
      <c r="B26" s="294" t="s">
        <v>754</v>
      </c>
      <c r="C26" s="21">
        <f ca="1">ROUND((C19+C20)*F26,0)</f>
        <v>1352</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16529</v>
      </c>
      <c r="D29" s="1029"/>
      <c r="E29" s="1027"/>
      <c r="F29" s="1030"/>
      <c r="G29" s="1303"/>
      <c r="H29" s="325" t="s">
        <v>396</v>
      </c>
      <c r="I29" s="326" t="s">
        <v>768</v>
      </c>
      <c r="J29" s="327">
        <f ca="1">ROUND(J26/(1+F40)^F41,0)</f>
        <v>0</v>
      </c>
      <c r="K29" s="328" t="s">
        <v>769</v>
      </c>
      <c r="L29" s="329"/>
      <c r="M29" s="330">
        <f ca="1">INDIRECT("'数据-取费表'!k"&amp;$G$1)</f>
        <v>33594.299999999996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239.33</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74.59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162.74</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13333.33</v>
      </c>
      <c r="G35" s="1292"/>
      <c r="H35" s="2471"/>
      <c r="I35" s="1305"/>
      <c r="J35" s="1306"/>
      <c r="K35" s="2475"/>
      <c r="L35" s="2474"/>
      <c r="M35" s="2474"/>
    </row>
    <row r="36" spans="1:18" ht="18" customHeight="1">
      <c r="A36" s="1039" t="s">
        <v>402</v>
      </c>
      <c r="B36" s="294" t="s">
        <v>738</v>
      </c>
      <c r="C36" s="21">
        <f ca="1">ROUND(C29*F36,2)</f>
        <v>33.06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14.05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7.13</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1132</v>
      </c>
      <c r="D39" s="1032" t="s">
        <v>773</v>
      </c>
      <c r="E39" s="1033"/>
      <c r="F39" s="1034"/>
      <c r="G39" s="1292"/>
      <c r="H39" s="2474"/>
      <c r="I39" s="1305"/>
      <c r="J39" s="1306"/>
      <c r="K39" s="2472"/>
      <c r="L39" s="2474"/>
      <c r="M39" s="2474"/>
    </row>
    <row r="40" spans="1:18" ht="18" customHeight="1">
      <c r="A40" s="291" t="s">
        <v>395</v>
      </c>
      <c r="B40" s="292" t="s">
        <v>774</v>
      </c>
      <c r="C40" s="293">
        <f ca="1">ROUND(C39*(1-((1+F42)/(1+F40))^F41)/(F40-F42),0)</f>
        <v>24756</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36.82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7369</v>
      </c>
      <c r="D43" s="328" t="s">
        <v>777</v>
      </c>
      <c r="E43" s="329" t="s">
        <v>778</v>
      </c>
      <c r="F43" s="330">
        <f ca="1">INDIRECT("'数据-取费表'!k"&amp;$G$1)</f>
        <v>33594.299999999996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-25573</v>
      </c>
      <c r="D46" s="1313" t="str">
        <f>C2</f>
        <v>万元</v>
      </c>
      <c r="E46" s="1307"/>
      <c r="F46" s="1307"/>
      <c r="I46" s="1314" t="s">
        <v>810</v>
      </c>
      <c r="J46" s="1315"/>
      <c r="K46" s="1316"/>
      <c r="L46" s="1317">
        <f ca="1">IF(M47="住宅",0,IF(L48&gt;J51,L60,J60))</f>
        <v>389</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3450</v>
      </c>
      <c r="K47" s="1323" t="s">
        <v>816</v>
      </c>
      <c r="L47" s="1324">
        <f ca="1">INDIRECT("'数据-取费表'!d"&amp;$G$1)</f>
        <v>50</v>
      </c>
      <c r="M47" s="1288" t="str">
        <f>IF(ISNUMBER(FIND("住宅",C1)),"住宅","非住宅")</f>
        <v>非住宅</v>
      </c>
      <c r="O47" s="1325" t="s">
        <v>403</v>
      </c>
      <c r="P47" s="1326" t="s">
        <v>817</v>
      </c>
      <c r="Q47" s="1327">
        <f ca="1">C40+J29</f>
        <v>24756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3451</v>
      </c>
      <c r="K48" s="1330" t="s">
        <v>820</v>
      </c>
      <c r="L48" s="1331">
        <f ca="1">INDIRECT("'数据-取费表'!f"&amp;$G$1)</f>
        <v>36.82</v>
      </c>
      <c r="O48" s="1325" t="s">
        <v>404</v>
      </c>
      <c r="P48" s="1326" t="s">
        <v>821</v>
      </c>
      <c r="Q48" s="1327">
        <f ca="1">J60</f>
        <v>389</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v>2016</v>
      </c>
      <c r="K49" s="1330" t="s">
        <v>824</v>
      </c>
      <c r="L49" s="1333"/>
      <c r="O49" s="1334" t="s">
        <v>405</v>
      </c>
      <c r="P49" s="1326" t="s">
        <v>825</v>
      </c>
      <c r="Q49" s="1327">
        <f ca="1">C29</f>
        <v>16529</v>
      </c>
      <c r="R49" s="1327" t="s">
        <v>818</v>
      </c>
    </row>
    <row r="50" spans="1:18" s="1292" customFormat="1" ht="13.8" thickBot="1">
      <c r="A50" s="922"/>
      <c r="B50" s="925"/>
      <c r="C50" s="1055"/>
      <c r="D50" s="899"/>
      <c r="E50" s="993" t="s">
        <v>697</v>
      </c>
      <c r="F50" s="994">
        <f ca="1">F7</f>
        <v>33594.299999999996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2950</v>
      </c>
      <c r="M51" s="1341"/>
      <c r="O51" s="1334" t="s">
        <v>407</v>
      </c>
      <c r="P51" s="1326" t="s">
        <v>831</v>
      </c>
      <c r="Q51" s="1337">
        <f>J52</f>
        <v>0.08</v>
      </c>
      <c r="R51" s="1327"/>
    </row>
    <row r="52" spans="1:18" s="1292" customFormat="1" ht="13.8" thickBot="1">
      <c r="A52" s="923"/>
      <c r="B52" s="925"/>
      <c r="C52" s="926"/>
      <c r="D52" s="899"/>
      <c r="E52" s="927" t="s">
        <v>699</v>
      </c>
      <c r="F52" s="991"/>
      <c r="I52" s="1342" t="s">
        <v>832</v>
      </c>
      <c r="J52" s="1343">
        <v>0.08</v>
      </c>
      <c r="K52" s="1342" t="s">
        <v>833</v>
      </c>
      <c r="L52" s="1343"/>
      <c r="O52" s="1334" t="s">
        <v>408</v>
      </c>
      <c r="P52" s="1326" t="s">
        <v>834</v>
      </c>
      <c r="Q52" s="1327">
        <f ca="1">J53</f>
        <v>36.82</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36.82</v>
      </c>
      <c r="K53" s="3352" t="s">
        <v>837</v>
      </c>
      <c r="L53" s="3353"/>
      <c r="O53" s="1325" t="s">
        <v>409</v>
      </c>
      <c r="P53" s="1326" t="s">
        <v>838</v>
      </c>
      <c r="Q53" s="1327">
        <f ca="1">Q47+Q48</f>
        <v>25145</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14050</v>
      </c>
      <c r="D56" s="1352"/>
      <c r="E56" s="1353"/>
      <c r="F56" s="1345"/>
      <c r="I56" s="1354" t="s">
        <v>842</v>
      </c>
      <c r="J56" s="1355" t="s">
        <v>3452</v>
      </c>
      <c r="K56" s="1328" t="s">
        <v>843</v>
      </c>
      <c r="L56" s="1331" t="str">
        <f ca="1">IF(L48&lt;J51,"——",L48-J53)</f>
        <v>——</v>
      </c>
      <c r="O56" s="1325" t="s">
        <v>403</v>
      </c>
      <c r="P56" s="1326" t="s">
        <v>817</v>
      </c>
      <c r="Q56" s="1327">
        <f ca="1">C40+J29</f>
        <v>24756</v>
      </c>
      <c r="R56" s="1327" t="s">
        <v>818</v>
      </c>
    </row>
    <row r="57" spans="1:18" s="1292" customFormat="1" ht="24.6" thickBot="1">
      <c r="A57" s="1356"/>
      <c r="B57" s="896" t="s">
        <v>767</v>
      </c>
      <c r="C57" s="230">
        <f ca="1">C29</f>
        <v>16529</v>
      </c>
      <c r="D57" s="1357"/>
      <c r="E57" s="1358"/>
      <c r="F57" s="1359"/>
      <c r="I57" s="1360" t="s">
        <v>844</v>
      </c>
      <c r="J57" s="1361">
        <f ca="1">IF(OR(M47="住宅",J51&lt;L48,J56="是"),"——",J51-L48)</f>
        <v>14.18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49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6612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389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2</v>
      </c>
      <c r="D62" s="911" t="s">
        <v>786</v>
      </c>
      <c r="E62" s="896" t="s">
        <v>787</v>
      </c>
      <c r="F62" s="317">
        <f t="shared" si="0"/>
        <v>1.5</v>
      </c>
      <c r="I62" s="1367" t="s">
        <v>858</v>
      </c>
      <c r="J62" s="610" t="s">
        <v>859</v>
      </c>
      <c r="K62" s="610" t="s">
        <v>860</v>
      </c>
      <c r="L62" s="610" t="s">
        <v>861</v>
      </c>
      <c r="M62" s="1368" t="s">
        <v>862</v>
      </c>
      <c r="O62" s="1325" t="s">
        <v>409</v>
      </c>
      <c r="P62" s="1326" t="s">
        <v>863</v>
      </c>
      <c r="Q62" s="1327">
        <f ca="1">Q56+Q57</f>
        <v>24756</v>
      </c>
      <c r="R62" s="1327" t="s">
        <v>410</v>
      </c>
    </row>
    <row r="63" spans="1:18" s="1292" customFormat="1" ht="13.8" thickBot="1">
      <c r="A63" s="318"/>
      <c r="B63" s="902"/>
      <c r="C63" s="26"/>
      <c r="D63" s="912"/>
      <c r="E63" s="896" t="s">
        <v>788</v>
      </c>
      <c r="F63" s="295">
        <f t="shared" ca="1" si="0"/>
        <v>13333.33</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33.06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14.05</v>
      </c>
      <c r="D65" s="910" t="s">
        <v>743</v>
      </c>
      <c r="E65" s="896" t="s">
        <v>744</v>
      </c>
      <c r="F65" s="321">
        <f t="shared" ca="1" si="0"/>
        <v>1E-3</v>
      </c>
      <c r="I65" s="1367" t="s">
        <v>867</v>
      </c>
      <c r="J65" s="610">
        <v>40</v>
      </c>
      <c r="K65" s="610">
        <v>30</v>
      </c>
      <c r="L65" s="610">
        <v>50</v>
      </c>
      <c r="M65" s="1369">
        <v>0.02</v>
      </c>
      <c r="O65" s="1325" t="s">
        <v>403</v>
      </c>
      <c r="P65" s="1326" t="s">
        <v>868</v>
      </c>
      <c r="Q65" s="1327">
        <f ca="1">C40+J29</f>
        <v>24756</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-49</v>
      </c>
      <c r="D67" s="909" t="s">
        <v>753</v>
      </c>
      <c r="E67" s="914"/>
      <c r="F67" s="915"/>
      <c r="O67" s="1334" t="s">
        <v>405</v>
      </c>
      <c r="P67" s="1326" t="s">
        <v>850</v>
      </c>
      <c r="Q67" s="1370">
        <f ca="1">L51</f>
        <v>2950</v>
      </c>
      <c r="R67" s="1327" t="s">
        <v>870</v>
      </c>
    </row>
    <row r="68" spans="1:18" s="1292" customFormat="1" ht="16.2" thickBot="1">
      <c r="A68" s="893" t="s">
        <v>395</v>
      </c>
      <c r="B68" s="894" t="s">
        <v>774</v>
      </c>
      <c r="C68" s="293">
        <f ca="1">ROUND(C67*(1-((1+F70)/(1+F68))^F69)/(F68-F70),0)</f>
        <v>-817</v>
      </c>
      <c r="D68" s="911" t="s">
        <v>758</v>
      </c>
      <c r="E68" s="896" t="s">
        <v>759</v>
      </c>
      <c r="F68" s="304">
        <f ca="1">F40</f>
        <v>0.05</v>
      </c>
      <c r="O68" s="1334" t="s">
        <v>406</v>
      </c>
      <c r="P68" s="1371" t="s">
        <v>871</v>
      </c>
      <c r="Q68" s="1327">
        <f ca="1">ROUND(Q69-Q70*Q71,0)</f>
        <v>149</v>
      </c>
      <c r="R68" s="1327" t="s">
        <v>414</v>
      </c>
    </row>
    <row r="69" spans="1:18" s="1292" customFormat="1" ht="13.8" thickBot="1">
      <c r="A69" s="897"/>
      <c r="B69" s="898"/>
      <c r="C69" s="298"/>
      <c r="D69" s="916" t="s">
        <v>762</v>
      </c>
      <c r="E69" s="896" t="s">
        <v>763</v>
      </c>
      <c r="F69" s="324">
        <f ca="1">F41</f>
        <v>36.82</v>
      </c>
      <c r="O69" s="1334" t="s">
        <v>411</v>
      </c>
      <c r="P69" s="1371" t="s">
        <v>872</v>
      </c>
      <c r="Q69" s="1327">
        <f ca="1">C39</f>
        <v>1132</v>
      </c>
      <c r="R69" s="1327" t="s">
        <v>818</v>
      </c>
    </row>
    <row r="70" spans="1:18" s="1292" customFormat="1" ht="13.8" thickBot="1">
      <c r="A70" s="900"/>
      <c r="B70" s="901"/>
      <c r="C70" s="302"/>
      <c r="D70" s="912"/>
      <c r="E70" s="896" t="s">
        <v>766</v>
      </c>
      <c r="F70" s="991"/>
      <c r="O70" s="1334" t="s">
        <v>412</v>
      </c>
      <c r="P70" s="1371" t="s">
        <v>873</v>
      </c>
      <c r="Q70" s="1327">
        <f ca="1">C13</f>
        <v>14050</v>
      </c>
      <c r="R70" s="1327" t="s">
        <v>818</v>
      </c>
    </row>
    <row r="71" spans="1:18" s="1292" customFormat="1" ht="13.8" thickBot="1">
      <c r="A71" s="917" t="s">
        <v>396</v>
      </c>
      <c r="B71" s="918" t="s">
        <v>776</v>
      </c>
      <c r="C71" s="327">
        <f ca="1">ROUND(C68*10000/F71,0)</f>
        <v>-243</v>
      </c>
      <c r="D71" s="919" t="s">
        <v>777</v>
      </c>
      <c r="E71" s="920" t="s">
        <v>778</v>
      </c>
      <c r="F71" s="330">
        <f ca="1">F43</f>
        <v>33594.299999999996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984</v>
      </c>
      <c r="D75" s="1292"/>
      <c r="E75" s="1292"/>
      <c r="F75" s="1292"/>
      <c r="K75" s="1309"/>
      <c r="L75" s="1292"/>
      <c r="O75" s="1325" t="s">
        <v>409</v>
      </c>
      <c r="P75" s="1326" t="s">
        <v>838</v>
      </c>
      <c r="Q75" s="1327">
        <f ca="1">Q65+Q66</f>
        <v>24756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0.13100000000000001</v>
      </c>
    </row>
    <row r="80" spans="1:18">
      <c r="B80" s="331" t="s">
        <v>800</v>
      </c>
      <c r="C80" s="266">
        <f ca="1">ROUND(C75/C39,3)</f>
        <v>0.86899999999999999</v>
      </c>
    </row>
    <row r="81" spans="2:3">
      <c r="B81" s="262" t="s">
        <v>801</v>
      </c>
      <c r="C81" s="230"/>
    </row>
    <row r="82" spans="2:3">
      <c r="B82" s="265" t="s">
        <v>802</v>
      </c>
      <c r="C82" s="267">
        <f ca="1">1-C83</f>
        <v>0.43200000000000005</v>
      </c>
    </row>
    <row r="83" spans="2:3">
      <c r="B83" s="265" t="s">
        <v>803</v>
      </c>
      <c r="C83" s="266">
        <f ca="1">ROUND(C13/C40,3)</f>
        <v>0.56799999999999995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0</v>
      </c>
      <c r="D6" s="147" t="s">
        <v>2106</v>
      </c>
      <c r="E6" s="294" t="s">
        <v>696</v>
      </c>
      <c r="F6" s="295">
        <f ca="1">INDIRECT("'数据-取费表'!u"&amp;$G$1)</f>
        <v>0</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2" customHeight="1">
      <c r="A2" s="1293" t="s">
        <v>2306</v>
      </c>
      <c r="B2" s="2595" t="e">
        <f>IF(D2="——",C40,C40+E2)</f>
        <v>#DIV/0!</v>
      </c>
      <c r="C2" s="2596" t="s">
        <v>2307</v>
      </c>
      <c r="D2" s="3139" t="s">
        <v>3350</v>
      </c>
      <c r="E2" s="3140"/>
      <c r="F2" s="2598"/>
      <c r="G2" s="2599"/>
      <c r="H2" s="2600"/>
      <c r="I2" s="2601"/>
      <c r="J2" s="3357" t="s">
        <v>2308</v>
      </c>
      <c r="K2" s="3358"/>
      <c r="L2" s="2602" t="s">
        <v>2309</v>
      </c>
      <c r="M2" s="2602" t="s">
        <v>2310</v>
      </c>
      <c r="N2" s="2602" t="s">
        <v>2311</v>
      </c>
      <c r="O2" s="2602" t="s">
        <v>2312</v>
      </c>
      <c r="P2" s="2602" t="s">
        <v>2313</v>
      </c>
      <c r="Q2" s="2603" t="s">
        <v>2314</v>
      </c>
      <c r="R2" s="2604" t="s">
        <v>2315</v>
      </c>
      <c r="S2" s="2593"/>
      <c r="T2" s="2593"/>
      <c r="U2" s="2593"/>
      <c r="V2" s="2601"/>
    </row>
    <row r="3" spans="1:22" s="2605" customFormat="1" ht="13.2" customHeight="1">
      <c r="A3" s="2606" t="s">
        <v>2316</v>
      </c>
      <c r="B3" s="2607" t="e">
        <f>ROUND(B2*10000/B4,0)</f>
        <v>#DIV/0!</v>
      </c>
      <c r="C3" s="2596" t="s">
        <v>2317</v>
      </c>
      <c r="D3" s="2596"/>
      <c r="E3" s="2597"/>
      <c r="F3" s="2598"/>
      <c r="G3" s="2599"/>
      <c r="H3" s="2600"/>
      <c r="I3" s="2601"/>
      <c r="J3" s="3359" t="s">
        <v>2318</v>
      </c>
      <c r="K3" s="3360"/>
      <c r="L3" s="2608"/>
      <c r="M3" s="2608"/>
      <c r="N3" s="2608"/>
      <c r="O3" s="2608"/>
      <c r="P3" s="2608"/>
      <c r="Q3" s="2609"/>
      <c r="R3" s="2610">
        <f>SUM(L3:Q3)</f>
        <v>0</v>
      </c>
      <c r="S3" s="2593"/>
      <c r="T3" s="2593"/>
      <c r="U3" s="2593"/>
      <c r="V3" s="2601"/>
    </row>
    <row r="4" spans="1:22" s="2605" customFormat="1" ht="13.2" customHeight="1">
      <c r="A4" s="2611" t="s">
        <v>2319</v>
      </c>
      <c r="B4" s="2612"/>
      <c r="C4" s="2596"/>
      <c r="D4" s="2596"/>
      <c r="E4" s="2597"/>
      <c r="F4" s="2598"/>
      <c r="G4" s="2599"/>
      <c r="H4" s="2600"/>
      <c r="I4" s="2601"/>
      <c r="J4" s="3359" t="s">
        <v>2320</v>
      </c>
      <c r="K4" s="3360"/>
      <c r="L4" s="2613"/>
      <c r="M4" s="2613"/>
      <c r="N4" s="2613"/>
      <c r="O4" s="2613"/>
      <c r="P4" s="2613"/>
      <c r="Q4" s="2614"/>
      <c r="R4" s="2615">
        <f>SUM(L4:Q4)</f>
        <v>0</v>
      </c>
      <c r="S4" s="2593"/>
      <c r="T4" s="2593"/>
      <c r="U4" s="2593"/>
      <c r="V4" s="2601"/>
    </row>
    <row r="5" spans="1:22" s="2605" customFormat="1" ht="13.2"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2" customHeight="1" thickBot="1">
      <c r="A6" s="3361" t="s">
        <v>2324</v>
      </c>
      <c r="B6" s="3362"/>
      <c r="C6" s="3363"/>
      <c r="D6" s="2622"/>
      <c r="E6" s="2623"/>
      <c r="F6" s="2624"/>
      <c r="G6" s="2625"/>
      <c r="H6" s="2600"/>
      <c r="I6" s="2601"/>
      <c r="J6" s="3364">
        <v>1</v>
      </c>
      <c r="K6" s="336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2" customHeight="1">
      <c r="A7" s="2628" t="s">
        <v>2334</v>
      </c>
      <c r="B7" s="2629"/>
      <c r="C7" s="2630"/>
      <c r="D7" s="2631">
        <f>SUM(D9,D10,D11,D17,0)</f>
        <v>0</v>
      </c>
      <c r="E7" s="2632" t="e">
        <f>E9+E10+E11+E17</f>
        <v>#DIV/0!</v>
      </c>
      <c r="F7" s="2633"/>
      <c r="G7" s="2634"/>
      <c r="H7" s="2600"/>
      <c r="I7" s="2601"/>
      <c r="J7" s="3364"/>
      <c r="K7" s="3366"/>
      <c r="L7" s="2635" t="s">
        <v>2335</v>
      </c>
      <c r="M7" s="2636"/>
      <c r="N7" s="2612"/>
      <c r="O7" s="2637"/>
      <c r="P7" s="2637"/>
      <c r="Q7" s="2638">
        <v>365</v>
      </c>
      <c r="R7" s="2639">
        <f>ROUND(M7*N7*O7*P7*Q7/10000,0)</f>
        <v>0</v>
      </c>
      <c r="S7" s="2593"/>
      <c r="T7" s="2593" t="s">
        <v>2336</v>
      </c>
      <c r="U7" s="2593"/>
      <c r="V7" s="2601"/>
    </row>
    <row r="8" spans="1:22" s="2605" customFormat="1" ht="13.2" customHeight="1">
      <c r="A8" s="2640" t="s">
        <v>2337</v>
      </c>
      <c r="B8" s="3368" t="s">
        <v>2338</v>
      </c>
      <c r="C8" s="3369"/>
      <c r="D8" s="2641" t="s">
        <v>2339</v>
      </c>
      <c r="E8" s="2642" t="s">
        <v>2340</v>
      </c>
      <c r="F8" s="2643" t="s">
        <v>2341</v>
      </c>
      <c r="G8" s="2644"/>
      <c r="H8" s="2600"/>
      <c r="I8" s="2601"/>
      <c r="J8" s="3364"/>
      <c r="K8" s="3366"/>
      <c r="L8" s="2635" t="s">
        <v>2342</v>
      </c>
      <c r="M8" s="2636"/>
      <c r="N8" s="2612"/>
      <c r="O8" s="2637"/>
      <c r="P8" s="2637"/>
      <c r="Q8" s="2638">
        <v>365</v>
      </c>
      <c r="R8" s="2639">
        <f t="shared" ref="R8:R13" si="0">ROUND(M8*N8*O8*P8*Q8/10000,0)</f>
        <v>0</v>
      </c>
      <c r="S8" s="2593"/>
      <c r="T8" s="2593" t="s">
        <v>2343</v>
      </c>
      <c r="U8" s="2593"/>
      <c r="V8" s="2601"/>
    </row>
    <row r="9" spans="1:22" s="2605" customFormat="1" ht="13.2" customHeight="1">
      <c r="A9" s="2640">
        <v>1</v>
      </c>
      <c r="B9" s="3368" t="s">
        <v>2344</v>
      </c>
      <c r="C9" s="3369"/>
      <c r="D9" s="2641">
        <f>ROUND(D6*E9,0)</f>
        <v>0</v>
      </c>
      <c r="E9" s="2645"/>
      <c r="F9" s="2646" t="s">
        <v>2345</v>
      </c>
      <c r="G9" s="2625"/>
      <c r="H9" s="2600"/>
      <c r="I9" s="2601"/>
      <c r="J9" s="3364"/>
      <c r="K9" s="3366"/>
      <c r="L9" s="2635" t="s">
        <v>2346</v>
      </c>
      <c r="M9" s="2636"/>
      <c r="N9" s="2612"/>
      <c r="O9" s="2637"/>
      <c r="P9" s="2637"/>
      <c r="Q9" s="2638">
        <v>365</v>
      </c>
      <c r="R9" s="2639">
        <f t="shared" si="0"/>
        <v>0</v>
      </c>
      <c r="S9" s="2593"/>
      <c r="T9" s="2593"/>
      <c r="U9" s="2593"/>
      <c r="V9" s="2601"/>
    </row>
    <row r="10" spans="1:22" s="2605" customFormat="1" ht="13.2" customHeight="1">
      <c r="A10" s="2640">
        <v>2</v>
      </c>
      <c r="B10" s="3368" t="s">
        <v>2347</v>
      </c>
      <c r="C10" s="3369"/>
      <c r="D10" s="2641">
        <f>ROUND(D6*E10,0)</f>
        <v>0</v>
      </c>
      <c r="E10" s="2645"/>
      <c r="F10" s="2646" t="s">
        <v>2348</v>
      </c>
      <c r="G10" s="2625"/>
      <c r="H10" s="2600"/>
      <c r="I10" s="2601"/>
      <c r="J10" s="3364"/>
      <c r="K10" s="3366"/>
      <c r="L10" s="2635" t="s">
        <v>2349</v>
      </c>
      <c r="M10" s="2636"/>
      <c r="N10" s="2612"/>
      <c r="O10" s="2637"/>
      <c r="P10" s="2637"/>
      <c r="Q10" s="2638">
        <v>365</v>
      </c>
      <c r="R10" s="2639">
        <f t="shared" si="0"/>
        <v>0</v>
      </c>
      <c r="S10" s="2593"/>
      <c r="T10" s="2593"/>
      <c r="U10" s="2593"/>
      <c r="V10" s="2601"/>
    </row>
    <row r="11" spans="1:22" s="2605" customFormat="1" ht="13.2" customHeight="1">
      <c r="A11" s="2640">
        <v>3</v>
      </c>
      <c r="B11" s="3368" t="s">
        <v>2350</v>
      </c>
      <c r="C11" s="3369"/>
      <c r="D11" s="2641">
        <f>D12+D14+D15+D16</f>
        <v>0</v>
      </c>
      <c r="E11" s="2647" t="e">
        <f>D11/D6</f>
        <v>#DIV/0!</v>
      </c>
      <c r="F11" s="2643"/>
      <c r="G11" s="2644"/>
      <c r="H11" s="2600"/>
      <c r="I11" s="2601"/>
      <c r="J11" s="3364"/>
      <c r="K11" s="3366"/>
      <c r="L11" s="2635" t="s">
        <v>2351</v>
      </c>
      <c r="M11" s="2636"/>
      <c r="N11" s="2612"/>
      <c r="O11" s="2637"/>
      <c r="P11" s="2637"/>
      <c r="Q11" s="2638">
        <v>365</v>
      </c>
      <c r="R11" s="2639">
        <f t="shared" si="0"/>
        <v>0</v>
      </c>
      <c r="S11" s="2593"/>
      <c r="T11" s="2593"/>
      <c r="U11" s="2593"/>
      <c r="V11" s="2601"/>
    </row>
    <row r="12" spans="1:22" s="2605" customFormat="1" ht="13.2" customHeight="1">
      <c r="A12" s="2648" t="s">
        <v>2352</v>
      </c>
      <c r="B12" s="3370" t="s">
        <v>2353</v>
      </c>
      <c r="C12" s="3371"/>
      <c r="D12" s="2649">
        <f>ROUND(D13*1.2%*(1-30%),0)</f>
        <v>0</v>
      </c>
      <c r="E12" s="2650">
        <v>1.2E-2</v>
      </c>
      <c r="F12" s="2643" t="s">
        <v>2354</v>
      </c>
      <c r="G12" s="2644"/>
      <c r="H12" s="2600"/>
      <c r="I12" s="2601"/>
      <c r="J12" s="3364"/>
      <c r="K12" s="3366"/>
      <c r="L12" s="2635" t="s">
        <v>2355</v>
      </c>
      <c r="M12" s="2636"/>
      <c r="N12" s="2612"/>
      <c r="O12" s="2637"/>
      <c r="P12" s="2637"/>
      <c r="Q12" s="2638">
        <v>365</v>
      </c>
      <c r="R12" s="2639">
        <f t="shared" si="0"/>
        <v>0</v>
      </c>
      <c r="S12" s="2593"/>
      <c r="T12" s="2593"/>
      <c r="U12" s="2593"/>
      <c r="V12" s="2601"/>
    </row>
    <row r="13" spans="1:22" s="2605" customFormat="1" ht="13.2" customHeight="1">
      <c r="A13" s="2648"/>
      <c r="B13" s="2651"/>
      <c r="C13" s="2652" t="s">
        <v>2356</v>
      </c>
      <c r="D13" s="2653"/>
      <c r="E13" s="2654"/>
      <c r="F13" s="2643"/>
      <c r="G13" s="2644"/>
      <c r="H13" s="2600"/>
      <c r="I13" s="2601"/>
      <c r="J13" s="3364"/>
      <c r="K13" s="3366"/>
      <c r="L13" s="2635" t="s">
        <v>2357</v>
      </c>
      <c r="M13" s="2636"/>
      <c r="N13" s="2612"/>
      <c r="O13" s="2637"/>
      <c r="P13" s="2637"/>
      <c r="Q13" s="2638">
        <v>365</v>
      </c>
      <c r="R13" s="2639">
        <f t="shared" si="0"/>
        <v>0</v>
      </c>
      <c r="S13" s="2593"/>
      <c r="T13" s="2593"/>
      <c r="U13" s="2593"/>
      <c r="V13" s="2601"/>
    </row>
    <row r="14" spans="1:22" s="2605" customFormat="1" ht="13.2" customHeight="1">
      <c r="A14" s="2648" t="s">
        <v>2358</v>
      </c>
      <c r="B14" s="3370" t="s">
        <v>2359</v>
      </c>
      <c r="C14" s="3371"/>
      <c r="D14" s="2649">
        <f>ROUND(E14*B5/10000,0)</f>
        <v>0</v>
      </c>
      <c r="E14" s="2638"/>
      <c r="F14" s="2643" t="s">
        <v>2360</v>
      </c>
      <c r="G14" s="2644"/>
      <c r="H14" s="2600"/>
      <c r="I14" s="2601"/>
      <c r="J14" s="3364"/>
      <c r="K14" s="336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2362</v>
      </c>
      <c r="B15" s="3370" t="s">
        <v>2363</v>
      </c>
      <c r="C15" s="3371"/>
      <c r="D15" s="2649">
        <f>ROUND(D6*E15,0)</f>
        <v>0</v>
      </c>
      <c r="E15" s="2650">
        <v>5.5E-2</v>
      </c>
      <c r="F15" s="2643" t="s">
        <v>2364</v>
      </c>
      <c r="G15" s="2625"/>
      <c r="H15" s="2600"/>
      <c r="I15" s="2601"/>
      <c r="J15" s="3364">
        <v>2</v>
      </c>
      <c r="K15" s="336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2" customHeight="1">
      <c r="A16" s="2648" t="s">
        <v>2371</v>
      </c>
      <c r="B16" s="3370" t="s">
        <v>2372</v>
      </c>
      <c r="C16" s="3371"/>
      <c r="D16" s="2660">
        <f>D6*E16</f>
        <v>0</v>
      </c>
      <c r="E16" s="2661"/>
      <c r="F16" s="2646" t="s">
        <v>2373</v>
      </c>
      <c r="G16" s="2625"/>
      <c r="H16" s="2600"/>
      <c r="I16" s="2601"/>
      <c r="J16" s="3364"/>
      <c r="K16" s="3366"/>
      <c r="L16" s="2635" t="s">
        <v>2374</v>
      </c>
      <c r="M16" s="2636"/>
      <c r="N16" s="2636"/>
      <c r="O16" s="2637"/>
      <c r="P16" s="2638">
        <v>365</v>
      </c>
      <c r="Q16" s="2612"/>
      <c r="R16" s="2659">
        <f>ROUND(M16*N16*O16*P16/10000,0)</f>
        <v>0</v>
      </c>
      <c r="S16" s="2593"/>
      <c r="T16" s="2593"/>
      <c r="U16" s="2593"/>
      <c r="V16" s="2601"/>
    </row>
    <row r="17" spans="1:22" s="2605" customFormat="1" ht="13.2" customHeight="1" thickBot="1">
      <c r="A17" s="2662">
        <v>4</v>
      </c>
      <c r="B17" s="3372" t="s">
        <v>2375</v>
      </c>
      <c r="C17" s="3373"/>
      <c r="D17" s="2663">
        <f>ROUND(D6*E17,0)</f>
        <v>0</v>
      </c>
      <c r="E17" s="2664"/>
      <c r="F17" s="2665" t="s">
        <v>2376</v>
      </c>
      <c r="G17" s="2625"/>
      <c r="H17" s="2600"/>
      <c r="I17" s="2601"/>
      <c r="J17" s="3364"/>
      <c r="K17" s="3366"/>
      <c r="L17" s="2635" t="s">
        <v>2377</v>
      </c>
      <c r="M17" s="2636"/>
      <c r="N17" s="2636"/>
      <c r="O17" s="2637"/>
      <c r="P17" s="2638">
        <v>365</v>
      </c>
      <c r="Q17" s="2612"/>
      <c r="R17" s="2659">
        <f>ROUND(M17*N17*O17*P17/10000,0)</f>
        <v>0</v>
      </c>
      <c r="S17" s="2593"/>
      <c r="T17" s="2593"/>
      <c r="U17" s="2593"/>
      <c r="V17" s="2601"/>
    </row>
    <row r="18" spans="1:22" s="2605" customFormat="1" ht="13.2" customHeight="1" thickBot="1">
      <c r="A18" s="2628" t="s">
        <v>2378</v>
      </c>
      <c r="B18" s="2629"/>
      <c r="C18" s="2629"/>
      <c r="D18" s="2666">
        <f>ROUND(D6*E18,0)</f>
        <v>0</v>
      </c>
      <c r="E18" s="2667"/>
      <c r="F18" s="2668" t="s">
        <v>2379</v>
      </c>
      <c r="G18" s="2625"/>
      <c r="H18" s="2600"/>
      <c r="I18" s="2601"/>
      <c r="J18" s="3364"/>
      <c r="K18" s="3366"/>
      <c r="L18" s="2635" t="s">
        <v>2380</v>
      </c>
      <c r="M18" s="2636"/>
      <c r="N18" s="2636"/>
      <c r="O18" s="2637"/>
      <c r="P18" s="2638">
        <v>365</v>
      </c>
      <c r="Q18" s="2612"/>
      <c r="R18" s="2659">
        <f>ROUND(M18*N18*O18*P18/10000,0)</f>
        <v>0</v>
      </c>
      <c r="S18" s="2593"/>
      <c r="T18" s="2593"/>
      <c r="U18" s="2593"/>
      <c r="V18" s="2601"/>
    </row>
    <row r="19" spans="1:22" s="2605" customFormat="1" ht="13.2" customHeight="1" thickBot="1">
      <c r="A19" s="2669" t="s">
        <v>2381</v>
      </c>
      <c r="B19" s="2623"/>
      <c r="C19" s="2623"/>
      <c r="D19" s="2623"/>
      <c r="E19" s="2623"/>
      <c r="F19" s="2624"/>
      <c r="G19" s="2644"/>
      <c r="H19" s="2600"/>
      <c r="I19" s="2601"/>
      <c r="J19" s="3364"/>
      <c r="K19" s="336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64">
        <v>3</v>
      </c>
      <c r="K20" s="336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2" customHeight="1">
      <c r="A21" s="2628"/>
      <c r="B21" s="2629"/>
      <c r="C21" s="2674" t="s">
        <v>2390</v>
      </c>
      <c r="D21" s="2675" t="s">
        <v>2391</v>
      </c>
      <c r="E21" s="2676" t="s">
        <v>2392</v>
      </c>
      <c r="F21" s="2672"/>
      <c r="G21" s="2644"/>
      <c r="H21" s="2600"/>
      <c r="I21" s="2601"/>
      <c r="J21" s="3364"/>
      <c r="K21" s="3366"/>
      <c r="L21" s="2635" t="s">
        <v>2393</v>
      </c>
      <c r="M21" s="2636"/>
      <c r="N21" s="2636"/>
      <c r="O21" s="2637"/>
      <c r="P21" s="2638">
        <v>365</v>
      </c>
      <c r="Q21" s="2612"/>
      <c r="R21" s="2677">
        <f>ROUND(M21*N21*O21*P21/10000,0)</f>
        <v>0</v>
      </c>
      <c r="S21" s="2593"/>
      <c r="T21" s="2593"/>
      <c r="U21" s="2593"/>
      <c r="V21" s="2601"/>
    </row>
    <row r="22" spans="1:22" s="2605" customFormat="1" ht="13.2" customHeight="1">
      <c r="A22" s="2628"/>
      <c r="B22" s="2629"/>
      <c r="C22" s="2678" t="s">
        <v>2394</v>
      </c>
      <c r="D22" s="2679" t="s">
        <v>2395</v>
      </c>
      <c r="E22" s="2680" t="s">
        <v>2396</v>
      </c>
      <c r="F22" s="2672"/>
      <c r="G22" s="2593"/>
      <c r="H22" s="2600"/>
      <c r="I22" s="2601"/>
      <c r="J22" s="3364"/>
      <c r="K22" s="3366"/>
      <c r="L22" s="2635" t="s">
        <v>2397</v>
      </c>
      <c r="M22" s="2636"/>
      <c r="N22" s="2636"/>
      <c r="O22" s="2637"/>
      <c r="P22" s="2638">
        <v>365</v>
      </c>
      <c r="Q22" s="2612"/>
      <c r="R22" s="2677">
        <f>ROUND(M22*N22*O22*P22/10000,0)</f>
        <v>0</v>
      </c>
      <c r="S22" s="2593"/>
      <c r="T22" s="2593"/>
      <c r="U22" s="2593"/>
      <c r="V22" s="2601"/>
    </row>
    <row r="23" spans="1:22" s="2605" customFormat="1" ht="13.2" customHeight="1">
      <c r="A23" s="2681">
        <v>1</v>
      </c>
      <c r="B23" s="2682" t="s">
        <v>2398</v>
      </c>
      <c r="C23" s="2683">
        <f>D6</f>
        <v>0</v>
      </c>
      <c r="D23" s="2684">
        <f>C23*(1+D24)</f>
        <v>0</v>
      </c>
      <c r="E23" s="2685">
        <f>D23*(1+E24)</f>
        <v>0</v>
      </c>
      <c r="F23" s="2686"/>
      <c r="G23" s="2687"/>
      <c r="H23" s="2600"/>
      <c r="I23" s="2601"/>
      <c r="J23" s="3364"/>
      <c r="K23" s="3366"/>
      <c r="L23" s="2635" t="s">
        <v>2399</v>
      </c>
      <c r="M23" s="2636"/>
      <c r="N23" s="2636"/>
      <c r="O23" s="2637"/>
      <c r="P23" s="2638">
        <v>365</v>
      </c>
      <c r="Q23" s="2612"/>
      <c r="R23" s="2677">
        <f>ROUND(M23*N23*O23*P23/10000,0)</f>
        <v>0</v>
      </c>
      <c r="S23" s="2593"/>
      <c r="T23" s="2593"/>
      <c r="U23" s="2593"/>
      <c r="V23" s="2601"/>
    </row>
    <row r="24" spans="1:22" s="2605" customFormat="1" ht="13.2" customHeight="1">
      <c r="A24" s="2688"/>
      <c r="B24" s="2689" t="s">
        <v>2400</v>
      </c>
      <c r="C24" s="2690"/>
      <c r="D24" s="2691"/>
      <c r="E24" s="2692"/>
      <c r="F24" s="2693"/>
      <c r="G24" s="2687"/>
      <c r="H24" s="2600"/>
      <c r="I24" s="2601"/>
      <c r="J24" s="3364"/>
      <c r="K24" s="336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2" customHeight="1">
      <c r="A26" s="2681">
        <v>2</v>
      </c>
      <c r="B26" s="2682" t="s">
        <v>2402</v>
      </c>
      <c r="C26" s="2683">
        <f>D7</f>
        <v>0</v>
      </c>
      <c r="D26" s="2684">
        <f>D23*D27</f>
        <v>0</v>
      </c>
      <c r="E26" s="2685">
        <f>E23*E27</f>
        <v>0</v>
      </c>
      <c r="F26" s="2686"/>
      <c r="G26" s="2687"/>
      <c r="H26" s="2600"/>
      <c r="I26" s="2601"/>
      <c r="J26" s="337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2" customHeight="1">
      <c r="A27" s="2688"/>
      <c r="B27" s="2689" t="s">
        <v>2408</v>
      </c>
      <c r="C27" s="2706" t="e">
        <f>E7</f>
        <v>#DIV/0!</v>
      </c>
      <c r="D27" s="2691"/>
      <c r="E27" s="2692"/>
      <c r="F27" s="2693"/>
      <c r="G27" s="2687"/>
      <c r="H27" s="2707"/>
      <c r="I27" s="2699"/>
      <c r="J27" s="3375"/>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2"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2" customHeight="1">
      <c r="A32" s="2681">
        <v>4</v>
      </c>
      <c r="B32" s="2682" t="s">
        <v>2416</v>
      </c>
      <c r="C32" s="2683">
        <f>C23-C26-C29</f>
        <v>0</v>
      </c>
      <c r="D32" s="2684">
        <f>D23-D26-D29</f>
        <v>0</v>
      </c>
      <c r="E32" s="2685">
        <f>E23-E26-E29</f>
        <v>0</v>
      </c>
      <c r="F32" s="2686"/>
      <c r="G32" s="2593"/>
      <c r="H32" s="2600"/>
      <c r="I32" s="2601"/>
      <c r="J32" s="3357" t="s">
        <v>2308</v>
      </c>
      <c r="K32" s="3358"/>
      <c r="L32" s="2602" t="s">
        <v>2309</v>
      </c>
      <c r="M32" s="2602" t="s">
        <v>2310</v>
      </c>
      <c r="N32" s="2602" t="s">
        <v>2311</v>
      </c>
      <c r="O32" s="2602" t="s">
        <v>2312</v>
      </c>
      <c r="P32" s="2602" t="s">
        <v>2313</v>
      </c>
      <c r="Q32" s="2603" t="s">
        <v>2314</v>
      </c>
      <c r="R32" s="2722" t="s">
        <v>2315</v>
      </c>
      <c r="S32" s="2593"/>
      <c r="T32" s="2593"/>
      <c r="U32" s="2593"/>
      <c r="V32" s="2699"/>
    </row>
    <row r="33" spans="1:23" s="2605" customFormat="1" ht="13.2" customHeight="1">
      <c r="A33" s="2681"/>
      <c r="B33" s="2682"/>
      <c r="C33" s="2683"/>
      <c r="D33" s="2723"/>
      <c r="E33" s="2724"/>
      <c r="F33" s="2686"/>
      <c r="G33" s="2593"/>
      <c r="H33" s="2707"/>
      <c r="I33" s="2699"/>
      <c r="J33" s="3359" t="s">
        <v>2318</v>
      </c>
      <c r="K33" s="3360"/>
      <c r="L33" s="2608"/>
      <c r="M33" s="2608"/>
      <c r="N33" s="2608"/>
      <c r="O33" s="2608"/>
      <c r="P33" s="2608"/>
      <c r="Q33" s="2609"/>
      <c r="R33" s="2725">
        <f>SUM(L33:Q33)</f>
        <v>0</v>
      </c>
      <c r="S33" s="2593"/>
      <c r="T33" s="2593"/>
      <c r="U33" s="2593"/>
      <c r="V33" s="2601"/>
    </row>
    <row r="34" spans="1:23" s="2605" customFormat="1" ht="13.2" customHeight="1">
      <c r="A34" s="2681">
        <v>5</v>
      </c>
      <c r="B34" s="2682" t="s">
        <v>2417</v>
      </c>
      <c r="C34" s="2726"/>
      <c r="D34" s="2727"/>
      <c r="E34" s="2728"/>
      <c r="F34" s="2686"/>
      <c r="G34" s="2593"/>
      <c r="H34" s="2707"/>
      <c r="I34" s="2699"/>
      <c r="J34" s="3359" t="s">
        <v>2320</v>
      </c>
      <c r="K34" s="3360"/>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2" customHeight="1" thickBot="1">
      <c r="A36" s="2681">
        <v>7</v>
      </c>
      <c r="B36" s="2735" t="s">
        <v>2419</v>
      </c>
      <c r="C36" s="2736"/>
      <c r="D36" s="2737"/>
      <c r="E36" s="2738"/>
      <c r="F36" s="2739">
        <f>C36+D36+E36</f>
        <v>0</v>
      </c>
      <c r="G36" s="2593"/>
      <c r="H36" s="2600"/>
      <c r="I36" s="2601"/>
      <c r="J36" s="3364">
        <v>1</v>
      </c>
      <c r="K36" s="3365" t="s">
        <v>2420</v>
      </c>
      <c r="L36" s="2626"/>
      <c r="M36" s="2627"/>
      <c r="N36" s="2627"/>
      <c r="O36" s="2627"/>
      <c r="P36" s="2627"/>
      <c r="Q36" s="2627"/>
      <c r="R36" s="2610" t="s">
        <v>2332</v>
      </c>
      <c r="S36" s="2593"/>
      <c r="T36" s="2593" t="s">
        <v>2333</v>
      </c>
      <c r="U36" s="2593"/>
      <c r="V36" s="2601"/>
    </row>
    <row r="37" spans="1:23" s="2605" customFormat="1" ht="13.2" customHeight="1">
      <c r="A37" s="2681"/>
      <c r="B37" s="2682"/>
      <c r="C37" s="2682"/>
      <c r="D37" s="2682"/>
      <c r="E37" s="2682"/>
      <c r="F37" s="2686"/>
      <c r="G37" s="2593"/>
      <c r="H37" s="2600"/>
      <c r="I37" s="2601"/>
      <c r="J37" s="3364"/>
      <c r="K37" s="3366"/>
      <c r="L37" s="2635"/>
      <c r="M37" s="2636"/>
      <c r="N37" s="2612"/>
      <c r="O37" s="2637"/>
      <c r="P37" s="2637"/>
      <c r="Q37" s="2638"/>
      <c r="R37" s="2639"/>
      <c r="S37" s="2593"/>
      <c r="T37" s="2593" t="s">
        <v>2336</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64"/>
      <c r="K38" s="3366"/>
      <c r="L38" s="2635"/>
      <c r="M38" s="2636"/>
      <c r="N38" s="2612"/>
      <c r="O38" s="2637"/>
      <c r="P38" s="2637"/>
      <c r="Q38" s="2638"/>
      <c r="R38" s="2639"/>
      <c r="S38" s="2593"/>
      <c r="T38" s="2593" t="s">
        <v>2343</v>
      </c>
      <c r="U38" s="2593"/>
      <c r="V38" s="2601"/>
    </row>
    <row r="39" spans="1:23" s="2605" customFormat="1" ht="13.2" customHeight="1">
      <c r="A39" s="2681">
        <v>9</v>
      </c>
      <c r="B39" s="2682" t="s">
        <v>2421</v>
      </c>
      <c r="C39" s="2649" t="e">
        <f>C38</f>
        <v>#DIV/0!</v>
      </c>
      <c r="D39" s="2682">
        <f>D38/(1+D34)^C36</f>
        <v>0</v>
      </c>
      <c r="E39" s="2682">
        <f>E38/(1+E34)^(C36+D36)</f>
        <v>0</v>
      </c>
      <c r="F39" s="2686"/>
      <c r="G39" s="2601"/>
      <c r="H39" s="2600"/>
      <c r="I39" s="2601"/>
      <c r="J39" s="3364"/>
      <c r="K39" s="3366"/>
      <c r="L39" s="2635"/>
      <c r="M39" s="2636"/>
      <c r="N39" s="2612"/>
      <c r="O39" s="2637"/>
      <c r="P39" s="2637"/>
      <c r="Q39" s="2638"/>
      <c r="R39" s="2639"/>
      <c r="S39" s="2593"/>
      <c r="T39" s="2593"/>
      <c r="U39" s="2593"/>
      <c r="V39" s="2601"/>
    </row>
    <row r="40" spans="1:23" s="2605" customFormat="1" ht="13.2" customHeight="1">
      <c r="A40" s="2740">
        <v>10</v>
      </c>
      <c r="B40" s="2682" t="s">
        <v>2422</v>
      </c>
      <c r="C40" s="2741" t="e">
        <f>C39+D39+E39</f>
        <v>#DIV/0!</v>
      </c>
      <c r="D40" s="2742"/>
      <c r="E40" s="2742"/>
      <c r="F40" s="2743"/>
      <c r="G40" s="2593"/>
      <c r="H40" s="2600"/>
      <c r="I40" s="2601"/>
      <c r="J40" s="3364"/>
      <c r="K40" s="3367"/>
      <c r="L40" s="2655" t="s">
        <v>2361</v>
      </c>
      <c r="M40" s="2656"/>
      <c r="N40" s="2656"/>
      <c r="O40" s="2657"/>
      <c r="P40" s="2657"/>
      <c r="Q40" s="2658"/>
      <c r="R40" s="2604">
        <f>SUM(R37:R39)</f>
        <v>0</v>
      </c>
      <c r="S40" s="2593"/>
      <c r="T40" s="2593"/>
      <c r="U40" s="2593"/>
      <c r="V40" s="2601"/>
    </row>
    <row r="41" spans="1:23" s="2605" customFormat="1" ht="13.2"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2" customHeight="1">
      <c r="G42" s="2600"/>
      <c r="H42" s="2600"/>
      <c r="I42" s="2601"/>
      <c r="J42" s="3374">
        <v>3</v>
      </c>
      <c r="K42" s="2701" t="s">
        <v>2403</v>
      </c>
      <c r="L42" s="2702"/>
      <c r="M42" s="2703"/>
      <c r="N42" s="2704" t="s">
        <v>2404</v>
      </c>
      <c r="O42" s="2704" t="s">
        <v>2405</v>
      </c>
      <c r="P42" s="2705" t="s">
        <v>2406</v>
      </c>
      <c r="Q42" s="2705" t="s">
        <v>2407</v>
      </c>
      <c r="R42" s="2610" t="s">
        <v>2332</v>
      </c>
      <c r="S42" s="2644"/>
      <c r="T42" s="2644"/>
      <c r="U42" s="2593"/>
      <c r="V42" s="2601"/>
    </row>
    <row r="43" spans="1:23" ht="13.2" customHeight="1">
      <c r="A43" s="2605"/>
      <c r="B43" s="2605"/>
      <c r="C43" s="2605"/>
      <c r="D43" s="2605"/>
      <c r="E43" s="2605"/>
      <c r="F43" s="2605"/>
      <c r="I43" s="2588"/>
      <c r="J43" s="3375"/>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25145</v>
      </c>
      <c r="C2" s="1729" t="s">
        <v>1651</v>
      </c>
      <c r="D2" s="1730" t="s">
        <v>1652</v>
      </c>
      <c r="E2" s="2393">
        <f>SUM(E6:E13)</f>
        <v>33594.299999999996</v>
      </c>
      <c r="F2" s="2480"/>
      <c r="G2" s="459"/>
      <c r="H2" s="459"/>
      <c r="I2" s="459"/>
      <c r="J2" s="459"/>
      <c r="K2" s="459"/>
      <c r="L2" s="459"/>
      <c r="M2" s="459"/>
      <c r="N2" s="459"/>
      <c r="O2" s="459"/>
      <c r="P2" s="459"/>
      <c r="Q2" s="459"/>
      <c r="R2" s="459"/>
      <c r="S2" s="459"/>
    </row>
    <row r="3" spans="1:22" ht="15.6">
      <c r="A3" s="1728" t="s">
        <v>686</v>
      </c>
      <c r="B3" s="2387">
        <f ca="1">ROUND(B2*10000/E2,0)</f>
        <v>7485</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76" t="s">
        <v>1654</v>
      </c>
      <c r="C5" s="3377"/>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25145</v>
      </c>
      <c r="C6" s="1729" t="s">
        <v>1651</v>
      </c>
      <c r="D6" s="2480"/>
      <c r="E6" s="2392">
        <f>IF(OR(A6=0,F6="否"),0,'数据-取费表'!K6+'数据-取费表'!S6)</f>
        <v>33594.299999999996</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33594.299999999996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7"/>
      <c r="M4" s="2488"/>
      <c r="N4" s="2488"/>
      <c r="O4" s="2488"/>
      <c r="P4" s="3400" t="s">
        <v>1672</v>
      </c>
      <c r="Q4" s="3401"/>
      <c r="R4" s="3383" t="s">
        <v>1668</v>
      </c>
      <c r="S4" s="3384"/>
      <c r="T4" s="3383" t="s">
        <v>1669</v>
      </c>
      <c r="U4" s="3384"/>
      <c r="V4" s="3408" t="s">
        <v>1670</v>
      </c>
      <c r="W4" s="3408"/>
      <c r="X4" s="1265"/>
      <c r="Y4" s="3383" t="s">
        <v>1672</v>
      </c>
      <c r="Z4" s="3384"/>
      <c r="AA4" s="3378" t="s">
        <v>1668</v>
      </c>
      <c r="AB4" s="3378" t="s">
        <v>1669</v>
      </c>
      <c r="AC4" s="3378" t="s">
        <v>1670</v>
      </c>
    </row>
    <row r="5" spans="1:29">
      <c r="A5" s="348"/>
      <c r="B5" s="349"/>
      <c r="C5" s="3389" t="s">
        <v>1673</v>
      </c>
      <c r="D5" s="3390"/>
      <c r="E5" s="3387" t="s">
        <v>1674</v>
      </c>
      <c r="F5" s="3388"/>
      <c r="G5" s="3389" t="s">
        <v>1675</v>
      </c>
      <c r="H5" s="3390"/>
      <c r="I5" s="3389" t="s">
        <v>1676</v>
      </c>
      <c r="J5" s="3390"/>
      <c r="K5" s="1745"/>
      <c r="L5" s="2487"/>
      <c r="M5" s="2488"/>
      <c r="N5" s="2488"/>
      <c r="O5" s="2488"/>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1745" t="s">
        <v>1678</v>
      </c>
      <c r="L6" s="2487"/>
      <c r="M6" s="2488"/>
      <c r="N6" s="2488"/>
      <c r="O6" s="2488"/>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45776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2"/>
      <c r="Q16" s="1263"/>
      <c r="R16" s="667"/>
      <c r="S16" s="668"/>
      <c r="T16" s="667"/>
      <c r="U16" s="668"/>
      <c r="V16" s="667"/>
      <c r="W16" s="668"/>
      <c r="X16" s="1265"/>
      <c r="Y16" s="341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2"/>
      <c r="Q18" s="1263"/>
      <c r="R18" s="667"/>
      <c r="S18" s="668"/>
      <c r="T18" s="667"/>
      <c r="U18" s="668"/>
      <c r="V18" s="667"/>
      <c r="W18" s="668"/>
      <c r="X18" s="1265"/>
      <c r="Y18" s="341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2"/>
      <c r="Q20" s="1263"/>
      <c r="R20" s="667"/>
      <c r="S20" s="668"/>
      <c r="T20" s="667"/>
      <c r="U20" s="668"/>
      <c r="V20" s="667"/>
      <c r="W20" s="668"/>
      <c r="X20" s="1265"/>
      <c r="Y20" s="341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2"/>
      <c r="Q22" s="1263"/>
      <c r="R22" s="667"/>
      <c r="S22" s="668"/>
      <c r="T22" s="667"/>
      <c r="U22" s="668"/>
      <c r="V22" s="667"/>
      <c r="W22" s="668"/>
      <c r="X22" s="1265"/>
      <c r="Y22" s="341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33594.299999999996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408" t="s">
        <v>1772</v>
      </c>
      <c r="AC4" s="3378" t="s">
        <v>1773</v>
      </c>
    </row>
    <row r="5" spans="1:29">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408"/>
      <c r="AC5" s="3379"/>
    </row>
    <row r="6" spans="1:29" ht="1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408"/>
      <c r="W6" s="3408"/>
      <c r="X6" s="1265"/>
      <c r="Y6" s="3406"/>
      <c r="Z6" s="3407"/>
      <c r="AA6" s="3380"/>
      <c r="AB6" s="3408"/>
      <c r="AC6" s="3380"/>
    </row>
    <row r="7" spans="1:29" s="102" customFormat="1" ht="15" thickBot="1">
      <c r="A7" s="352" t="s">
        <v>1679</v>
      </c>
      <c r="B7" s="353"/>
      <c r="C7" s="354">
        <f>'数据-取费表'!B2</f>
        <v>45776</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1" t="s">
        <v>1683</v>
      </c>
      <c r="Q8" s="3382"/>
      <c r="R8" s="664" t="s">
        <v>14</v>
      </c>
      <c r="S8" s="665">
        <f t="shared" si="0"/>
        <v>100</v>
      </c>
      <c r="T8" s="664" t="s">
        <v>14</v>
      </c>
      <c r="U8" s="665">
        <f t="shared" si="1"/>
        <v>100</v>
      </c>
      <c r="V8" s="664" t="s">
        <v>14</v>
      </c>
      <c r="W8" s="665">
        <f t="shared" si="2"/>
        <v>100</v>
      </c>
      <c r="X8" s="666"/>
      <c r="Y8" s="3381" t="s">
        <v>1683</v>
      </c>
      <c r="Z8" s="338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2"/>
      <c r="Q16" s="1263"/>
      <c r="R16" s="667"/>
      <c r="S16" s="668"/>
      <c r="T16" s="667"/>
      <c r="U16" s="668"/>
      <c r="V16" s="667"/>
      <c r="W16" s="668"/>
      <c r="X16" s="1265"/>
      <c r="Y16" s="341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2"/>
      <c r="Q18" s="1263"/>
      <c r="R18" s="667"/>
      <c r="S18" s="668"/>
      <c r="T18" s="667"/>
      <c r="U18" s="668"/>
      <c r="V18" s="667"/>
      <c r="W18" s="668"/>
      <c r="X18" s="1265"/>
      <c r="Y18" s="3415"/>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2"/>
      <c r="Q20" s="1263"/>
      <c r="R20" s="667"/>
      <c r="S20" s="668"/>
      <c r="T20" s="667"/>
      <c r="U20" s="668"/>
      <c r="V20" s="667"/>
      <c r="W20" s="668"/>
      <c r="X20" s="1265"/>
      <c r="Y20" s="341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2"/>
      <c r="Q22" s="1263"/>
      <c r="R22" s="667"/>
      <c r="S22" s="668"/>
      <c r="T22" s="667"/>
      <c r="U22" s="668"/>
      <c r="V22" s="667"/>
      <c r="W22" s="668"/>
      <c r="X22" s="1265"/>
      <c r="Y22" s="341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7"/>
      <c r="Q33" s="531" t="str">
        <f t="shared" si="11"/>
        <v>项目建筑规模</v>
      </c>
      <c r="R33" s="669" t="s">
        <v>14</v>
      </c>
      <c r="S33" s="670" t="e">
        <f t="shared" si="12"/>
        <v>#N/A</v>
      </c>
      <c r="T33" s="669" t="s">
        <v>14</v>
      </c>
      <c r="U33" s="670" t="e">
        <f t="shared" si="13"/>
        <v>#N/A</v>
      </c>
      <c r="V33" s="669" t="s">
        <v>14</v>
      </c>
      <c r="W33" s="670" t="e">
        <f t="shared" si="14"/>
        <v>#N/A</v>
      </c>
      <c r="X33" s="671"/>
      <c r="Y33" s="341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7"/>
      <c r="Q36" s="1263" t="str">
        <f t="shared" si="11"/>
        <v>成新度</v>
      </c>
      <c r="R36" s="667" t="s">
        <v>14</v>
      </c>
      <c r="S36" s="668" t="e">
        <f t="shared" si="12"/>
        <v>#N/A</v>
      </c>
      <c r="T36" s="667" t="s">
        <v>14</v>
      </c>
      <c r="U36" s="668" t="e">
        <f t="shared" si="13"/>
        <v>#N/A</v>
      </c>
      <c r="V36" s="667" t="s">
        <v>14</v>
      </c>
      <c r="W36" s="668" t="e">
        <f t="shared" si="14"/>
        <v>#N/A</v>
      </c>
      <c r="X36" s="1265"/>
      <c r="Y36" s="341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估价对象为北京市房地产，为所有。根据《国有土地使用证》[]，估价对象（分摊）出让国有建设用地使用权面积为13333.33平方米，建筑面积为33594.3平方米。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估价对象为北京市房地产,属开发建设的，该项目尚在开发建设中。根据《国有土地使用证》[]，估价对象（分摊）出让国有建设用地使用权面积为13333.33平方米，规划建筑面积为33594.3平方米。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2025年4月29日（评估专业人员实地查勘之日）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33594.299999999996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45776</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8">
        <f>E41</f>
        <v>0</v>
      </c>
      <c r="S41" s="3408"/>
      <c r="T41" s="3408">
        <f>G41</f>
        <v>0</v>
      </c>
      <c r="U41" s="3408"/>
      <c r="V41" s="3408">
        <f>I41</f>
        <v>0</v>
      </c>
      <c r="W41" s="340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45776</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5"/>
      <c r="Q15" s="1263"/>
      <c r="R15" s="667"/>
      <c r="S15" s="668"/>
      <c r="T15" s="667"/>
      <c r="U15" s="668"/>
      <c r="V15" s="667"/>
      <c r="W15" s="668"/>
      <c r="X15" s="1265"/>
      <c r="Y15" s="341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5"/>
      <c r="Q17" s="1263"/>
      <c r="R17" s="667"/>
      <c r="S17" s="668"/>
      <c r="T17" s="667"/>
      <c r="U17" s="668"/>
      <c r="V17" s="667"/>
      <c r="W17" s="668"/>
      <c r="X17" s="1265"/>
      <c r="Y17" s="341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5"/>
      <c r="Q19" s="1263"/>
      <c r="R19" s="667"/>
      <c r="S19" s="668"/>
      <c r="T19" s="667"/>
      <c r="U19" s="668"/>
      <c r="V19" s="667"/>
      <c r="W19" s="668"/>
      <c r="X19" s="1265"/>
      <c r="Y19" s="341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4.4">
      <c r="A37" s="416" t="s">
        <v>1844</v>
      </c>
      <c r="B37" s="1821" t="s">
        <v>3345</v>
      </c>
      <c r="C37" s="1081" t="s">
        <v>0</v>
      </c>
      <c r="D37" s="418"/>
      <c r="E37" s="419"/>
      <c r="F37" s="420"/>
      <c r="G37" s="421"/>
      <c r="H37" s="422"/>
      <c r="I37" s="419"/>
      <c r="J37" s="422"/>
      <c r="K37" s="545"/>
      <c r="L37" s="2495"/>
      <c r="M37" s="2488"/>
      <c r="N37" s="2488"/>
      <c r="O37" s="2488"/>
      <c r="P37" s="3413" t="str">
        <f>A37</f>
        <v>成交单价</v>
      </c>
      <c r="Q37" s="3413"/>
      <c r="R37" s="3408">
        <f>E37</f>
        <v>0</v>
      </c>
      <c r="S37" s="3408"/>
      <c r="T37" s="3408">
        <f>G37</f>
        <v>0</v>
      </c>
      <c r="U37" s="3408"/>
      <c r="V37" s="3408">
        <f>I37</f>
        <v>0</v>
      </c>
      <c r="W37" s="340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10" t="str">
        <f>A39</f>
        <v>估价对象XX用房的比较价值（楼面单价，元/平方米）</v>
      </c>
      <c r="Q39" s="3411"/>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45776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5"/>
      <c r="Q15" s="1263"/>
      <c r="R15" s="667"/>
      <c r="S15" s="668"/>
      <c r="T15" s="667"/>
      <c r="U15" s="668"/>
      <c r="V15" s="667"/>
      <c r="W15" s="668"/>
      <c r="X15" s="1265"/>
      <c r="Y15" s="341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5"/>
      <c r="Q17" s="1263"/>
      <c r="R17" s="667"/>
      <c r="S17" s="668"/>
      <c r="T17" s="667"/>
      <c r="U17" s="668"/>
      <c r="V17" s="667"/>
      <c r="W17" s="668"/>
      <c r="X17" s="1265"/>
      <c r="Y17" s="341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5"/>
      <c r="Q19" s="1263"/>
      <c r="R19" s="667"/>
      <c r="S19" s="668"/>
      <c r="T19" s="667"/>
      <c r="U19" s="668"/>
      <c r="V19" s="667"/>
      <c r="W19" s="668"/>
      <c r="X19" s="1265"/>
      <c r="Y19" s="341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13" t="str">
        <f>A35</f>
        <v>成交单价（元/平方米）</v>
      </c>
      <c r="Q35" s="3413"/>
      <c r="R35" s="3408">
        <f>E35</f>
        <v>0</v>
      </c>
      <c r="S35" s="3408"/>
      <c r="T35" s="3408">
        <f>G35</f>
        <v>0</v>
      </c>
      <c r="U35" s="3408"/>
      <c r="V35" s="3408">
        <f>I35</f>
        <v>0</v>
      </c>
      <c r="W35" s="340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10" t="str">
        <f>A37</f>
        <v>估价对象XX用房的比较价值（楼面单价，元/平方米）</v>
      </c>
      <c r="Q37" s="3411"/>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45776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13"/>
      <c r="Q10" s="530" t="str">
        <f t="shared" si="6"/>
        <v>土地使用年限（年）</v>
      </c>
      <c r="R10" s="664" t="s">
        <v>14</v>
      </c>
      <c r="S10" s="665">
        <f t="shared" si="0"/>
        <v>111</v>
      </c>
      <c r="T10" s="664" t="s">
        <v>14</v>
      </c>
      <c r="U10" s="665">
        <f t="shared" si="1"/>
        <v>111</v>
      </c>
      <c r="V10" s="664" t="s">
        <v>14</v>
      </c>
      <c r="W10" s="665">
        <f t="shared" si="2"/>
        <v>111</v>
      </c>
      <c r="X10" s="666"/>
      <c r="Y10" s="3325"/>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3"/>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5"/>
      <c r="Q20" s="1263"/>
      <c r="R20" s="667"/>
      <c r="S20" s="668"/>
      <c r="T20" s="667"/>
      <c r="U20" s="668"/>
      <c r="V20" s="667"/>
      <c r="W20" s="668"/>
      <c r="X20" s="1265"/>
      <c r="Y20" s="341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5"/>
      <c r="Q24" s="1263"/>
      <c r="R24" s="667"/>
      <c r="S24" s="668"/>
      <c r="T24" s="667"/>
      <c r="U24" s="668"/>
      <c r="V24" s="667"/>
      <c r="W24" s="668"/>
      <c r="X24" s="1265"/>
      <c r="Y24" s="3415"/>
      <c r="Z24" s="1264"/>
      <c r="AA24" s="1264"/>
      <c r="AB24" s="1264"/>
      <c r="AC24" s="1264"/>
    </row>
    <row r="25" spans="1:29" ht="28.8">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5"/>
      <c r="Q26" s="1263"/>
      <c r="R26" s="667"/>
      <c r="S26" s="668"/>
      <c r="T26" s="667"/>
      <c r="U26" s="668"/>
      <c r="V26" s="667"/>
      <c r="W26" s="668"/>
      <c r="X26" s="1265"/>
      <c r="Y26" s="341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5"/>
      <c r="Q28" s="530"/>
      <c r="R28" s="664"/>
      <c r="S28" s="665"/>
      <c r="T28" s="664"/>
      <c r="U28" s="665"/>
      <c r="V28" s="664"/>
      <c r="W28" s="665"/>
      <c r="X28" s="666"/>
      <c r="Y28" s="341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3"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13" t="str">
        <f>A46</f>
        <v>成交单价</v>
      </c>
      <c r="Q46" s="3413"/>
      <c r="R46" s="3408">
        <f>E46</f>
        <v>0</v>
      </c>
      <c r="S46" s="3408"/>
      <c r="T46" s="3408">
        <f>G46</f>
        <v>0</v>
      </c>
      <c r="U46" s="3408"/>
      <c r="V46" s="3408">
        <f>I46</f>
        <v>0</v>
      </c>
      <c r="W46" s="340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3" t="str">
        <f>A47</f>
        <v>比较价值（元/平方米）</v>
      </c>
      <c r="Q47" s="3413"/>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10" t="str">
        <f>A48</f>
        <v>估价对象XX用房的比较价值（楼面单价，元/平方米）</v>
      </c>
      <c r="Q48" s="3411"/>
      <c r="R48" s="3426" t="e">
        <f>ROUND(IF(D47="简单平均",AVERAGE(R47:W47),R47*F47+T47*H47+V47*J47),0)</f>
        <v>#DIV/0!</v>
      </c>
      <c r="S48" s="3426"/>
      <c r="T48" s="3426"/>
      <c r="U48" s="3426"/>
      <c r="V48" s="3426"/>
      <c r="W48" s="342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6" t="s">
        <v>1887</v>
      </c>
      <c r="H55" s="342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25505.289999999997</v>
      </c>
      <c r="F56" s="833" t="e">
        <f t="shared" ref="F56:F64" si="15">ROUND(B56*E56/10000,0)</f>
        <v>#DIV/0!</v>
      </c>
      <c r="G56" s="3395"/>
      <c r="H56" s="341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8089.01</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33594.299999999996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408"/>
      <c r="W5" s="3408"/>
      <c r="X5" s="1265"/>
      <c r="Y5" s="3385"/>
      <c r="Z5" s="3386"/>
      <c r="AA5" s="3379"/>
      <c r="AB5" s="3379"/>
      <c r="AC5" s="3379"/>
    </row>
    <row r="6" spans="1:29" ht="15" thickBot="1">
      <c r="A6" s="350"/>
      <c r="B6" s="351"/>
      <c r="C6" s="3428" t="s">
        <v>1919</v>
      </c>
      <c r="D6" s="3429"/>
      <c r="E6" s="3430" t="s">
        <v>1919</v>
      </c>
      <c r="F6" s="3431"/>
      <c r="G6" s="3428" t="s">
        <v>1919</v>
      </c>
      <c r="H6" s="3429"/>
      <c r="I6" s="3428" t="s">
        <v>1919</v>
      </c>
      <c r="J6" s="3429"/>
      <c r="K6" s="537" t="s">
        <v>1678</v>
      </c>
      <c r="L6" s="2487"/>
      <c r="M6" s="2488"/>
      <c r="N6" s="2488"/>
      <c r="O6" s="2488"/>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45776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13"/>
      <c r="Q10" s="530" t="str">
        <f t="shared" si="6"/>
        <v>土地使用年限（年）</v>
      </c>
      <c r="R10" s="664" t="s">
        <v>14</v>
      </c>
      <c r="S10" s="665">
        <f t="shared" si="0"/>
        <v>111</v>
      </c>
      <c r="T10" s="664" t="s">
        <v>14</v>
      </c>
      <c r="U10" s="665">
        <f t="shared" si="1"/>
        <v>111</v>
      </c>
      <c r="V10" s="664" t="s">
        <v>14</v>
      </c>
      <c r="W10" s="665">
        <f t="shared" si="2"/>
        <v>111</v>
      </c>
      <c r="X10" s="666"/>
      <c r="Y10" s="3325"/>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5"/>
      <c r="Q20" s="1263"/>
      <c r="R20" s="667"/>
      <c r="S20" s="668"/>
      <c r="T20" s="667"/>
      <c r="U20" s="668"/>
      <c r="V20" s="667"/>
      <c r="W20" s="668"/>
      <c r="X20" s="1265"/>
      <c r="Y20" s="341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5"/>
      <c r="Q24" s="530"/>
      <c r="R24" s="664"/>
      <c r="S24" s="665"/>
      <c r="T24" s="664"/>
      <c r="U24" s="665"/>
      <c r="V24" s="664"/>
      <c r="W24" s="665"/>
      <c r="X24" s="666"/>
      <c r="Y24" s="341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3"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413" t="str">
        <f>A41</f>
        <v>成交单价</v>
      </c>
      <c r="Q41" s="3413"/>
      <c r="R41" s="3408">
        <f>E41</f>
        <v>0</v>
      </c>
      <c r="S41" s="3408"/>
      <c r="T41" s="3408">
        <f>G41</f>
        <v>0</v>
      </c>
      <c r="U41" s="3408"/>
      <c r="V41" s="3408">
        <f>I41</f>
        <v>0</v>
      </c>
      <c r="W41" s="340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3" t="str">
        <f>A42</f>
        <v>比较价值（元/平方米）</v>
      </c>
      <c r="Q42" s="3413"/>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10" t="str">
        <f>A43</f>
        <v>估价对象XX用房的比较价值（楼面单价，元/平方米）</v>
      </c>
      <c r="Q43" s="3411"/>
      <c r="R43" s="3426" t="e">
        <f>ROUND(IF(D42="简单平均",AVERAGE(R42:W42),R42*F42+T42*H42+V42*J42),0)</f>
        <v>#DIV/0!</v>
      </c>
      <c r="S43" s="3426"/>
      <c r="T43" s="3426"/>
      <c r="U43" s="3426"/>
      <c r="V43" s="3426"/>
      <c r="W43" s="342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96" t="s">
        <v>1887</v>
      </c>
      <c r="H50" s="342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25505.289999999997</v>
      </c>
      <c r="F51" s="611" t="e">
        <f t="shared" ref="F51:F60" si="15">ROUND(B51*E51/10000,0)</f>
        <v>#DIV/0!</v>
      </c>
      <c r="G51" s="3395"/>
      <c r="H51" s="341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8089.01</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13333.33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5" t="s">
        <v>2084</v>
      </c>
      <c r="D1" s="3436"/>
      <c r="E1" s="3436"/>
      <c r="F1" s="3436"/>
      <c r="G1" s="3436"/>
      <c r="H1" s="3436"/>
      <c r="I1" s="3436"/>
      <c r="J1" s="3436"/>
      <c r="K1" s="3436"/>
      <c r="L1" s="3436"/>
      <c r="M1" s="3436"/>
      <c r="N1" s="3436"/>
      <c r="O1" s="3436"/>
      <c r="P1" s="3436"/>
      <c r="Q1" s="3436"/>
      <c r="R1" s="3436"/>
      <c r="S1" s="34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2553</v>
      </c>
      <c r="C2" s="1984" t="s">
        <v>2074</v>
      </c>
      <c r="D2" s="1984" t="s">
        <v>2075</v>
      </c>
      <c r="E2" s="2398">
        <f ca="1">SUMIF(E6:E13,"&lt;&gt;#ref!",E6:E13)</f>
        <v>25505.289999999997</v>
      </c>
      <c r="F2" s="2545"/>
      <c r="G2" s="2545"/>
      <c r="H2" s="2545"/>
      <c r="I2" s="2545"/>
      <c r="J2" s="2545"/>
      <c r="K2" s="2545"/>
      <c r="L2" s="2545"/>
      <c r="M2" s="2545"/>
      <c r="N2" s="2545"/>
      <c r="O2" s="2545"/>
      <c r="P2" s="2545"/>
    </row>
    <row r="3" spans="1:16" ht="15.6">
      <c r="A3" s="1984" t="s">
        <v>2076</v>
      </c>
      <c r="B3" s="2388">
        <f ca="1">ROUND(B2*10000/E2,0)</f>
        <v>1001</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2553</v>
      </c>
      <c r="C6" s="1984" t="s">
        <v>2074</v>
      </c>
      <c r="D6" s="2545"/>
      <c r="E6" s="2398">
        <f ca="1">SUMIF(INDIRECT("'"&amp;A6&amp;"'"&amp;"!C:C"),"建筑面积",INDIRECT("'"&amp;A6&amp;"'"&amp;"!D:D"))</f>
        <v>25505.289999999997</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85" zoomScaleNormal="80" zoomScaleSheetLayoutView="85" workbookViewId="0">
      <selection activeCell="E33" sqref="E3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25505.289999999997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6.4">
      <c r="A2" s="193" t="s">
        <v>1934</v>
      </c>
      <c r="B2" s="196">
        <f>C30</f>
        <v>2553</v>
      </c>
      <c r="C2" s="1846" t="s">
        <v>1935</v>
      </c>
      <c r="D2" s="162" t="s">
        <v>1936</v>
      </c>
      <c r="E2" s="3121"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Ⅷ-通州环保园</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2005</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1001</v>
      </c>
      <c r="C3" s="1846" t="s">
        <v>1941</v>
      </c>
      <c r="D3" s="162" t="s">
        <v>1942</v>
      </c>
      <c r="E3" s="3119" t="s">
        <v>2470</v>
      </c>
      <c r="F3" s="1848" t="s">
        <v>3436</v>
      </c>
      <c r="G3" s="708">
        <f>IF(F3="宗地容积率",'数据-汇总表'!I4,IF(F3="估价对象容积率",'数据-汇总表'!I6,'数据-汇总表'!I7))</f>
        <v>1.91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1545</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45"/>
      <c r="B4" s="3446"/>
      <c r="C4" s="3446"/>
      <c r="D4" s="3447"/>
      <c r="E4" s="3447"/>
      <c r="F4" s="3447"/>
      <c r="G4" s="3447"/>
      <c r="H4" s="3447"/>
      <c r="I4" s="3447"/>
      <c r="J4" s="344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1261</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1290</v>
      </c>
      <c r="D5" s="1252">
        <f>ROUND(C6*C17+C20,0)</f>
        <v>1290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1070</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1290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975</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八级</v>
      </c>
      <c r="Y7" s="1131" t="s">
        <v>1956</v>
      </c>
      <c r="Z7" s="1132">
        <f>G3</f>
        <v>1.91</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1290</v>
      </c>
      <c r="N8" s="813">
        <f>SUMPRODUCT((因素修正幅度!B234:B276=I2)*(因素修正幅度!C3:G3=E2)*(因素修正幅度!C234:G276))</f>
        <v>0.05</v>
      </c>
      <c r="O8" s="1056"/>
      <c r="P8" s="1056"/>
      <c r="Q8" s="1056"/>
      <c r="R8" s="1129">
        <v>7</v>
      </c>
      <c r="S8" s="1130"/>
      <c r="T8" s="3064">
        <f t="shared" si="0"/>
        <v>0</v>
      </c>
      <c r="U8" s="1130"/>
      <c r="V8" s="3064">
        <f t="shared" si="1"/>
        <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4"/>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49" t="s">
        <v>3245</v>
      </c>
      <c r="B20" s="159" t="s">
        <v>1994</v>
      </c>
      <c r="C20" s="3032">
        <f>ROUND(IF(F21="与级别开发程度一致",0,(G21-E21)/C21),0)</f>
        <v>0</v>
      </c>
      <c r="D20" s="3047" t="s">
        <v>1998</v>
      </c>
      <c r="E20" s="3048"/>
      <c r="F20" s="3455" t="s">
        <v>1995</v>
      </c>
      <c r="G20" s="345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50"/>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3437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45776</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0.91379999999999995</v>
      </c>
      <c r="D24" s="1902" t="s">
        <v>2007</v>
      </c>
      <c r="E24" s="1248">
        <f>存贷款利率!E27/100</f>
        <v>4.3499999999999997E-2</v>
      </c>
      <c r="F24" s="1902" t="s">
        <v>1999</v>
      </c>
      <c r="G24" s="724">
        <f>SUMIF(M30:Q30,E2,M33:Q33)</f>
        <v>0.05</v>
      </c>
      <c r="H24" s="1902" t="s">
        <v>2008</v>
      </c>
      <c r="I24" s="725">
        <f>SUMIF('数据-取费表'!C6:C15,E2,'数据-取费表'!F6:F15)/COUNTIF('数据-取费表'!C6:C15,E2)</f>
        <v>36.82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3326</v>
      </c>
      <c r="C25" s="461">
        <f>IF(B25="容积率修正",IF(G3&lt;10,D26,J26),C27)</f>
        <v>0.76959999999999995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3248</v>
      </c>
      <c r="D26" s="1263">
        <f>IF(E26=G26,F26,IF(G3&lt;10,ROUND(F26+(H26-F26)*(G3-E26)/(G26-E26),4),"——"))</f>
        <v>0.76959999999999995</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1.0146999999999999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2553</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1001</v>
      </c>
      <c r="D33" s="1940">
        <f>'数据-汇总表'!F19</f>
        <v>25505.289999999997</v>
      </c>
      <c r="E33" s="727">
        <f>ROUND(C33*D33/10000,0)</f>
        <v>2553</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150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3"/>
      <c r="B37" s="1955" t="s">
        <v>2036</v>
      </c>
      <c r="C37" s="167">
        <f>ROUND(D5*C22*C23*C24*C28*F37,0)</f>
        <v>650</v>
      </c>
      <c r="D37" s="1940"/>
      <c r="E37" s="163">
        <f>ROUND(C37*D37/10000,0)</f>
        <v>0</v>
      </c>
      <c r="F37" s="163">
        <f>SUMIF(修正!A57:A68,G2,修正!B57:B68)</f>
        <v>0.5</v>
      </c>
      <c r="G37" s="163">
        <f>ROUND(IF(E2="工业",C37*$M$42,C37*$M$41),0)</f>
        <v>98</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f>ROUND(D5*C22*C23*C24*C28*F38,0)</f>
        <v>260</v>
      </c>
      <c r="D38" s="1940"/>
      <c r="E38" s="163">
        <f t="shared" ref="E38:E42" si="4">ROUND(C38*D38/10000,0)</f>
        <v>0</v>
      </c>
      <c r="F38" s="163">
        <f>SUMIF(修正!A57:A68,G2,修正!C57:C68)</f>
        <v>0.2</v>
      </c>
      <c r="G38" s="163">
        <f>ROUND(IF(E2="工业",C38*$M$42,C38*$M$41),0)</f>
        <v>39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4"/>
      <c r="B39" s="1884" t="s">
        <v>3250</v>
      </c>
      <c r="C39" s="167">
        <f>ROUND(D5*C22*C23*C24*C28*F39,0)</f>
        <v>260</v>
      </c>
      <c r="D39" s="1940"/>
      <c r="E39" s="163">
        <f t="shared" si="4"/>
        <v>0</v>
      </c>
      <c r="F39" s="163">
        <f>SUMIF(修正!A57:A68,G2,修正!D57:D68)</f>
        <v>0.2</v>
      </c>
      <c r="G39" s="163">
        <f>ROUND(IF(E2="工业",C39*$M$42,C39*$M$41),0)</f>
        <v>39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260</v>
      </c>
      <c r="D40" s="1940"/>
      <c r="E40" s="163">
        <f t="shared" si="4"/>
        <v>0</v>
      </c>
      <c r="F40" s="167">
        <f>SUMIF(修正!A57:A68,G2,修正!E57:E68)</f>
        <v>0.2</v>
      </c>
      <c r="G40" s="163">
        <f>ROUND(IF(E2="工业",C40*$M$42,C40*$M$41),0)</f>
        <v>39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260</v>
      </c>
      <c r="D41" s="1940"/>
      <c r="E41" s="163">
        <f t="shared" si="4"/>
        <v>0</v>
      </c>
      <c r="F41" s="167">
        <f>SUMIF(修正!A57:A68,G2,修正!F57:F68)</f>
        <v>0.2</v>
      </c>
      <c r="G41" s="163">
        <f>ROUND(IF(E2="工业",C41*$M$42,C41*$M$41),0)</f>
        <v>39</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130</v>
      </c>
      <c r="D42" s="1945"/>
      <c r="E42" s="179">
        <f t="shared" si="4"/>
        <v>0</v>
      </c>
      <c r="F42" s="723">
        <f>SUMIF(修正!A57:A68,G2,修正!G57:G68)</f>
        <v>0.1</v>
      </c>
      <c r="G42" s="179">
        <f>ROUND(IF(E2="工业",C42*$M$42,C42*$M$41),0)</f>
        <v>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0.91379999999999995</v>
      </c>
      <c r="D44" s="163" t="s">
        <v>1999</v>
      </c>
      <c r="E44" s="1991">
        <f>G24</f>
        <v>0.05</v>
      </c>
      <c r="F44" s="163" t="s">
        <v>2008</v>
      </c>
      <c r="G44" s="175">
        <f>项目基本情况!H15</f>
        <v>36.82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1.0146999999999999</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3438</v>
      </c>
      <c r="D83" s="1002">
        <f t="shared" ref="D83:D90" si="22">SUMIF($J$82:$N$82,C83,J83:N83)</f>
        <v>6.4999999999999997E-3</v>
      </c>
      <c r="E83" s="702">
        <f>ROUND(SUM(D83:D90),4)</f>
        <v>1.47E-2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24">
      <c r="A84" s="1970" t="s">
        <v>2053</v>
      </c>
      <c r="B84" s="1262">
        <f>估价对象房地状况!G16</f>
        <v>0</v>
      </c>
      <c r="C84" s="1887" t="s">
        <v>3439</v>
      </c>
      <c r="D84" s="1002">
        <f t="shared" si="22"/>
        <v>0</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71" t="s">
        <v>3261</v>
      </c>
      <c r="B85" s="1262">
        <f>估价对象房地状况!G17</f>
        <v>0</v>
      </c>
      <c r="C85" s="1887" t="s">
        <v>3438</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3438</v>
      </c>
      <c r="D86" s="1002">
        <f t="shared" si="22"/>
        <v>1.1999999999999999E-3</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3439</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3438</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3438</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4.4" thickBot="1">
      <c r="A90" s="1977" t="s">
        <v>2072</v>
      </c>
      <c r="B90" s="1982">
        <f>估价对象房地状况!G18</f>
        <v>0</v>
      </c>
      <c r="C90" s="1887" t="s">
        <v>3439</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3.8">
      <c r="A91" s="3079" t="s">
        <v>2603</v>
      </c>
      <c r="B91" s="3080">
        <f>1+E93</f>
        <v>1</v>
      </c>
      <c r="C91" s="3073"/>
      <c r="D91" s="3074"/>
      <c r="E91" s="1675"/>
      <c r="F91" s="1675"/>
      <c r="G91" s="3075"/>
      <c r="H91" s="3076"/>
      <c r="I91" s="3077"/>
      <c r="J91" s="3078"/>
      <c r="K91" s="3078"/>
      <c r="L91" s="3078"/>
      <c r="M91" s="3078"/>
      <c r="N91" s="3078"/>
    </row>
    <row r="92" spans="1:37" ht="25.2">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24">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48">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7.200000000000003">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36">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36.6"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1" t="s">
        <v>3285</v>
      </c>
      <c r="B103" s="3451"/>
      <c r="C103" s="3451"/>
      <c r="D103" s="3451"/>
      <c r="E103" s="3451"/>
      <c r="F103" s="3451"/>
      <c r="G103" s="3451"/>
      <c r="H103" s="3451"/>
      <c r="I103" s="3451"/>
      <c r="J103" s="3451"/>
      <c r="K103" s="1667"/>
      <c r="L103" s="1667"/>
      <c r="M103" s="1667"/>
      <c r="N103" s="1667"/>
    </row>
    <row r="104" spans="1:14">
      <c r="A104" s="3452" t="s">
        <v>3286</v>
      </c>
      <c r="B104" s="3452" t="s">
        <v>3287</v>
      </c>
      <c r="C104" s="3091" t="s">
        <v>3288</v>
      </c>
      <c r="D104" s="3092"/>
      <c r="E104" s="3092"/>
      <c r="F104" s="3092"/>
      <c r="G104" s="3092"/>
      <c r="H104" s="3092"/>
      <c r="I104" s="3092"/>
      <c r="J104" s="3093"/>
      <c r="K104" s="3094"/>
      <c r="L104" s="3094"/>
      <c r="M104" s="3094"/>
      <c r="N104" s="3094"/>
    </row>
    <row r="105" spans="1:14">
      <c r="A105" s="3452"/>
      <c r="B105" s="3452"/>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38"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9"/>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0"/>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1" t="s">
        <v>3302</v>
      </c>
      <c r="B113" s="3441"/>
      <c r="C113" s="3441"/>
      <c r="D113" s="3441"/>
      <c r="E113" s="3441"/>
      <c r="F113" s="3441"/>
      <c r="G113" s="3441"/>
      <c r="H113" s="3441"/>
      <c r="I113" s="3441"/>
      <c r="J113" s="344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3303</v>
      </c>
      <c r="B116" s="3115">
        <f>G3</f>
        <v>1.91</v>
      </c>
      <c r="C116" s="3100" t="s">
        <v>3304</v>
      </c>
      <c r="D116" s="3101">
        <f>SUMPRODUCT((A118:A122=F116)*(B117:M117=H116)*B118:M122)</f>
        <v>0.55420000000000003</v>
      </c>
      <c r="E116" s="162" t="s">
        <v>3305</v>
      </c>
      <c r="F116" s="3102" t="str">
        <f>E2</f>
        <v>工业</v>
      </c>
      <c r="G116" s="162" t="s">
        <v>3306</v>
      </c>
      <c r="H116" s="3102" t="str">
        <f>G2</f>
        <v>八级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0.9758</v>
      </c>
      <c r="C118" s="3090">
        <f>B118</f>
        <v>0.9758</v>
      </c>
      <c r="D118" s="3090">
        <f>ROUND(0.949-0.014*B116,4)</f>
        <v>0.92230000000000001</v>
      </c>
      <c r="E118" s="3090">
        <f>D118</f>
        <v>0.92230000000000001</v>
      </c>
      <c r="F118" s="3090">
        <f>E118</f>
        <v>0.92230000000000001</v>
      </c>
      <c r="G118" s="3090">
        <f>F118</f>
        <v>0.92230000000000001</v>
      </c>
      <c r="H118" s="3090">
        <f>G118</f>
        <v>0.92230000000000001</v>
      </c>
      <c r="I118" s="3090">
        <f>ROUND(0.8486-0.018*B116,4)</f>
        <v>0.81420000000000003</v>
      </c>
      <c r="J118" s="3090">
        <f t="shared" ref="J118:M122" si="36">I118</f>
        <v>0.81420000000000003</v>
      </c>
      <c r="K118" s="3090">
        <f t="shared" si="36"/>
        <v>0.81420000000000003</v>
      </c>
      <c r="L118" s="3090">
        <f t="shared" si="36"/>
        <v>0.81420000000000003</v>
      </c>
      <c r="M118" s="3110">
        <f t="shared" si="36"/>
        <v>0.81420000000000003</v>
      </c>
      <c r="N118" s="3098"/>
    </row>
    <row r="119" spans="1:14">
      <c r="A119" s="3058" t="s">
        <v>3320</v>
      </c>
      <c r="B119" s="3090">
        <f>ROUND(0.993-0.0112*B116,4)</f>
        <v>0.97160000000000002</v>
      </c>
      <c r="C119" s="3090">
        <f>B119</f>
        <v>0.97160000000000002</v>
      </c>
      <c r="D119" s="3090">
        <f>ROUND(0.9415-0.0142*B116,4)</f>
        <v>0.91439999999999999</v>
      </c>
      <c r="E119" s="3090">
        <f t="shared" ref="E119:H120" si="37">D119</f>
        <v>0.91439999999999999</v>
      </c>
      <c r="F119" s="3090">
        <f t="shared" si="37"/>
        <v>0.91439999999999999</v>
      </c>
      <c r="G119" s="3090">
        <f t="shared" si="37"/>
        <v>0.91439999999999999</v>
      </c>
      <c r="H119" s="3090">
        <f t="shared" si="37"/>
        <v>0.91439999999999999</v>
      </c>
      <c r="I119" s="3090">
        <f>ROUND(0.838-0.0182*B116,4)</f>
        <v>0.80320000000000003</v>
      </c>
      <c r="J119" s="3090">
        <f t="shared" si="36"/>
        <v>0.80320000000000003</v>
      </c>
      <c r="K119" s="3090">
        <f t="shared" si="36"/>
        <v>0.80320000000000003</v>
      </c>
      <c r="L119" s="3090">
        <f t="shared" si="36"/>
        <v>0.80320000000000003</v>
      </c>
      <c r="M119" s="3110">
        <f t="shared" si="36"/>
        <v>0.80320000000000003</v>
      </c>
      <c r="N119" s="3098"/>
    </row>
    <row r="120" spans="1:14">
      <c r="A120" s="3058" t="s">
        <v>3321</v>
      </c>
      <c r="B120" s="3090">
        <f>ROUND(0.9448-0.0115*B116,4)</f>
        <v>0.92279999999999995</v>
      </c>
      <c r="C120" s="3090">
        <f>B120</f>
        <v>0.92279999999999995</v>
      </c>
      <c r="D120" s="3090">
        <f>ROUND(0.937-0.0145*B116,4)</f>
        <v>0.9093</v>
      </c>
      <c r="E120" s="3090">
        <f t="shared" si="37"/>
        <v>0.9093</v>
      </c>
      <c r="F120" s="3090">
        <f t="shared" si="37"/>
        <v>0.9093</v>
      </c>
      <c r="G120" s="3090">
        <f t="shared" si="37"/>
        <v>0.9093</v>
      </c>
      <c r="H120" s="3090">
        <f t="shared" si="37"/>
        <v>0.9093</v>
      </c>
      <c r="I120" s="3090">
        <f>ROUND(0.7965-0.0185*B116,4)</f>
        <v>0.76119999999999999</v>
      </c>
      <c r="J120" s="3090">
        <f t="shared" si="36"/>
        <v>0.76119999999999999</v>
      </c>
      <c r="K120" s="3090">
        <f t="shared" si="36"/>
        <v>0.76119999999999999</v>
      </c>
      <c r="L120" s="3090">
        <f t="shared" si="36"/>
        <v>0.76119999999999999</v>
      </c>
      <c r="M120" s="3110">
        <f t="shared" si="36"/>
        <v>0.76119999999999999</v>
      </c>
      <c r="N120" s="3098"/>
    </row>
    <row r="121" spans="1:14" ht="13.8" thickBot="1">
      <c r="A121" s="3111" t="s">
        <v>3322</v>
      </c>
      <c r="B121" s="3112">
        <f>ROUND(0.7836-0.012*B116,4)</f>
        <v>0.76070000000000004</v>
      </c>
      <c r="C121" s="3112">
        <f>B121</f>
        <v>0.76070000000000004</v>
      </c>
      <c r="D121" s="3112">
        <f>ROUND(0.753-0.015*B116,4)</f>
        <v>0.72440000000000004</v>
      </c>
      <c r="E121" s="3112">
        <f>D121</f>
        <v>0.72440000000000004</v>
      </c>
      <c r="F121" s="3112">
        <f>E121</f>
        <v>0.72440000000000004</v>
      </c>
      <c r="G121" s="3112">
        <f>ROUND(0.6612-0.018*B116,4)</f>
        <v>0.62680000000000002</v>
      </c>
      <c r="H121" s="3112">
        <f>G121</f>
        <v>0.62680000000000002</v>
      </c>
      <c r="I121" s="3112">
        <f>ROUND(0.5905-0.019*B116,4)</f>
        <v>0.55420000000000003</v>
      </c>
      <c r="J121" s="3112">
        <f t="shared" si="36"/>
        <v>0.55420000000000003</v>
      </c>
      <c r="K121" s="3112">
        <f t="shared" si="36"/>
        <v>0.55420000000000003</v>
      </c>
      <c r="L121" s="3112">
        <f t="shared" si="36"/>
        <v>0.55420000000000003</v>
      </c>
      <c r="M121" s="3113">
        <f t="shared" si="36"/>
        <v>0.55420000000000003</v>
      </c>
      <c r="N121" s="3098"/>
    </row>
    <row r="122" spans="1:14">
      <c r="A122" s="3114" t="s">
        <v>2603</v>
      </c>
      <c r="B122" s="3090">
        <f>ROUND(0.9404-0.0106*B116,4)</f>
        <v>0.92020000000000002</v>
      </c>
      <c r="C122" s="3090">
        <f>B122</f>
        <v>0.92020000000000002</v>
      </c>
      <c r="D122" s="3090">
        <f>ROUND(0.8955-0.0135*B116,4)</f>
        <v>0.86970000000000003</v>
      </c>
      <c r="E122" s="3090">
        <f t="shared" ref="E122:H122" si="38">D122</f>
        <v>0.86970000000000003</v>
      </c>
      <c r="F122" s="3090">
        <f t="shared" si="38"/>
        <v>0.86970000000000003</v>
      </c>
      <c r="G122" s="3090">
        <f t="shared" si="38"/>
        <v>0.86970000000000003</v>
      </c>
      <c r="H122" s="3090">
        <f t="shared" si="38"/>
        <v>0.86970000000000003</v>
      </c>
      <c r="I122" s="3090">
        <f>ROUND(0.7632-0.0166*B116,4)</f>
        <v>0.73150000000000004</v>
      </c>
      <c r="J122" s="3090">
        <f t="shared" si="36"/>
        <v>0.73150000000000004</v>
      </c>
      <c r="K122" s="3090">
        <f t="shared" si="36"/>
        <v>0.73150000000000004</v>
      </c>
      <c r="L122" s="3090">
        <f t="shared" si="36"/>
        <v>0.73150000000000004</v>
      </c>
      <c r="M122" s="3110">
        <f t="shared" si="36"/>
        <v>0.73150000000000004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I4" sqref="I4:J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v>
      </c>
      <c r="E1" s="3132" t="s">
        <v>3457</v>
      </c>
      <c r="F1" s="1735" t="s">
        <v>3458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43673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13000</v>
      </c>
      <c r="C3" s="344" t="s">
        <v>1768</v>
      </c>
      <c r="D3" s="343">
        <f>IF(D1="",'数据-汇总表'!E3,SUMIF('数据-汇总表'!$C19:$C33,D1,'数据-汇总表'!$E19:$E33))</f>
        <v>33594.299999999996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7"/>
      <c r="M4" s="2488"/>
      <c r="N4" s="2488"/>
      <c r="O4" s="2488"/>
      <c r="P4" s="3463" t="s">
        <v>1775</v>
      </c>
      <c r="Q4" s="3464"/>
      <c r="R4" s="3458" t="s">
        <v>1771</v>
      </c>
      <c r="S4" s="3459"/>
      <c r="T4" s="3458" t="s">
        <v>1772</v>
      </c>
      <c r="U4" s="3459"/>
      <c r="V4" s="3467" t="s">
        <v>1773</v>
      </c>
      <c r="W4" s="3467"/>
      <c r="X4" s="1809"/>
      <c r="Y4" s="3458" t="s">
        <v>1775</v>
      </c>
      <c r="Z4" s="3459"/>
      <c r="AA4" s="3457" t="s">
        <v>1771</v>
      </c>
      <c r="AB4" s="3457" t="s">
        <v>1772</v>
      </c>
      <c r="AC4" s="3460" t="s">
        <v>1773</v>
      </c>
    </row>
    <row r="5" spans="1:29">
      <c r="A5" s="348"/>
      <c r="B5" s="349"/>
      <c r="C5" s="3389" t="s">
        <v>1673</v>
      </c>
      <c r="D5" s="3390"/>
      <c r="E5" s="3387" t="s">
        <v>1674</v>
      </c>
      <c r="F5" s="3388"/>
      <c r="G5" s="3389" t="s">
        <v>1675</v>
      </c>
      <c r="H5" s="3390"/>
      <c r="I5" s="3389" t="s">
        <v>1676</v>
      </c>
      <c r="J5" s="3390"/>
      <c r="K5" s="537"/>
      <c r="L5" s="2487"/>
      <c r="M5" s="2488"/>
      <c r="N5" s="2488"/>
      <c r="O5" s="2488"/>
      <c r="P5" s="3465"/>
      <c r="Q5" s="3403"/>
      <c r="R5" s="3385"/>
      <c r="S5" s="3386"/>
      <c r="T5" s="3385"/>
      <c r="U5" s="3386"/>
      <c r="V5" s="3408"/>
      <c r="W5" s="3408"/>
      <c r="X5" s="1265"/>
      <c r="Y5" s="3385"/>
      <c r="Z5" s="3386"/>
      <c r="AA5" s="3379"/>
      <c r="AB5" s="3379"/>
      <c r="AC5" s="3461"/>
    </row>
    <row r="6" spans="1:29" ht="15" thickBot="1">
      <c r="A6" s="350"/>
      <c r="B6" s="351"/>
      <c r="C6" s="3391" t="s">
        <v>1677</v>
      </c>
      <c r="D6" s="3392"/>
      <c r="E6" s="3393" t="s">
        <v>1677</v>
      </c>
      <c r="F6" s="3394"/>
      <c r="G6" s="3391" t="s">
        <v>1677</v>
      </c>
      <c r="H6" s="3392"/>
      <c r="I6" s="3391" t="s">
        <v>1677</v>
      </c>
      <c r="J6" s="3392"/>
      <c r="K6" s="537" t="s">
        <v>1678</v>
      </c>
      <c r="L6" s="2487"/>
      <c r="M6" s="2488"/>
      <c r="N6" s="2488"/>
      <c r="O6" s="2488"/>
      <c r="P6" s="3466"/>
      <c r="Q6" s="3405"/>
      <c r="R6" s="3385"/>
      <c r="S6" s="3386"/>
      <c r="T6" s="3406"/>
      <c r="U6" s="3407"/>
      <c r="V6" s="3408"/>
      <c r="W6" s="3408"/>
      <c r="X6" s="1265"/>
      <c r="Y6" s="3406"/>
      <c r="Z6" s="3407"/>
      <c r="AA6" s="3380"/>
      <c r="AB6" s="3380"/>
      <c r="AC6" s="3462"/>
    </row>
    <row r="7" spans="1:29" s="102" customFormat="1" ht="15" thickBot="1">
      <c r="A7" s="352" t="s">
        <v>1679</v>
      </c>
      <c r="B7" s="353"/>
      <c r="C7" s="354">
        <f>'数据-取费表'!B2</f>
        <v>45776</v>
      </c>
      <c r="D7" s="355">
        <v>100</v>
      </c>
      <c r="E7" s="356">
        <f>C7</f>
        <v>45776</v>
      </c>
      <c r="F7" s="357">
        <f>SUMIF(59:59,YEAR(E7)&amp;"-"&amp;MONTH(E7),60:60)</f>
        <v>100</v>
      </c>
      <c r="G7" s="356">
        <f>C7</f>
        <v>45776</v>
      </c>
      <c r="H7" s="355">
        <f>SUMIF(59:59,YEAR(G7)&amp;"-"&amp;MONTH(G7),60:60)</f>
        <v>100</v>
      </c>
      <c r="I7" s="356">
        <f>C7</f>
        <v>45776</v>
      </c>
      <c r="J7" s="355">
        <f>SUMIF(59:59,YEAR(I7)&amp;"-"&amp;MONTH(I7),60:60)</f>
        <v>100</v>
      </c>
      <c r="K7" s="38"/>
      <c r="L7" s="2489"/>
      <c r="M7" s="2440"/>
      <c r="N7" s="2440"/>
      <c r="O7" s="2440"/>
      <c r="P7" s="3468" t="s">
        <v>1680</v>
      </c>
      <c r="Q7" s="3409"/>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802">
        <f>D7/J7</f>
        <v>1</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8"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2"/>
      <c r="Q16" s="1263"/>
      <c r="R16" s="667"/>
      <c r="S16" s="668"/>
      <c r="T16" s="667"/>
      <c r="U16" s="668"/>
      <c r="V16" s="667"/>
      <c r="W16" s="668"/>
      <c r="X16" s="1265"/>
      <c r="Y16" s="341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2"/>
      <c r="Q18" s="1263"/>
      <c r="R18" s="667"/>
      <c r="S18" s="668"/>
      <c r="T18" s="667"/>
      <c r="U18" s="668"/>
      <c r="V18" s="667"/>
      <c r="W18" s="668"/>
      <c r="X18" s="1265"/>
      <c r="Y18" s="3415"/>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2"/>
      <c r="Q20" s="1263"/>
      <c r="R20" s="667"/>
      <c r="S20" s="668"/>
      <c r="T20" s="667"/>
      <c r="U20" s="668"/>
      <c r="V20" s="667"/>
      <c r="W20" s="668"/>
      <c r="X20" s="1265"/>
      <c r="Y20" s="3415"/>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2"/>
      <c r="Q22" s="1263"/>
      <c r="R22" s="667"/>
      <c r="S22" s="668"/>
      <c r="T22" s="667"/>
      <c r="U22" s="668"/>
      <c r="V22" s="667"/>
      <c r="W22" s="668"/>
      <c r="X22" s="1265"/>
      <c r="Y22" s="3415"/>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2"/>
      <c r="Q24" s="1263"/>
      <c r="R24" s="667"/>
      <c r="S24" s="668"/>
      <c r="T24" s="667"/>
      <c r="U24" s="668"/>
      <c r="V24" s="667"/>
      <c r="W24" s="668"/>
      <c r="X24" s="1265"/>
      <c r="Y24" s="341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2"/>
      <c r="M34" s="2494"/>
      <c r="N34" s="2494"/>
      <c r="O34" s="2494"/>
      <c r="P34" s="3417"/>
      <c r="Q34" s="531" t="str">
        <f t="shared" si="11"/>
        <v>项目建筑规模</v>
      </c>
      <c r="R34" s="669" t="s">
        <v>14</v>
      </c>
      <c r="S34" s="670">
        <f t="shared" si="12"/>
        <v>100</v>
      </c>
      <c r="T34" s="669" t="s">
        <v>14</v>
      </c>
      <c r="U34" s="670">
        <f t="shared" si="13"/>
        <v>100</v>
      </c>
      <c r="V34" s="669" t="s">
        <v>14</v>
      </c>
      <c r="W34" s="670">
        <f t="shared" si="14"/>
        <v>100</v>
      </c>
      <c r="X34" s="671"/>
      <c r="Y34" s="3419"/>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v>1</v>
      </c>
      <c r="D37" s="374">
        <v>100</v>
      </c>
      <c r="E37" s="411">
        <v>1</v>
      </c>
      <c r="F37" s="400">
        <f>LOOKUP(E37,111:111,112:112)-LOOKUP(C37,111:111,112:112)+100</f>
        <v>100</v>
      </c>
      <c r="G37" s="411">
        <v>1</v>
      </c>
      <c r="H37" s="400">
        <f>LOOKUP(G37,111:111,112:112)-LOOKUP(C37,111:111,112:112)+100</f>
        <v>100</v>
      </c>
      <c r="I37" s="411">
        <v>1</v>
      </c>
      <c r="J37" s="374">
        <f>LOOKUP(I37,111:111,112:112)-LOOKUP(C37,111:111,112:112)+100</f>
        <v>100</v>
      </c>
      <c r="K37" s="538"/>
      <c r="L37" s="2493"/>
      <c r="M37" s="2488"/>
      <c r="N37" s="2488"/>
      <c r="O37" s="2488"/>
      <c r="P37" s="3417"/>
      <c r="Q37" s="1263" t="str">
        <f t="shared" si="11"/>
        <v>成新度</v>
      </c>
      <c r="R37" s="667" t="s">
        <v>14</v>
      </c>
      <c r="S37" s="668">
        <f t="shared" si="12"/>
        <v>100</v>
      </c>
      <c r="T37" s="667" t="s">
        <v>14</v>
      </c>
      <c r="U37" s="668">
        <f t="shared" si="13"/>
        <v>100</v>
      </c>
      <c r="V37" s="667" t="s">
        <v>14</v>
      </c>
      <c r="W37" s="668">
        <f t="shared" si="14"/>
        <v>100</v>
      </c>
      <c r="X37" s="1265"/>
      <c r="Y37" s="341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4.4">
      <c r="A48" s="416" t="s">
        <v>1708</v>
      </c>
      <c r="B48" s="417"/>
      <c r="C48" s="1081" t="s">
        <v>0</v>
      </c>
      <c r="D48" s="418"/>
      <c r="E48" s="419">
        <v>13000</v>
      </c>
      <c r="F48" s="420"/>
      <c r="G48" s="421">
        <v>13000</v>
      </c>
      <c r="H48" s="422"/>
      <c r="I48" s="419">
        <v>13000</v>
      </c>
      <c r="J48" s="422"/>
      <c r="K48" s="674"/>
      <c r="L48" s="2495"/>
      <c r="M48" s="2488"/>
      <c r="N48" s="2488"/>
      <c r="O48" s="2488"/>
      <c r="P48" s="3395" t="str">
        <f>A48</f>
        <v>成交单价（元/平方米）</v>
      </c>
      <c r="Q48" s="3413"/>
      <c r="R48" s="3408">
        <f>E48</f>
        <v>13000</v>
      </c>
      <c r="S48" s="3408"/>
      <c r="T48" s="3408">
        <f>G48</f>
        <v>13000</v>
      </c>
      <c r="U48" s="3408"/>
      <c r="V48" s="3408">
        <f>I48</f>
        <v>13000</v>
      </c>
      <c r="W48" s="3408"/>
      <c r="X48" s="385"/>
      <c r="Y48" s="673"/>
      <c r="Z48" s="385"/>
      <c r="AA48" s="385"/>
      <c r="AB48" s="385"/>
      <c r="AC48" s="555"/>
    </row>
    <row r="49" spans="1:29" ht="15" thickBot="1">
      <c r="A49" s="423" t="s">
        <v>1793</v>
      </c>
      <c r="B49" s="424"/>
      <c r="C49" s="1082">
        <f>R50</f>
        <v>13000</v>
      </c>
      <c r="D49" s="2141" t="s">
        <v>2138</v>
      </c>
      <c r="E49" s="1083">
        <f>R49</f>
        <v>13000</v>
      </c>
      <c r="F49" s="2142"/>
      <c r="G49" s="1082">
        <f>T49</f>
        <v>13000</v>
      </c>
      <c r="H49" s="2142"/>
      <c r="I49" s="1083">
        <f>V49</f>
        <v>13000</v>
      </c>
      <c r="J49" s="2142"/>
      <c r="K49" s="2144">
        <f>F49+H49+J49</f>
        <v>0</v>
      </c>
      <c r="L49" s="2495"/>
      <c r="M49" s="2488"/>
      <c r="N49" s="2488"/>
      <c r="O49" s="2488"/>
      <c r="P49" s="3395" t="str">
        <f>A49</f>
        <v>比较价值（元/平方米）</v>
      </c>
      <c r="Q49" s="3413"/>
      <c r="R49" s="3408">
        <f>IF(F1="售价",ROUND(PRODUCT(R48,AA7:AA47),0),ROUND(PRODUCT(R48,AA7:AA47),1))</f>
        <v>13000</v>
      </c>
      <c r="S49" s="3408"/>
      <c r="T49" s="3408">
        <f>IF(F1="售价",ROUND(PRODUCT(T48,AB7:AB47),0),ROUND(PRODUCT(T48,AB7:AB47),1))</f>
        <v>13000</v>
      </c>
      <c r="U49" s="3408"/>
      <c r="V49" s="3408">
        <f>IF(F1="售价",ROUND(PRODUCT(V48,AC7:AC47),0),ROUND(PRODUCT(V48,AC7:AC47),1))</f>
        <v>13000</v>
      </c>
      <c r="W49" s="3408"/>
      <c r="X49" s="385"/>
      <c r="Y49" s="385"/>
      <c r="Z49" s="385"/>
      <c r="AA49" s="385"/>
      <c r="AB49" s="385"/>
      <c r="AC49" s="555"/>
    </row>
    <row r="50" spans="1:29" ht="15" thickBot="1">
      <c r="A50" s="427" t="s">
        <v>1794</v>
      </c>
      <c r="B50" s="428"/>
      <c r="C50" s="351">
        <f>R50</f>
        <v>13000</v>
      </c>
      <c r="D50" s="351"/>
      <c r="E50" s="351"/>
      <c r="F50" s="351"/>
      <c r="G50" s="351"/>
      <c r="H50" s="351"/>
      <c r="I50" s="351"/>
      <c r="J50" s="429"/>
      <c r="K50" s="675"/>
      <c r="L50" s="2495"/>
      <c r="M50" s="2488"/>
      <c r="N50" s="2488"/>
      <c r="O50" s="2488"/>
      <c r="P50" s="3469" t="str">
        <f>A50</f>
        <v>估价对象XX用房的比较价值（楼面单价，元/平方米）</v>
      </c>
      <c r="Q50" s="3470"/>
      <c r="R50" s="3471">
        <f>IF(F1="售价",ROUND(IF(D49="简单平均",AVERAGE(R49:V49),R49*F49+T49*H49+V49*J49),0),ROUND(IF(D49="简单平均",AVERAGE(R49:V49),R49*F49+T49*H49+V49*J49),1))</f>
        <v>13000</v>
      </c>
      <c r="S50" s="3471"/>
      <c r="T50" s="3471"/>
      <c r="U50" s="3471"/>
      <c r="V50" s="3471"/>
      <c r="W50" s="347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v>
      </c>
      <c r="F53" s="435" t="str">
        <f>IF(OR(E53&gt;=0.3,E53&lt;=-0.3),"超过30%","")</f>
        <v/>
      </c>
      <c r="G53" s="434">
        <f>IF(G48&lt;G49,G49/G48-1,G48/G49-1)</f>
        <v>0</v>
      </c>
      <c r="H53" s="435" t="str">
        <f>IF(OR(G53&gt;=0.3,G53&lt;=-0.3),"超过30%","")</f>
        <v/>
      </c>
      <c r="I53" s="434">
        <f>IF(I48&lt;I49,I49/I48-1,I48/I49-1)</f>
        <v>0</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0(含)-100</v>
      </c>
      <c r="D103" s="509" t="str">
        <f t="shared" ref="D103:L103" si="23">D104&amp;"(含)"&amp;"-"&amp;E104</f>
        <v>100(含)-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v>100</v>
      </c>
      <c r="D105" s="467">
        <v>101</v>
      </c>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9" t="s">
        <v>2598</v>
      </c>
      <c r="B20" s="3472" t="s">
        <v>2619</v>
      </c>
      <c r="C20" s="2843" t="s">
        <v>2430</v>
      </c>
      <c r="D20" s="2844"/>
      <c r="E20" s="2845">
        <v>1</v>
      </c>
      <c r="F20" s="2846" t="s">
        <v>2431</v>
      </c>
      <c r="G20" s="2846"/>
    </row>
    <row r="21" spans="1:13" ht="19.5" customHeight="1">
      <c r="A21" s="3480"/>
      <c r="B21" s="3473"/>
      <c r="C21" s="2847" t="s">
        <v>2432</v>
      </c>
      <c r="D21" s="2848"/>
      <c r="E21" s="2849">
        <v>1</v>
      </c>
      <c r="F21" s="2846" t="s">
        <v>2433</v>
      </c>
      <c r="G21" s="2846"/>
    </row>
    <row r="22" spans="1:13" ht="19.5" customHeight="1">
      <c r="A22" s="3480"/>
      <c r="B22" s="3473"/>
      <c r="C22" s="2847" t="s">
        <v>2434</v>
      </c>
      <c r="D22" s="2848"/>
      <c r="E22" s="2849">
        <v>0.9</v>
      </c>
      <c r="F22" s="2846" t="s">
        <v>2435</v>
      </c>
      <c r="G22" s="2846"/>
    </row>
    <row r="23" spans="1:13" ht="19.5" customHeight="1">
      <c r="A23" s="3480"/>
      <c r="B23" s="3473"/>
      <c r="C23" s="2847" t="s">
        <v>2436</v>
      </c>
      <c r="D23" s="2848"/>
      <c r="E23" s="2849">
        <v>0.9</v>
      </c>
      <c r="F23" s="2846" t="s">
        <v>2437</v>
      </c>
      <c r="G23" s="2846"/>
    </row>
    <row r="24" spans="1:13" ht="19.5" customHeight="1">
      <c r="A24" s="3480"/>
      <c r="B24" s="3473"/>
      <c r="C24" s="2847" t="s">
        <v>2438</v>
      </c>
      <c r="D24" s="2848"/>
      <c r="E24" s="2849">
        <v>0.8</v>
      </c>
      <c r="F24" s="2846" t="s">
        <v>2439</v>
      </c>
      <c r="G24" s="2846"/>
    </row>
    <row r="25" spans="1:13" ht="19.5" customHeight="1" thickBot="1">
      <c r="A25" s="3481"/>
      <c r="B25" s="347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5" t="s">
        <v>2622</v>
      </c>
      <c r="B27" s="3472" t="s">
        <v>2603</v>
      </c>
      <c r="C27" s="2843" t="s">
        <v>2443</v>
      </c>
      <c r="D27" s="2844"/>
      <c r="E27" s="2845">
        <v>1</v>
      </c>
      <c r="F27" s="2846" t="s">
        <v>2444</v>
      </c>
      <c r="G27" s="2846"/>
    </row>
    <row r="28" spans="1:13" ht="19.5" customHeight="1">
      <c r="A28" s="3476"/>
      <c r="B28" s="3473"/>
      <c r="C28" s="2847" t="s">
        <v>2445</v>
      </c>
      <c r="D28" s="2848"/>
      <c r="E28" s="2849">
        <v>1</v>
      </c>
      <c r="F28" s="2846" t="s">
        <v>2446</v>
      </c>
      <c r="G28" s="2846"/>
    </row>
    <row r="29" spans="1:13" ht="19.5" customHeight="1">
      <c r="A29" s="3476"/>
      <c r="B29" s="3473"/>
      <c r="C29" s="2847" t="s">
        <v>2447</v>
      </c>
      <c r="D29" s="2848"/>
      <c r="E29" s="2849">
        <v>0.8</v>
      </c>
      <c r="F29" s="2846" t="s">
        <v>2448</v>
      </c>
      <c r="G29" s="2846"/>
    </row>
    <row r="30" spans="1:13" ht="19.5" customHeight="1">
      <c r="A30" s="3476"/>
      <c r="B30" s="3473"/>
      <c r="C30" s="2847" t="s">
        <v>2449</v>
      </c>
      <c r="D30" s="2848"/>
      <c r="E30" s="2849">
        <v>0.8</v>
      </c>
      <c r="F30" s="2846" t="s">
        <v>2450</v>
      </c>
      <c r="G30" s="2846"/>
    </row>
    <row r="31" spans="1:13" ht="19.5" customHeight="1">
      <c r="A31" s="3476"/>
      <c r="B31" s="3473"/>
      <c r="C31" s="2847" t="s">
        <v>2451</v>
      </c>
      <c r="D31" s="2848"/>
      <c r="E31" s="2849">
        <v>0.8</v>
      </c>
      <c r="F31" s="2846" t="s">
        <v>2452</v>
      </c>
      <c r="G31" s="2846"/>
    </row>
    <row r="32" spans="1:13" ht="19.5" customHeight="1">
      <c r="A32" s="3476"/>
      <c r="B32" s="3473"/>
      <c r="C32" s="2847" t="s">
        <v>2453</v>
      </c>
      <c r="D32" s="2848"/>
      <c r="E32" s="2849">
        <v>0.7</v>
      </c>
      <c r="F32" s="2846" t="s">
        <v>2454</v>
      </c>
      <c r="G32" s="2846"/>
    </row>
    <row r="33" spans="1:7" ht="19.5" customHeight="1">
      <c r="A33" s="3476"/>
      <c r="B33" s="3473"/>
      <c r="C33" s="2847" t="s">
        <v>2455</v>
      </c>
      <c r="D33" s="2848"/>
      <c r="E33" s="2849">
        <v>0.8</v>
      </c>
      <c r="F33" s="2846" t="s">
        <v>2456</v>
      </c>
      <c r="G33" s="2846"/>
    </row>
    <row r="34" spans="1:7" ht="19.5" customHeight="1">
      <c r="A34" s="3476"/>
      <c r="B34" s="3473"/>
      <c r="C34" s="2847" t="s">
        <v>2457</v>
      </c>
      <c r="D34" s="2848"/>
      <c r="E34" s="2849">
        <v>0.6</v>
      </c>
      <c r="F34" s="2846" t="s">
        <v>2458</v>
      </c>
      <c r="G34" s="2846"/>
    </row>
    <row r="35" spans="1:7" ht="19.5" customHeight="1">
      <c r="A35" s="3476"/>
      <c r="B35" s="3473"/>
      <c r="C35" s="2847" t="s">
        <v>2459</v>
      </c>
      <c r="D35" s="2848"/>
      <c r="E35" s="2849">
        <v>0.2</v>
      </c>
      <c r="F35" s="2846" t="s">
        <v>2460</v>
      </c>
      <c r="G35" s="2846"/>
    </row>
    <row r="36" spans="1:7" ht="19.5" customHeight="1">
      <c r="A36" s="3476"/>
      <c r="B36" s="3473"/>
      <c r="C36" s="2847" t="s">
        <v>2461</v>
      </c>
      <c r="D36" s="2848"/>
      <c r="E36" s="2849">
        <v>0.2</v>
      </c>
      <c r="F36" s="2846" t="s">
        <v>2462</v>
      </c>
      <c r="G36" s="2846"/>
    </row>
    <row r="37" spans="1:7" ht="19.5" customHeight="1">
      <c r="A37" s="3476"/>
      <c r="B37" s="3478" t="s">
        <v>2623</v>
      </c>
      <c r="C37" s="2847" t="s">
        <v>2463</v>
      </c>
      <c r="D37" s="2848"/>
      <c r="E37" s="2849">
        <v>0.6</v>
      </c>
      <c r="F37" s="2846" t="s">
        <v>2464</v>
      </c>
      <c r="G37" s="2846"/>
    </row>
    <row r="38" spans="1:7" ht="19.5" customHeight="1">
      <c r="A38" s="3476"/>
      <c r="B38" s="3473"/>
      <c r="C38" s="2847" t="s">
        <v>2465</v>
      </c>
      <c r="D38" s="2848"/>
      <c r="E38" s="2849">
        <v>0.6</v>
      </c>
      <c r="F38" s="2846" t="s">
        <v>2466</v>
      </c>
      <c r="G38" s="2846"/>
    </row>
    <row r="39" spans="1:7" ht="19.5" customHeight="1" thickBot="1">
      <c r="A39" s="3477"/>
      <c r="B39" s="347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9" t="s">
        <v>2601</v>
      </c>
      <c r="B41" s="3472" t="s">
        <v>2625</v>
      </c>
      <c r="C41" s="2843" t="s">
        <v>2470</v>
      </c>
      <c r="D41" s="2844"/>
      <c r="E41" s="2845">
        <v>1</v>
      </c>
      <c r="F41" s="2846" t="s">
        <v>2471</v>
      </c>
      <c r="G41" s="2846"/>
    </row>
    <row r="42" spans="1:7" ht="19.5" customHeight="1">
      <c r="A42" s="3480"/>
      <c r="B42" s="3473"/>
      <c r="C42" s="2847" t="s">
        <v>2472</v>
      </c>
      <c r="D42" s="2848"/>
      <c r="E42" s="2849">
        <v>1</v>
      </c>
      <c r="F42" s="2846" t="s">
        <v>2473</v>
      </c>
      <c r="G42" s="2846"/>
    </row>
    <row r="43" spans="1:7" ht="19.5" customHeight="1">
      <c r="A43" s="3480"/>
      <c r="B43" s="3482"/>
      <c r="C43" s="2847" t="s">
        <v>2474</v>
      </c>
      <c r="D43" s="2848"/>
      <c r="E43" s="2849">
        <v>1.5</v>
      </c>
      <c r="F43" s="2846" t="s">
        <v>2475</v>
      </c>
      <c r="G43" s="2846"/>
    </row>
    <row r="44" spans="1:7" ht="19.5" customHeight="1">
      <c r="A44" s="3480"/>
      <c r="B44" s="2858" t="s">
        <v>2626</v>
      </c>
      <c r="C44" s="2847" t="s">
        <v>2627</v>
      </c>
      <c r="D44" s="2848"/>
      <c r="E44" s="2849">
        <v>2</v>
      </c>
      <c r="F44" s="2846" t="s">
        <v>2476</v>
      </c>
      <c r="G44" s="2846"/>
    </row>
    <row r="45" spans="1:7" ht="19.5" customHeight="1">
      <c r="A45" s="3480"/>
      <c r="B45" s="3478" t="s">
        <v>2628</v>
      </c>
      <c r="C45" s="2847" t="s">
        <v>2477</v>
      </c>
      <c r="D45" s="2848"/>
      <c r="E45" s="2849">
        <v>1</v>
      </c>
      <c r="F45" s="2846" t="s">
        <v>2478</v>
      </c>
      <c r="G45" s="2846"/>
    </row>
    <row r="46" spans="1:7" ht="19.5" customHeight="1">
      <c r="A46" s="3480"/>
      <c r="B46" s="3473"/>
      <c r="C46" s="2847" t="s">
        <v>2479</v>
      </c>
      <c r="D46" s="2848"/>
      <c r="E46" s="2849">
        <v>1</v>
      </c>
      <c r="F46" s="2846" t="s">
        <v>2480</v>
      </c>
      <c r="G46" s="2846"/>
    </row>
    <row r="47" spans="1:7" ht="19.5" customHeight="1">
      <c r="A47" s="3480"/>
      <c r="B47" s="3473"/>
      <c r="C47" s="2847" t="s">
        <v>2481</v>
      </c>
      <c r="D47" s="2848"/>
      <c r="E47" s="2849">
        <v>1</v>
      </c>
      <c r="F47" s="2846" t="s">
        <v>2482</v>
      </c>
      <c r="G47" s="2846"/>
    </row>
    <row r="48" spans="1:7" ht="19.5" customHeight="1">
      <c r="A48" s="3480"/>
      <c r="B48" s="3473"/>
      <c r="C48" s="2847" t="s">
        <v>2483</v>
      </c>
      <c r="D48" s="2848"/>
      <c r="E48" s="2849">
        <v>1</v>
      </c>
      <c r="F48" s="2846" t="s">
        <v>2484</v>
      </c>
      <c r="G48" s="2846"/>
    </row>
    <row r="49" spans="1:7" ht="19.5" customHeight="1">
      <c r="A49" s="3480"/>
      <c r="B49" s="3473"/>
      <c r="C49" s="2847" t="s">
        <v>2485</v>
      </c>
      <c r="D49" s="2848"/>
      <c r="E49" s="2849">
        <v>1</v>
      </c>
      <c r="F49" s="2846" t="s">
        <v>2486</v>
      </c>
      <c r="G49" s="2846"/>
    </row>
    <row r="50" spans="1:7" ht="19.5" customHeight="1">
      <c r="A50" s="3480"/>
      <c r="B50" s="3473"/>
      <c r="C50" s="2847" t="s">
        <v>2487</v>
      </c>
      <c r="D50" s="2848"/>
      <c r="E50" s="2849">
        <v>1</v>
      </c>
      <c r="F50" s="2846" t="s">
        <v>2488</v>
      </c>
      <c r="G50" s="2846"/>
    </row>
    <row r="51" spans="1:7" ht="19.5" customHeight="1" thickBot="1">
      <c r="A51" s="3481"/>
      <c r="B51" s="347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4.4">
      <c r="A72" s="2858"/>
      <c r="B72" s="2858"/>
      <c r="C72" s="2858" t="s">
        <v>2641</v>
      </c>
      <c r="D72" s="2858"/>
      <c r="E72" s="2858" t="s">
        <v>2612</v>
      </c>
      <c r="F72" s="2858" t="s">
        <v>2612</v>
      </c>
    </row>
    <row r="73" spans="1:7" ht="14.4">
      <c r="A73" s="2858">
        <v>1</v>
      </c>
      <c r="B73" s="3478" t="s">
        <v>2642</v>
      </c>
      <c r="C73" s="2832" t="s">
        <v>2643</v>
      </c>
      <c r="D73" s="2832" t="s">
        <v>2644</v>
      </c>
      <c r="E73" s="2858">
        <v>0.2</v>
      </c>
      <c r="F73" s="2858">
        <v>25</v>
      </c>
    </row>
    <row r="74" spans="1:7" ht="24">
      <c r="A74" s="2858">
        <v>2</v>
      </c>
      <c r="B74" s="3473"/>
      <c r="C74" s="2832" t="s">
        <v>2645</v>
      </c>
      <c r="D74" s="2832" t="s">
        <v>2646</v>
      </c>
      <c r="E74" s="2858">
        <v>0.2</v>
      </c>
      <c r="F74" s="2858">
        <v>25</v>
      </c>
    </row>
    <row r="75" spans="1:7" ht="24">
      <c r="A75" s="2858">
        <v>3</v>
      </c>
      <c r="B75" s="3473"/>
      <c r="C75" s="2832" t="s">
        <v>2647</v>
      </c>
      <c r="D75" s="2832" t="s">
        <v>2648</v>
      </c>
      <c r="E75" s="2858">
        <v>0.2</v>
      </c>
      <c r="F75" s="2858">
        <v>25</v>
      </c>
    </row>
    <row r="76" spans="1:7" ht="14.4">
      <c r="A76" s="2858">
        <v>4</v>
      </c>
      <c r="B76" s="3473"/>
      <c r="C76" s="2832" t="s">
        <v>2649</v>
      </c>
      <c r="D76" s="2832" t="s">
        <v>2650</v>
      </c>
      <c r="E76" s="2858">
        <v>0.15</v>
      </c>
      <c r="F76" s="2858">
        <v>20</v>
      </c>
    </row>
    <row r="77" spans="1:7" ht="24">
      <c r="A77" s="2858">
        <v>5</v>
      </c>
      <c r="B77" s="3473"/>
      <c r="C77" s="2832" t="s">
        <v>2651</v>
      </c>
      <c r="D77" s="2832" t="s">
        <v>2652</v>
      </c>
      <c r="E77" s="2858">
        <v>0.15</v>
      </c>
      <c r="F77" s="2858">
        <v>20</v>
      </c>
    </row>
    <row r="78" spans="1:7" ht="24">
      <c r="A78" s="2858">
        <v>6</v>
      </c>
      <c r="B78" s="3473"/>
      <c r="C78" s="2832" t="s">
        <v>2653</v>
      </c>
      <c r="D78" s="2832" t="s">
        <v>2654</v>
      </c>
      <c r="E78" s="2858">
        <v>0.15</v>
      </c>
      <c r="F78" s="2858">
        <v>20</v>
      </c>
    </row>
    <row r="79" spans="1:7" ht="24">
      <c r="A79" s="2858">
        <v>7</v>
      </c>
      <c r="B79" s="3473"/>
      <c r="C79" s="2832" t="s">
        <v>2655</v>
      </c>
      <c r="D79" s="2832" t="s">
        <v>2656</v>
      </c>
      <c r="E79" s="2858">
        <v>0.15</v>
      </c>
      <c r="F79" s="2858">
        <v>20</v>
      </c>
    </row>
    <row r="80" spans="1:7" ht="24">
      <c r="A80" s="2858">
        <v>8</v>
      </c>
      <c r="B80" s="3473"/>
      <c r="C80" s="2832" t="s">
        <v>2657</v>
      </c>
      <c r="D80" s="2832" t="s">
        <v>2658</v>
      </c>
      <c r="E80" s="2858">
        <v>0.1</v>
      </c>
      <c r="F80" s="2858">
        <v>15</v>
      </c>
    </row>
    <row r="81" spans="1:6" ht="24">
      <c r="A81" s="2858">
        <v>9</v>
      </c>
      <c r="B81" s="3473"/>
      <c r="C81" s="2832" t="s">
        <v>2659</v>
      </c>
      <c r="D81" s="2832" t="s">
        <v>2660</v>
      </c>
      <c r="E81" s="2858">
        <v>0.1</v>
      </c>
      <c r="F81" s="2858">
        <v>15</v>
      </c>
    </row>
    <row r="82" spans="1:6" ht="24">
      <c r="A82" s="2858">
        <v>10</v>
      </c>
      <c r="B82" s="3473"/>
      <c r="C82" s="2832" t="s">
        <v>2661</v>
      </c>
      <c r="D82" s="2832" t="s">
        <v>2662</v>
      </c>
      <c r="E82" s="2858">
        <v>0.1</v>
      </c>
      <c r="F82" s="2858">
        <v>15</v>
      </c>
    </row>
    <row r="83" spans="1:6" ht="24">
      <c r="A83" s="2858">
        <v>11</v>
      </c>
      <c r="B83" s="3473"/>
      <c r="C83" s="2832" t="s">
        <v>2663</v>
      </c>
      <c r="D83" s="2832" t="s">
        <v>2664</v>
      </c>
      <c r="E83" s="2858">
        <v>0.1</v>
      </c>
      <c r="F83" s="2858">
        <v>15</v>
      </c>
    </row>
    <row r="84" spans="1:6" ht="24">
      <c r="A84" s="2858">
        <v>12</v>
      </c>
      <c r="B84" s="3473"/>
      <c r="C84" s="2832" t="s">
        <v>2665</v>
      </c>
      <c r="D84" s="2832" t="s">
        <v>2666</v>
      </c>
      <c r="E84" s="2858">
        <v>0.1</v>
      </c>
      <c r="F84" s="2858">
        <v>15</v>
      </c>
    </row>
    <row r="85" spans="1:6" ht="24">
      <c r="A85" s="2858">
        <v>13</v>
      </c>
      <c r="B85" s="3473"/>
      <c r="C85" s="2832" t="s">
        <v>2667</v>
      </c>
      <c r="D85" s="2832" t="s">
        <v>2668</v>
      </c>
      <c r="E85" s="2858">
        <v>0.1</v>
      </c>
      <c r="F85" s="2858">
        <v>15</v>
      </c>
    </row>
    <row r="86" spans="1:6" ht="24">
      <c r="A86" s="2858">
        <v>14</v>
      </c>
      <c r="B86" s="3473"/>
      <c r="C86" s="2832" t="s">
        <v>2669</v>
      </c>
      <c r="D86" s="2832" t="s">
        <v>2670</v>
      </c>
      <c r="E86" s="2858">
        <v>0.1</v>
      </c>
      <c r="F86" s="2858">
        <v>15</v>
      </c>
    </row>
    <row r="87" spans="1:6" ht="24">
      <c r="A87" s="2858">
        <v>15</v>
      </c>
      <c r="B87" s="3473"/>
      <c r="C87" s="2832" t="s">
        <v>2671</v>
      </c>
      <c r="D87" s="2832" t="s">
        <v>2672</v>
      </c>
      <c r="E87" s="2858">
        <v>0.1</v>
      </c>
      <c r="F87" s="2858">
        <v>15</v>
      </c>
    </row>
    <row r="88" spans="1:6" ht="24">
      <c r="A88" s="2858">
        <v>16</v>
      </c>
      <c r="B88" s="3473"/>
      <c r="C88" s="2832" t="s">
        <v>2673</v>
      </c>
      <c r="D88" s="2832" t="s">
        <v>2674</v>
      </c>
      <c r="E88" s="2858">
        <v>0.1</v>
      </c>
      <c r="F88" s="2858">
        <v>15</v>
      </c>
    </row>
    <row r="89" spans="1:6" ht="24">
      <c r="A89" s="2858">
        <v>17</v>
      </c>
      <c r="B89" s="3482"/>
      <c r="C89" s="2832" t="s">
        <v>2675</v>
      </c>
      <c r="D89" s="2832" t="s">
        <v>2676</v>
      </c>
      <c r="E89" s="2858">
        <v>0.1</v>
      </c>
      <c r="F89" s="2858">
        <v>15</v>
      </c>
    </row>
    <row r="90" spans="1:6" ht="14.4">
      <c r="A90" s="2858">
        <v>18</v>
      </c>
      <c r="B90" s="3478" t="s">
        <v>2677</v>
      </c>
      <c r="C90" s="2832" t="s">
        <v>2678</v>
      </c>
      <c r="D90" s="2832" t="s">
        <v>2679</v>
      </c>
      <c r="E90" s="2858">
        <v>0.2</v>
      </c>
      <c r="F90" s="2858">
        <v>25</v>
      </c>
    </row>
    <row r="91" spans="1:6" ht="24">
      <c r="A91" s="2858">
        <v>19</v>
      </c>
      <c r="B91" s="3473"/>
      <c r="C91" s="2832" t="s">
        <v>2680</v>
      </c>
      <c r="D91" s="2832" t="s">
        <v>2681</v>
      </c>
      <c r="E91" s="2858">
        <v>0.2</v>
      </c>
      <c r="F91" s="2858">
        <v>25</v>
      </c>
    </row>
    <row r="92" spans="1:6" ht="14.4">
      <c r="A92" s="2858">
        <v>20</v>
      </c>
      <c r="B92" s="3473"/>
      <c r="C92" s="2832" t="s">
        <v>2682</v>
      </c>
      <c r="D92" s="2832" t="s">
        <v>2683</v>
      </c>
      <c r="E92" s="2858">
        <v>0.15</v>
      </c>
      <c r="F92" s="2858">
        <v>20</v>
      </c>
    </row>
    <row r="93" spans="1:6" ht="24">
      <c r="A93" s="2858">
        <v>21</v>
      </c>
      <c r="B93" s="3473"/>
      <c r="C93" s="2832" t="s">
        <v>2684</v>
      </c>
      <c r="D93" s="2832" t="s">
        <v>2685</v>
      </c>
      <c r="E93" s="2858">
        <v>0.15</v>
      </c>
      <c r="F93" s="2858">
        <v>20</v>
      </c>
    </row>
    <row r="94" spans="1:6" ht="24">
      <c r="A94" s="2858">
        <v>22</v>
      </c>
      <c r="B94" s="3473"/>
      <c r="C94" s="2832" t="s">
        <v>2686</v>
      </c>
      <c r="D94" s="2832" t="s">
        <v>2687</v>
      </c>
      <c r="E94" s="2858">
        <v>0.15</v>
      </c>
      <c r="F94" s="2858">
        <v>20</v>
      </c>
    </row>
    <row r="95" spans="1:6" ht="36">
      <c r="A95" s="2858">
        <v>23</v>
      </c>
      <c r="B95" s="3473"/>
      <c r="C95" s="2832" t="s">
        <v>2688</v>
      </c>
      <c r="D95" s="2832" t="s">
        <v>2689</v>
      </c>
      <c r="E95" s="2858">
        <v>0.15</v>
      </c>
      <c r="F95" s="2858">
        <v>20</v>
      </c>
    </row>
    <row r="96" spans="1:6" ht="24">
      <c r="A96" s="2858">
        <v>24</v>
      </c>
      <c r="B96" s="3473"/>
      <c r="C96" s="2832" t="s">
        <v>2690</v>
      </c>
      <c r="D96" s="2832" t="s">
        <v>2691</v>
      </c>
      <c r="E96" s="2858">
        <v>0.1</v>
      </c>
      <c r="F96" s="2858">
        <v>15</v>
      </c>
    </row>
    <row r="97" spans="1:6" ht="24">
      <c r="A97" s="2858">
        <v>25</v>
      </c>
      <c r="B97" s="3473"/>
      <c r="C97" s="2832" t="s">
        <v>2692</v>
      </c>
      <c r="D97" s="2832" t="s">
        <v>2693</v>
      </c>
      <c r="E97" s="2858">
        <v>0.1</v>
      </c>
      <c r="F97" s="2858">
        <v>15</v>
      </c>
    </row>
    <row r="98" spans="1:6" ht="24">
      <c r="A98" s="2858">
        <v>26</v>
      </c>
      <c r="B98" s="3473"/>
      <c r="C98" s="2832" t="s">
        <v>2694</v>
      </c>
      <c r="D98" s="2832" t="s">
        <v>2695</v>
      </c>
      <c r="E98" s="2858">
        <v>0.1</v>
      </c>
      <c r="F98" s="2858">
        <v>15</v>
      </c>
    </row>
    <row r="99" spans="1:6" ht="24">
      <c r="A99" s="2858">
        <v>27</v>
      </c>
      <c r="B99" s="3473"/>
      <c r="C99" s="2832" t="s">
        <v>2696</v>
      </c>
      <c r="D99" s="2832" t="s">
        <v>2697</v>
      </c>
      <c r="E99" s="2858">
        <v>0.1</v>
      </c>
      <c r="F99" s="2858">
        <v>15</v>
      </c>
    </row>
    <row r="100" spans="1:6" ht="24">
      <c r="A100" s="2858">
        <v>28</v>
      </c>
      <c r="B100" s="3473"/>
      <c r="C100" s="2832" t="s">
        <v>2698</v>
      </c>
      <c r="D100" s="2832" t="s">
        <v>2699</v>
      </c>
      <c r="E100" s="2858">
        <v>0.1</v>
      </c>
      <c r="F100" s="2858">
        <v>15</v>
      </c>
    </row>
    <row r="101" spans="1:6" ht="24">
      <c r="A101" s="2858">
        <v>29</v>
      </c>
      <c r="B101" s="3473"/>
      <c r="C101" s="2832" t="s">
        <v>2700</v>
      </c>
      <c r="D101" s="2832" t="s">
        <v>2701</v>
      </c>
      <c r="E101" s="2858">
        <v>0.1</v>
      </c>
      <c r="F101" s="2858">
        <v>15</v>
      </c>
    </row>
    <row r="102" spans="1:6" ht="24">
      <c r="A102" s="2858">
        <v>30</v>
      </c>
      <c r="B102" s="3473"/>
      <c r="C102" s="2832" t="s">
        <v>2702</v>
      </c>
      <c r="D102" s="2832" t="s">
        <v>2703</v>
      </c>
      <c r="E102" s="2858">
        <v>0.1</v>
      </c>
      <c r="F102" s="2858">
        <v>15</v>
      </c>
    </row>
    <row r="103" spans="1:6" ht="24">
      <c r="A103" s="2858">
        <v>31</v>
      </c>
      <c r="B103" s="3473"/>
      <c r="C103" s="2832" t="s">
        <v>2704</v>
      </c>
      <c r="D103" s="2832" t="s">
        <v>2705</v>
      </c>
      <c r="E103" s="2858">
        <v>0.1</v>
      </c>
      <c r="F103" s="2858">
        <v>15</v>
      </c>
    </row>
    <row r="104" spans="1:6" ht="24">
      <c r="A104" s="2858">
        <v>32</v>
      </c>
      <c r="B104" s="3473"/>
      <c r="C104" s="2832" t="s">
        <v>2706</v>
      </c>
      <c r="D104" s="2832" t="s">
        <v>2707</v>
      </c>
      <c r="E104" s="2858">
        <v>0.1</v>
      </c>
      <c r="F104" s="2858">
        <v>15</v>
      </c>
    </row>
    <row r="105" spans="1:6" ht="24">
      <c r="A105" s="2858">
        <v>33</v>
      </c>
      <c r="B105" s="3473"/>
      <c r="C105" s="2832" t="s">
        <v>2708</v>
      </c>
      <c r="D105" s="2832" t="s">
        <v>2709</v>
      </c>
      <c r="E105" s="2858">
        <v>0.1</v>
      </c>
      <c r="F105" s="2858">
        <v>15</v>
      </c>
    </row>
    <row r="106" spans="1:6" ht="24">
      <c r="A106" s="2858">
        <v>34</v>
      </c>
      <c r="B106" s="3482"/>
      <c r="C106" s="2832" t="s">
        <v>2710</v>
      </c>
      <c r="D106" s="2832" t="s">
        <v>2711</v>
      </c>
      <c r="E106" s="2858">
        <v>0.1</v>
      </c>
      <c r="F106" s="2858">
        <v>15</v>
      </c>
    </row>
    <row r="107" spans="1:6" ht="36">
      <c r="A107" s="2858">
        <v>35</v>
      </c>
      <c r="B107" s="3478" t="s">
        <v>2712</v>
      </c>
      <c r="C107" s="2858" t="s">
        <v>2713</v>
      </c>
      <c r="D107" s="2832" t="s">
        <v>2714</v>
      </c>
      <c r="E107" s="2858">
        <v>0.15</v>
      </c>
      <c r="F107" s="2858">
        <v>20</v>
      </c>
    </row>
    <row r="108" spans="1:6" ht="24">
      <c r="A108" s="2858">
        <v>36</v>
      </c>
      <c r="B108" s="3473"/>
      <c r="C108" s="2858" t="s">
        <v>2715</v>
      </c>
      <c r="D108" s="2832" t="s">
        <v>2716</v>
      </c>
      <c r="E108" s="2858">
        <v>0.15</v>
      </c>
      <c r="F108" s="2858">
        <v>20</v>
      </c>
    </row>
    <row r="109" spans="1:6" ht="24">
      <c r="A109" s="2858">
        <v>37</v>
      </c>
      <c r="B109" s="3473"/>
      <c r="C109" s="2858" t="s">
        <v>2717</v>
      </c>
      <c r="D109" s="2832" t="s">
        <v>2718</v>
      </c>
      <c r="E109" s="2858">
        <v>0.15</v>
      </c>
      <c r="F109" s="2858">
        <v>20</v>
      </c>
    </row>
    <row r="110" spans="1:6" ht="24">
      <c r="A110" s="2858">
        <v>38</v>
      </c>
      <c r="B110" s="3473"/>
      <c r="C110" s="2858" t="s">
        <v>2719</v>
      </c>
      <c r="D110" s="2832" t="s">
        <v>2720</v>
      </c>
      <c r="E110" s="2858">
        <v>0.1</v>
      </c>
      <c r="F110" s="2858">
        <v>15</v>
      </c>
    </row>
    <row r="111" spans="1:6" ht="24">
      <c r="A111" s="2858">
        <v>39</v>
      </c>
      <c r="B111" s="3473"/>
      <c r="C111" s="2858" t="s">
        <v>2721</v>
      </c>
      <c r="D111" s="2832" t="s">
        <v>2722</v>
      </c>
      <c r="E111" s="2858">
        <v>0.1</v>
      </c>
      <c r="F111" s="2858">
        <v>15</v>
      </c>
    </row>
    <row r="112" spans="1:6" ht="24">
      <c r="A112" s="2858">
        <v>40</v>
      </c>
      <c r="B112" s="3482"/>
      <c r="C112" s="2858" t="s">
        <v>2723</v>
      </c>
      <c r="D112" s="2832" t="s">
        <v>2724</v>
      </c>
      <c r="E112" s="2858">
        <v>0.1</v>
      </c>
      <c r="F112" s="2858">
        <v>15</v>
      </c>
    </row>
    <row r="113" spans="1:6" ht="24">
      <c r="A113" s="2858">
        <v>41</v>
      </c>
      <c r="B113" s="3483" t="s">
        <v>2725</v>
      </c>
      <c r="C113" s="2858" t="s">
        <v>2726</v>
      </c>
      <c r="D113" s="2832" t="s">
        <v>2727</v>
      </c>
      <c r="E113" s="2858">
        <v>0.1</v>
      </c>
      <c r="F113" s="2858">
        <v>15</v>
      </c>
    </row>
    <row r="114" spans="1:6" ht="24">
      <c r="A114" s="2858">
        <v>42</v>
      </c>
      <c r="B114" s="3483"/>
      <c r="C114" s="2858" t="s">
        <v>2728</v>
      </c>
      <c r="D114" s="2832" t="s">
        <v>2729</v>
      </c>
      <c r="E114" s="2858">
        <v>0.1</v>
      </c>
      <c r="F114" s="2858">
        <v>15</v>
      </c>
    </row>
    <row r="115" spans="1:6" ht="24">
      <c r="A115" s="2858">
        <v>43</v>
      </c>
      <c r="B115" s="3483"/>
      <c r="C115" s="2858" t="s">
        <v>2730</v>
      </c>
      <c r="D115" s="2832" t="s">
        <v>2731</v>
      </c>
      <c r="E115" s="2858">
        <v>0.1</v>
      </c>
      <c r="F115" s="2858">
        <v>15</v>
      </c>
    </row>
    <row r="116" spans="1:6" ht="24">
      <c r="A116" s="2858">
        <v>44</v>
      </c>
      <c r="B116" s="3478" t="s">
        <v>2732</v>
      </c>
      <c r="C116" s="2858" t="s">
        <v>2733</v>
      </c>
      <c r="D116" s="2832" t="s">
        <v>2734</v>
      </c>
      <c r="E116" s="2858">
        <v>0.1</v>
      </c>
      <c r="F116" s="2858">
        <v>15</v>
      </c>
    </row>
    <row r="117" spans="1:6" ht="24">
      <c r="A117" s="2858">
        <v>45</v>
      </c>
      <c r="B117" s="3482"/>
      <c r="C117" s="2832" t="s">
        <v>2735</v>
      </c>
      <c r="D117" s="2832" t="s">
        <v>2736</v>
      </c>
      <c r="E117" s="2858">
        <v>0.1</v>
      </c>
      <c r="F117" s="2858">
        <v>15</v>
      </c>
    </row>
    <row r="118" spans="1:6" ht="24">
      <c r="A118" s="2858">
        <v>46</v>
      </c>
      <c r="B118" s="3478" t="s">
        <v>2737</v>
      </c>
      <c r="C118" s="2858" t="s">
        <v>2738</v>
      </c>
      <c r="D118" s="2832" t="s">
        <v>2739</v>
      </c>
      <c r="E118" s="2858">
        <v>0.1</v>
      </c>
      <c r="F118" s="2858">
        <v>15</v>
      </c>
    </row>
    <row r="119" spans="1:6" ht="24">
      <c r="A119" s="2858">
        <v>47</v>
      </c>
      <c r="B119" s="3482"/>
      <c r="C119" s="2858" t="s">
        <v>2740</v>
      </c>
      <c r="D119" s="2832" t="s">
        <v>2741</v>
      </c>
      <c r="E119" s="2858">
        <v>0.1</v>
      </c>
      <c r="F119" s="2858">
        <v>15</v>
      </c>
    </row>
    <row r="120" spans="1:6" ht="24">
      <c r="A120" s="2858">
        <v>48</v>
      </c>
      <c r="B120" s="3478" t="s">
        <v>2742</v>
      </c>
      <c r="C120" s="2858" t="s">
        <v>2743</v>
      </c>
      <c r="D120" s="2832" t="s">
        <v>2744</v>
      </c>
      <c r="E120" s="2858">
        <v>0.1</v>
      </c>
      <c r="F120" s="2858">
        <v>15</v>
      </c>
    </row>
    <row r="121" spans="1:6" ht="24">
      <c r="A121" s="2858">
        <v>49</v>
      </c>
      <c r="B121" s="3482"/>
      <c r="C121" s="2858" t="s">
        <v>2745</v>
      </c>
      <c r="D121" s="2832" t="s">
        <v>2746</v>
      </c>
      <c r="E121" s="2858">
        <v>0.1</v>
      </c>
      <c r="F121" s="2858">
        <v>15</v>
      </c>
    </row>
    <row r="122" spans="1:6" ht="24">
      <c r="A122" s="2858">
        <v>50</v>
      </c>
      <c r="B122" s="3483" t="s">
        <v>2747</v>
      </c>
      <c r="C122" s="2858" t="s">
        <v>2748</v>
      </c>
      <c r="D122" s="2832" t="s">
        <v>2749</v>
      </c>
      <c r="E122" s="2858">
        <v>0.1</v>
      </c>
      <c r="F122" s="2858">
        <v>15</v>
      </c>
    </row>
    <row r="123" spans="1:6" ht="24">
      <c r="A123" s="2858">
        <v>51</v>
      </c>
      <c r="B123" s="3483"/>
      <c r="C123" s="2858" t="s">
        <v>2750</v>
      </c>
      <c r="D123" s="2832" t="s">
        <v>2751</v>
      </c>
      <c r="E123" s="2858">
        <v>0.1</v>
      </c>
      <c r="F123" s="2858">
        <v>15</v>
      </c>
    </row>
    <row r="124" spans="1:6" ht="24">
      <c r="A124" s="2858">
        <v>52</v>
      </c>
      <c r="B124" s="3483" t="s">
        <v>2752</v>
      </c>
      <c r="C124" s="2858" t="s">
        <v>2753</v>
      </c>
      <c r="D124" s="2832" t="s">
        <v>2754</v>
      </c>
      <c r="E124" s="2858">
        <v>0.1</v>
      </c>
      <c r="F124" s="2858">
        <v>15</v>
      </c>
    </row>
    <row r="125" spans="1:6" ht="24">
      <c r="A125" s="2858">
        <v>53</v>
      </c>
      <c r="B125" s="3483"/>
      <c r="C125" s="2858" t="s">
        <v>2755</v>
      </c>
      <c r="D125" s="2832" t="s">
        <v>2756</v>
      </c>
      <c r="E125" s="2858">
        <v>0.1</v>
      </c>
      <c r="F125" s="2858">
        <v>15</v>
      </c>
    </row>
    <row r="126" spans="1:6" ht="24">
      <c r="A126" s="2858">
        <v>54</v>
      </c>
      <c r="B126" s="2858" t="s">
        <v>2757</v>
      </c>
      <c r="C126" s="2858" t="s">
        <v>2758</v>
      </c>
      <c r="D126" s="2832" t="s">
        <v>2759</v>
      </c>
      <c r="E126" s="2858">
        <v>0.1</v>
      </c>
      <c r="F126" s="2858">
        <v>15</v>
      </c>
    </row>
    <row r="127" spans="1:6" ht="24">
      <c r="A127" s="2858">
        <v>55</v>
      </c>
      <c r="B127" s="3483" t="s">
        <v>2760</v>
      </c>
      <c r="C127" s="2858" t="s">
        <v>2761</v>
      </c>
      <c r="D127" s="2832" t="s">
        <v>2762</v>
      </c>
      <c r="E127" s="2858">
        <v>0.1</v>
      </c>
      <c r="F127" s="2858">
        <v>15</v>
      </c>
    </row>
    <row r="128" spans="1:6" ht="24">
      <c r="A128" s="2858">
        <v>56</v>
      </c>
      <c r="B128" s="3483"/>
      <c r="C128" s="2858" t="s">
        <v>2763</v>
      </c>
      <c r="D128" s="2832" t="s">
        <v>2764</v>
      </c>
      <c r="E128" s="2858">
        <v>0.1</v>
      </c>
      <c r="F128" s="2858">
        <v>15</v>
      </c>
    </row>
    <row r="129" spans="1:6" ht="24">
      <c r="A129" s="2858">
        <v>57</v>
      </c>
      <c r="B129" s="3483"/>
      <c r="C129" s="2858" t="s">
        <v>2765</v>
      </c>
      <c r="D129" s="2832" t="s">
        <v>2766</v>
      </c>
      <c r="E129" s="2858">
        <v>0.1</v>
      </c>
      <c r="F129" s="2858">
        <v>15</v>
      </c>
    </row>
    <row r="130" spans="1:6" ht="24">
      <c r="A130" s="2858">
        <v>58</v>
      </c>
      <c r="B130" s="3483" t="s">
        <v>2767</v>
      </c>
      <c r="C130" s="2858" t="s">
        <v>2768</v>
      </c>
      <c r="D130" s="2832" t="s">
        <v>2769</v>
      </c>
      <c r="E130" s="2858">
        <v>0.1</v>
      </c>
      <c r="F130" s="2858">
        <v>15</v>
      </c>
    </row>
    <row r="131" spans="1:6" ht="24">
      <c r="A131" s="2858">
        <v>59</v>
      </c>
      <c r="B131" s="3483"/>
      <c r="C131" s="2858" t="s">
        <v>2770</v>
      </c>
      <c r="D131" s="2832" t="s">
        <v>2771</v>
      </c>
      <c r="E131" s="2858">
        <v>0.1</v>
      </c>
      <c r="F131" s="2858">
        <v>15</v>
      </c>
    </row>
    <row r="132" spans="1:6" ht="24">
      <c r="A132" s="2858">
        <v>60</v>
      </c>
      <c r="B132" s="3478" t="s">
        <v>2772</v>
      </c>
      <c r="C132" s="2858" t="s">
        <v>2773</v>
      </c>
      <c r="D132" s="2832" t="s">
        <v>2774</v>
      </c>
      <c r="E132" s="2858">
        <v>0.1</v>
      </c>
      <c r="F132" s="2858">
        <v>15</v>
      </c>
    </row>
    <row r="133" spans="1:6" ht="24">
      <c r="A133" s="2858">
        <v>61</v>
      </c>
      <c r="B133" s="3482"/>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24">
      <c r="A135" s="2858">
        <v>63</v>
      </c>
      <c r="B135" s="3483" t="s">
        <v>2780</v>
      </c>
      <c r="C135" s="2858" t="s">
        <v>2781</v>
      </c>
      <c r="D135" s="2832" t="s">
        <v>2782</v>
      </c>
      <c r="E135" s="2858">
        <v>0.1</v>
      </c>
      <c r="F135" s="2858">
        <v>15</v>
      </c>
    </row>
    <row r="136" spans="1:6" ht="24">
      <c r="A136" s="2858">
        <v>64</v>
      </c>
      <c r="B136" s="3483"/>
      <c r="C136" s="2858" t="s">
        <v>2783</v>
      </c>
      <c r="D136" s="2832" t="s">
        <v>2784</v>
      </c>
      <c r="E136" s="2858">
        <v>0.1</v>
      </c>
      <c r="F136" s="2858">
        <v>15</v>
      </c>
    </row>
    <row r="137" spans="1:6" ht="24">
      <c r="A137" s="2858">
        <v>65</v>
      </c>
      <c r="B137" s="2858" t="s">
        <v>2785</v>
      </c>
      <c r="C137" s="2858" t="s">
        <v>2786</v>
      </c>
      <c r="D137" s="2832" t="s">
        <v>2787</v>
      </c>
      <c r="E137" s="2858">
        <v>0.1</v>
      </c>
      <c r="F137" s="2858">
        <v>15</v>
      </c>
    </row>
    <row r="138" spans="1:6" ht="14.4">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t="e">
        <f ca="1">结果表!H101</f>
        <v>#REF!</v>
      </c>
    </row>
    <row r="6" spans="1:5" ht="15.6">
      <c r="B6" s="3169"/>
      <c r="C6" s="1392" t="s">
        <v>911</v>
      </c>
      <c r="D6" s="797" t="e">
        <f ca="1">NUMBERSTRING(INT(D5*10000),2)&amp;"元整"</f>
        <v>#REF!</v>
      </c>
    </row>
    <row r="7" spans="1:5" ht="15.6">
      <c r="B7" s="3174"/>
      <c r="C7" s="1393" t="s">
        <v>912</v>
      </c>
      <c r="D7" s="798" t="e">
        <f ca="1">结果表!H102</f>
        <v>#REF!</v>
      </c>
    </row>
    <row r="8" spans="1:5" ht="15.6">
      <c r="B8" s="3175" t="str">
        <f>结果表!E103</f>
        <v>2.估价师知悉的法定优先受偿款</v>
      </c>
      <c r="C8" s="1394" t="s">
        <v>913</v>
      </c>
      <c r="D8" s="798">
        <f>结果表!H103</f>
        <v>0</v>
      </c>
    </row>
    <row r="9" spans="1:5" ht="15.6">
      <c r="B9" s="317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8" t="str">
        <f>结果表!E107</f>
        <v>3.房地产抵押价值</v>
      </c>
      <c r="C13" s="1397" t="s">
        <v>910</v>
      </c>
      <c r="D13" s="800" t="e">
        <f ca="1">结果表!H107</f>
        <v>#REF!</v>
      </c>
    </row>
    <row r="14" spans="1:5" ht="15.6">
      <c r="B14" s="3169"/>
      <c r="C14" s="1392" t="s">
        <v>911</v>
      </c>
      <c r="D14" s="797" t="e">
        <f ca="1">NUMBERSTRING(INT(D13*10000),2)&amp;"元整"</f>
        <v>#REF!</v>
      </c>
    </row>
    <row r="15" spans="1:5" ht="15.6">
      <c r="B15" s="3174"/>
      <c r="C15" s="1393" t="s">
        <v>921</v>
      </c>
      <c r="D15" s="806" t="e">
        <f ca="1">结果表!H108</f>
        <v>#REF!</v>
      </c>
    </row>
    <row r="16" spans="1:5" ht="15.6">
      <c r="B16" s="3175" t="str">
        <f>结果表!E109</f>
        <v>——</v>
      </c>
      <c r="C16" s="1397" t="s">
        <v>922</v>
      </c>
      <c r="D16" s="1398" t="str">
        <f>结果表!H109</f>
        <v>——</v>
      </c>
    </row>
    <row r="17" spans="1:5" ht="15.6">
      <c r="B17" s="3176"/>
      <c r="C17" s="1392" t="s">
        <v>923</v>
      </c>
      <c r="D17" s="797" t="e">
        <f>NUMBERSTRING(INT(D16*10000),2)&amp;"元整"</f>
        <v>#VALUE!</v>
      </c>
    </row>
    <row r="18" spans="1:5" ht="15.6">
      <c r="B18" s="3177"/>
      <c r="C18" s="1393" t="s">
        <v>912</v>
      </c>
      <c r="D18" s="806" t="str">
        <f>结果表!H110</f>
        <v>——</v>
      </c>
    </row>
    <row r="19" spans="1:5" ht="15.6">
      <c r="B19" s="3168" t="str">
        <f>结果表!E111</f>
        <v>——</v>
      </c>
      <c r="C19" s="1397" t="s">
        <v>910</v>
      </c>
      <c r="D19" s="798" t="str">
        <f>结果表!H111</f>
        <v>——</v>
      </c>
    </row>
    <row r="20" spans="1:5" ht="15.6">
      <c r="B20" s="3169"/>
      <c r="C20" s="1392" t="s">
        <v>923</v>
      </c>
      <c r="D20" s="797" t="e">
        <f>NUMBERSTRING(INT(D19*10000),2)&amp;"元整"</f>
        <v>#VALUE!</v>
      </c>
    </row>
    <row r="21" spans="1:5" ht="16.2" thickBot="1">
      <c r="B21" s="317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1.0174000000000001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0.92620000000000002</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41326</v>
      </c>
      <c r="C2" s="2" t="s">
        <v>106</v>
      </c>
      <c r="D2" s="191"/>
      <c r="E2" s="191"/>
      <c r="F2" s="191"/>
      <c r="G2" s="191"/>
    </row>
    <row r="3" spans="1:7" s="192" customFormat="1" ht="18" customHeight="1" thickBot="1">
      <c r="A3" s="195" t="s">
        <v>58</v>
      </c>
      <c r="B3" s="196">
        <f ca="1">ROUND(B2*10000/'数据-汇总表'!E3,0)</f>
        <v>12301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672</v>
      </c>
      <c r="D10" s="795">
        <f>'数据-汇总表'!E6</f>
        <v>33594.299999999996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672</v>
      </c>
      <c r="D19" s="204">
        <f>'数据-汇总表'!E3</f>
        <v>33594.299999999996</v>
      </c>
      <c r="E19" s="203">
        <f>'数据-取费表'!B31</f>
        <v>200</v>
      </c>
      <c r="F19" s="223"/>
      <c r="G19" s="1" t="s">
        <v>436</v>
      </c>
    </row>
    <row r="20" spans="1:7" s="206" customFormat="1" ht="13.5" customHeight="1">
      <c r="A20" s="731" t="s">
        <v>419</v>
      </c>
      <c r="B20" s="202" t="s">
        <v>77</v>
      </c>
      <c r="C20" s="224">
        <f>ROUND((C5+C19)*F20,0)</f>
        <v>426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1353</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2171</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2171</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27277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13253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11758</v>
      </c>
      <c r="D34" s="209"/>
      <c r="E34" s="212"/>
      <c r="F34" s="249">
        <f>IF('数据-取费表'!B24=0,1,'数据-取费表'!N16)</f>
        <v>1</v>
      </c>
      <c r="G34" s="211" t="s">
        <v>89</v>
      </c>
    </row>
    <row r="35" spans="1:7" ht="13.5" customHeight="1">
      <c r="A35" s="734" t="s">
        <v>351</v>
      </c>
      <c r="B35" s="207" t="s">
        <v>33</v>
      </c>
      <c r="C35" s="212">
        <f>ROUND(C34*F35,0)</f>
        <v>588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672</v>
      </c>
      <c r="D37" s="209">
        <f>'数据-汇总表'!E3</f>
        <v>33594.299999999996</v>
      </c>
      <c r="E37" s="241">
        <f>'数据-取费表'!B35</f>
        <v>200</v>
      </c>
      <c r="F37" s="251"/>
      <c r="G37" s="253" t="s">
        <v>92</v>
      </c>
    </row>
    <row r="38" spans="1:7" ht="13.5" customHeight="1">
      <c r="A38" s="734" t="s">
        <v>354</v>
      </c>
      <c r="B38" s="207" t="s">
        <v>36</v>
      </c>
      <c r="C38" s="212">
        <f>ROUND(C34*F38,0)</f>
        <v>235</v>
      </c>
      <c r="D38" s="212"/>
      <c r="E38" s="212"/>
      <c r="F38" s="251">
        <f>'数据-取费表'!B36</f>
        <v>0.02</v>
      </c>
      <c r="G38" s="211" t="s">
        <v>90</v>
      </c>
    </row>
    <row r="39" spans="1:7" s="206" customFormat="1" ht="13.5" customHeight="1">
      <c r="A39" s="731" t="s">
        <v>338</v>
      </c>
      <c r="B39" s="202" t="s">
        <v>77</v>
      </c>
      <c r="C39" s="224">
        <f>ROUND(C33*F20,0)</f>
        <v>265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419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411</v>
      </c>
      <c r="D42" s="230"/>
      <c r="E42" s="230"/>
      <c r="F42" s="231"/>
      <c r="G42" s="3349" t="s">
        <v>94</v>
      </c>
    </row>
    <row r="43" spans="1:7" ht="13.5" customHeight="1">
      <c r="A43" s="734" t="s">
        <v>347</v>
      </c>
      <c r="B43" s="207" t="s">
        <v>426</v>
      </c>
      <c r="C43" s="230">
        <f ca="1">ROUND(IF('数据-取费表'!B22&lt;=1,C39*F22*'数据-取费表'!B21/2,C39*(POWER((1+F22),'数据-取费表'!B21/2)-1)),0)</f>
        <v>8</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1352</v>
      </c>
      <c r="D45" s="227">
        <f>C47</f>
        <v>2E-3</v>
      </c>
      <c r="E45" s="228" t="s">
        <v>102</v>
      </c>
      <c r="F45" s="238"/>
      <c r="G45" s="239" t="s">
        <v>434</v>
      </c>
    </row>
    <row r="46" spans="1:7" s="206" customFormat="1" ht="13.5" customHeight="1">
      <c r="A46" s="734" t="s">
        <v>349</v>
      </c>
      <c r="B46" s="240" t="s">
        <v>427</v>
      </c>
      <c r="C46" s="241">
        <f>ROUND((C33+C39)*F27,0)</f>
        <v>1352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16528</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14049</v>
      </c>
      <c r="D51" s="224"/>
      <c r="E51" s="224"/>
      <c r="F51" s="256"/>
      <c r="G51" s="226" t="s">
        <v>37</v>
      </c>
    </row>
    <row r="52" spans="1:7" s="200" customFormat="1" ht="16.8" thickBot="1">
      <c r="A52" s="257" t="s">
        <v>38</v>
      </c>
      <c r="B52" s="258"/>
      <c r="C52" s="259">
        <f ca="1">C31+C51</f>
        <v>41326</v>
      </c>
      <c r="D52" s="258"/>
      <c r="E52" s="258"/>
      <c r="F52" s="258"/>
      <c r="G52" s="260"/>
    </row>
    <row r="55" spans="1:7" ht="15">
      <c r="B55" s="262" t="s">
        <v>39</v>
      </c>
      <c r="C55" s="263"/>
    </row>
    <row r="56" spans="1:7">
      <c r="B56" s="265" t="s">
        <v>40</v>
      </c>
      <c r="C56" s="266">
        <f ca="1">ROUND(C51/C52,3)</f>
        <v>0.34</v>
      </c>
    </row>
    <row r="57" spans="1:7">
      <c r="B57" s="265" t="s">
        <v>41</v>
      </c>
      <c r="C57" s="267">
        <f ca="1">1-C56</f>
        <v>0.65999999999999992</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4" t="s">
        <v>3172</v>
      </c>
      <c r="B1" s="3484"/>
    </row>
    <row r="2" spans="1:7" ht="15" thickBot="1">
      <c r="A2" s="2969"/>
      <c r="B2" s="2969"/>
    </row>
    <row r="3" spans="1:7" ht="15" thickBot="1">
      <c r="A3" s="2969"/>
      <c r="B3" s="2969"/>
      <c r="C3" s="2970" t="s">
        <v>2802</v>
      </c>
      <c r="D3" s="2970" t="s">
        <v>2858</v>
      </c>
      <c r="E3" s="2970" t="s">
        <v>2804</v>
      </c>
      <c r="F3" s="2970" t="s">
        <v>2859</v>
      </c>
      <c r="G3" s="2970" t="s">
        <v>2622</v>
      </c>
    </row>
    <row r="4" spans="1:7" ht="1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85" t="s">
        <v>3223</v>
      </c>
      <c r="B1" s="3485"/>
      <c r="C1" s="3485"/>
      <c r="D1" s="3485"/>
      <c r="E1" s="3485"/>
      <c r="F1" s="3486"/>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45776</v>
      </c>
      <c r="B1" s="2930" t="s">
        <v>3369</v>
      </c>
      <c r="C1" s="2931"/>
      <c r="D1" s="2931"/>
      <c r="E1" s="2931"/>
      <c r="F1" s="2931"/>
      <c r="G1" s="2931"/>
      <c r="H1" s="2931"/>
      <c r="I1" s="2931"/>
      <c r="J1" s="2897"/>
      <c r="K1" s="2931" t="s">
        <v>454</v>
      </c>
      <c r="L1" s="2931"/>
      <c r="M1" s="2931"/>
      <c r="N1" s="2931"/>
      <c r="O1" s="2931"/>
      <c r="P1" s="2931"/>
      <c r="Q1" s="2897"/>
      <c r="R1" s="3487" t="s">
        <v>456</v>
      </c>
      <c r="S1" s="3488"/>
      <c r="T1" s="3488"/>
      <c r="U1" s="3488"/>
      <c r="V1" s="3488"/>
      <c r="W1" s="3488"/>
      <c r="X1" s="2897"/>
      <c r="Y1" s="3487" t="s">
        <v>457</v>
      </c>
      <c r="Z1" s="3488"/>
      <c r="AA1" s="3488"/>
      <c r="AB1" s="3488"/>
      <c r="AC1" s="3488"/>
      <c r="AD1" s="3488"/>
    </row>
    <row r="2" spans="1:44" s="2010" customFormat="1" ht="1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3.2">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3372</v>
      </c>
    </row>
    <row r="27" spans="1:44">
      <c r="I27" s="1405" t="s">
        <v>2816</v>
      </c>
    </row>
    <row r="29" spans="1:44" s="2009" customFormat="1" ht="13.2">
      <c r="B29" s="2930" t="s">
        <v>3370</v>
      </c>
      <c r="C29" s="2931"/>
      <c r="D29" s="2931"/>
      <c r="E29" s="2931"/>
      <c r="F29" s="2931"/>
      <c r="G29" s="2931"/>
      <c r="H29" s="2931"/>
      <c r="I29" s="2931"/>
      <c r="J29" s="2897"/>
      <c r="K29" s="2931" t="s">
        <v>2817</v>
      </c>
      <c r="L29" s="2931"/>
      <c r="M29" s="2931"/>
      <c r="N29" s="2931"/>
      <c r="O29" s="2931"/>
      <c r="P29" s="2931"/>
      <c r="Q29" s="2897"/>
      <c r="R29" s="3487" t="s">
        <v>2818</v>
      </c>
      <c r="S29" s="3488"/>
      <c r="T29" s="3488"/>
      <c r="U29" s="3488"/>
      <c r="V29" s="3488"/>
      <c r="W29" s="3488"/>
      <c r="X29" s="2897"/>
      <c r="Y29" s="3487" t="s">
        <v>2819</v>
      </c>
      <c r="Z29" s="3488"/>
      <c r="AA29" s="3488"/>
      <c r="AB29" s="3488"/>
      <c r="AC29" s="3488"/>
      <c r="AD29" s="3488"/>
    </row>
    <row r="30" spans="1:44" s="2010" customFormat="1" ht="1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3.2">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0" t="s">
        <v>2830</v>
      </c>
      <c r="B1" s="3500"/>
      <c r="C1" s="3500"/>
      <c r="D1" s="3500"/>
      <c r="E1" s="3500"/>
      <c r="F1" s="3500"/>
      <c r="G1" s="3501"/>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1.4"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98"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1.4" thickBot="1">
      <c r="A4" s="3499"/>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1.4"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1.4"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1.4"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1.4"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45776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6">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33594.299999999996</v>
      </c>
      <c r="C4" s="801">
        <f>项目基本情况!C18</f>
        <v>13333.33</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6">
      <c r="A6" s="3181" t="str">
        <f>结果表!A120</f>
        <v>估价师知悉的法定优先受偿款</v>
      </c>
      <c r="B6" s="3181"/>
      <c r="C6" s="3181"/>
      <c r="D6" s="3181">
        <f>结果表!D120</f>
        <v>0</v>
      </c>
      <c r="E6" s="3181"/>
      <c r="F6" s="3181"/>
      <c r="G6" s="3181"/>
      <c r="H6" s="3181"/>
      <c r="I6" s="3181"/>
    </row>
    <row r="7" spans="1:9" ht="15">
      <c r="A7" s="3180" t="s">
        <v>927</v>
      </c>
      <c r="B7" s="3180"/>
      <c r="C7" s="3180"/>
      <c r="D7" s="3182" t="str">
        <f>结果表!D121</f>
        <v>零元整</v>
      </c>
      <c r="E7" s="3183"/>
      <c r="F7" s="3183"/>
      <c r="G7" s="3183"/>
      <c r="H7" s="3183"/>
      <c r="I7" s="3184"/>
    </row>
    <row r="8" spans="1:9" ht="15.6">
      <c r="A8" s="3181" t="str">
        <f>结果表!A122</f>
        <v>房地产抵押价值</v>
      </c>
      <c r="B8" s="3181"/>
      <c r="C8" s="3181"/>
      <c r="D8" s="3181" t="e">
        <f ca="1">结果表!D122</f>
        <v>#REF!</v>
      </c>
      <c r="E8" s="3181"/>
      <c r="F8" s="3181"/>
      <c r="G8" s="3181"/>
      <c r="H8" s="3181"/>
      <c r="I8" s="3181"/>
    </row>
    <row r="9" spans="1:9" ht="15">
      <c r="A9" s="3180" t="s">
        <v>927</v>
      </c>
      <c r="B9" s="3180"/>
      <c r="C9" s="3180"/>
      <c r="D9" s="3180" t="e">
        <f ca="1">结果表!D123</f>
        <v>#REF!</v>
      </c>
      <c r="E9" s="3180"/>
      <c r="F9" s="3180"/>
      <c r="G9" s="3180"/>
      <c r="H9" s="3180"/>
      <c r="I9" s="3180"/>
    </row>
    <row r="10" spans="1:9" ht="15.6">
      <c r="A10" s="3181" t="str">
        <f>结果表!A124</f>
        <v/>
      </c>
      <c r="B10" s="3181"/>
      <c r="C10" s="3181"/>
      <c r="D10" s="3181" t="str">
        <f>结果表!D124</f>
        <v>——</v>
      </c>
      <c r="E10" s="3181"/>
      <c r="F10" s="3181"/>
      <c r="G10" s="3181"/>
      <c r="H10" s="3181"/>
      <c r="I10" s="3181"/>
    </row>
    <row r="11" spans="1:9" ht="15">
      <c r="A11" s="3180" t="s">
        <v>927</v>
      </c>
      <c r="B11" s="3180"/>
      <c r="C11" s="3180"/>
      <c r="D11" s="3180" t="e">
        <f>结果表!D125</f>
        <v>#VALUE!</v>
      </c>
      <c r="E11" s="3180"/>
      <c r="F11" s="3180"/>
      <c r="G11" s="3180"/>
      <c r="H11" s="3180"/>
      <c r="I11" s="3180"/>
    </row>
    <row r="12" spans="1:9" ht="15.6">
      <c r="A12" s="3181" t="str">
        <f>结果表!A126</f>
        <v/>
      </c>
      <c r="B12" s="3181"/>
      <c r="C12" s="3181"/>
      <c r="D12" s="3181" t="str">
        <f>结果表!D126</f>
        <v>——</v>
      </c>
      <c r="E12" s="3181"/>
      <c r="F12" s="3181"/>
      <c r="G12" s="3181"/>
      <c r="H12" s="3181"/>
      <c r="I12" s="3181"/>
    </row>
    <row r="13" spans="1:9" ht="15.6" thickBot="1">
      <c r="A13" s="3185" t="s">
        <v>927</v>
      </c>
      <c r="B13" s="3185"/>
      <c r="C13" s="3185"/>
      <c r="D13" s="3185" t="e">
        <f>结果表!D127</f>
        <v>#VALUE!</v>
      </c>
      <c r="E13" s="3185"/>
      <c r="F13" s="3185"/>
      <c r="G13" s="3185"/>
      <c r="H13" s="3185"/>
      <c r="I13" s="3185"/>
    </row>
    <row r="14" spans="1:9" ht="14.4" thickTop="1">
      <c r="A14" s="3186" t="s">
        <v>932</v>
      </c>
      <c r="B14" s="3186"/>
      <c r="C14" s="3186"/>
      <c r="D14" s="3186"/>
      <c r="E14" s="3186"/>
      <c r="F14" s="3186"/>
      <c r="G14" s="3186"/>
      <c r="H14" s="3186"/>
      <c r="I14" s="318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90" t="str">
        <f>IF(项目基本情况!B8="抵押","4.本次评估估价师所知悉的法定优先受偿款情况说明如下：","——")</f>
        <v>4.本次评估估价师所知悉的法定优先受偿款情况说明如下：</v>
      </c>
      <c r="B14" s="3191"/>
      <c r="C14" s="3191"/>
      <c r="D14" s="3191"/>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45776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Sheet2</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比较法-办公</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2025-04-29T08:32:42Z</dcterms:modified>
</cp:coreProperties>
</file>